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orte\Dropbox\Fransylva Services\LBC\Dossiers LBC\Manon Lopez\Letourneux\"/>
    </mc:Choice>
  </mc:AlternateContent>
  <xr:revisionPtr revIDLastSave="0" documentId="13_ncr:1_{478B63DD-F798-454B-BE81-AEAC7915330E}" xr6:coauthVersionLast="47" xr6:coauthVersionMax="47" xr10:uidLastSave="{00000000-0000-0000-0000-000000000000}"/>
  <bookViews>
    <workbookView xWindow="1890" yWindow="413" windowWidth="13703" windowHeight="10424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R4" i="2"/>
  <c r="BQ4" i="2"/>
  <c r="EA4" i="2"/>
  <c r="FR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B7" i="2"/>
  <c r="HI7" i="2"/>
  <c r="EA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FS10" i="2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HG14" i="2"/>
  <c r="HH14" i="2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EV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H20" i="2"/>
  <c r="HG20" i="2"/>
  <c r="EV20" i="2"/>
  <c r="EW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C22" i="2" l="1"/>
  <c r="HH22" i="2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HH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B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EW34" i="2" s="1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CM34" i="2" l="1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B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FS38" i="2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FS44" i="2"/>
  <c r="EW44" i="2"/>
  <c r="HH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G45" i="2" l="1"/>
  <c r="HI45" i="2"/>
  <c r="EB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HG46" i="2"/>
  <c r="EC46" i="2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EC48" i="2" l="1"/>
  <c r="HH48" i="2"/>
  <c r="HG48" i="2"/>
  <c r="HI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EC50" i="2" l="1"/>
  <c r="FS50" i="2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C54" i="2" l="1"/>
  <c r="EX54" i="2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EA59" i="2"/>
  <c r="HH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EW60" i="2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HH62" i="2" l="1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G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C64" i="2" l="1"/>
  <c r="HH64" i="2"/>
  <c r="EA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EX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A75" i="2" l="1"/>
  <c r="HH75" i="2"/>
  <c r="FS75" i="2"/>
  <c r="HG75" i="2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A77" i="2"/>
  <c r="EW77" i="2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C78" i="2" l="1"/>
  <c r="HI78" i="2"/>
  <c r="EV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EV82" i="2" l="1"/>
  <c r="HH82" i="2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G85" i="2" l="1"/>
  <c r="HI85" i="2"/>
  <c r="EC85" i="2"/>
  <c r="HH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I89" i="2" l="1"/>
  <c r="HG89" i="2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HG90" i="2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HG95" i="2"/>
  <c r="EB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EB105" i="2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C107" i="2"/>
  <c r="HG107" i="2"/>
  <c r="EB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EB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HI112" i="2"/>
  <c r="EX112" i="2"/>
  <c r="EB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HI113" i="2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W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A117" i="2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EX118" i="2"/>
  <c r="EC118" i="2"/>
  <c r="HH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FR120" i="2"/>
  <c r="FQ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A121" i="2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HG124" i="2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V128" i="2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FS130" i="2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HG134" i="2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X135" i="2" l="1"/>
  <c r="EW135" i="2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C138" i="2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EA139" i="2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C140" i="2"/>
  <c r="HG140" i="2"/>
  <c r="EB140" i="2"/>
  <c r="FR140" i="2"/>
  <c r="HH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EA141" i="2"/>
  <c r="HH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HG142" i="2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EB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HH145" i="2"/>
  <c r="EA145" i="2"/>
  <c r="HG145" i="2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HI146" i="2"/>
  <c r="EA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C149" i="2" l="1"/>
  <c r="EX149" i="2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H150" i="2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X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HI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EB154" i="2" l="1"/>
  <c r="HH154" i="2"/>
  <c r="HG154" i="2"/>
  <c r="HJ154" i="2" s="1"/>
  <c r="EX154" i="2"/>
  <c r="AA154" i="2"/>
  <c r="EV154" i="2"/>
  <c r="EY154" i="2" s="1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GK155" i="2"/>
  <c r="FB155" i="2"/>
  <c r="HF155" i="2"/>
  <c r="FC155" i="2"/>
  <c r="FW155" i="2"/>
  <c r="FL155" i="2"/>
  <c r="ES155" i="2"/>
  <c r="ER155" i="2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D194" i="2"/>
  <c r="G194" i="2" s="1"/>
  <c r="DI153" i="2"/>
  <c r="FT153" i="2"/>
  <c r="CN153" i="2"/>
  <c r="HJ153" i="2"/>
  <c r="GO153" i="2"/>
  <c r="EY153" i="2"/>
  <c r="ED153" i="2"/>
  <c r="AC153" i="2"/>
  <c r="AX151" i="2"/>
  <c r="EX155" i="2" l="1"/>
  <c r="EA155" i="2"/>
  <c r="DI154" i="2"/>
  <c r="HH155" i="2"/>
  <c r="HG155" i="2"/>
  <c r="AC154" i="2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AX152" i="2"/>
  <c r="ED155" i="2" l="1"/>
  <c r="EB156" i="2"/>
  <c r="HH156" i="2"/>
  <c r="HG156" i="2"/>
  <c r="DH156" i="2"/>
  <c r="EX156" i="2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A157" i="2" l="1"/>
  <c r="EX157" i="2"/>
  <c r="HH157" i="2"/>
  <c r="HG157" i="2"/>
  <c r="CN156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AX155" i="2"/>
  <c r="D197" i="2"/>
  <c r="G197" i="2" s="1"/>
  <c r="ED157" i="2" l="1"/>
  <c r="EC158" i="2"/>
  <c r="EV158" i="2"/>
  <c r="HH158" i="2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HI159" i="2"/>
  <c r="ED158" i="2"/>
  <c r="FS159" i="2"/>
  <c r="EX159" i="2"/>
  <c r="EV159" i="2"/>
  <c r="EB159" i="2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D159" i="2" l="1"/>
  <c r="EC160" i="2"/>
  <c r="HG160" i="2"/>
  <c r="DG160" i="2"/>
  <c r="HH160" i="2"/>
  <c r="EY159" i="2"/>
  <c r="FS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D160" i="2" l="1"/>
  <c r="FS161" i="2"/>
  <c r="EX161" i="2"/>
  <c r="EA161" i="2"/>
  <c r="HG161" i="2"/>
  <c r="HH161" i="2"/>
  <c r="EB161" i="2"/>
  <c r="AB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Y161" i="2" l="1"/>
  <c r="EW162" i="2"/>
  <c r="ED161" i="2"/>
  <c r="EC162" i="2"/>
  <c r="DI161" i="2"/>
  <c r="HH162" i="2"/>
  <c r="HG162" i="2"/>
  <c r="EB162" i="2"/>
  <c r="FS162" i="2"/>
  <c r="AU162" i="2"/>
  <c r="EX162" i="2"/>
  <c r="EA162" i="2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GJ163" i="2"/>
  <c r="HE163" i="2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D162" i="2" l="1"/>
  <c r="EB163" i="2"/>
  <c r="EA163" i="2"/>
  <c r="HH163" i="2"/>
  <c r="HG163" i="2"/>
  <c r="EV163" i="2"/>
  <c r="EY163" i="2" s="1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FR164" i="2" l="1"/>
  <c r="HG164" i="2"/>
  <c r="DI163" i="2"/>
  <c r="DH164" i="2"/>
  <c r="EX164" i="2"/>
  <c r="HH164" i="2"/>
  <c r="EA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X165" i="2" l="1"/>
  <c r="EA165" i="2"/>
  <c r="HG165" i="2"/>
  <c r="HH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C166" i="2" l="1"/>
  <c r="FS166" i="2"/>
  <c r="ED165" i="2"/>
  <c r="CN165" i="2"/>
  <c r="HG166" i="2"/>
  <c r="HJ166" i="2" s="1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EY166" i="2"/>
  <c r="FR167" i="2"/>
  <c r="DG167" i="2"/>
  <c r="HH167" i="2"/>
  <c r="EB167" i="2"/>
  <c r="EX167" i="2"/>
  <c r="EC167" i="2"/>
  <c r="HI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DY168" i="2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C168" i="2"/>
  <c r="DG168" i="2"/>
  <c r="HH168" i="2"/>
  <c r="HI168" i="2"/>
  <c r="EV168" i="2"/>
  <c r="EY168" i="2" s="1"/>
  <c r="DI167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FS169" i="2" l="1"/>
  <c r="HH169" i="2"/>
  <c r="EB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D171" i="2" s="1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EY171" i="2"/>
  <c r="EW172" i="2"/>
  <c r="HG172" i="2"/>
  <c r="HI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X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H174" i="2"/>
  <c r="HG174" i="2"/>
  <c r="EA174" i="2"/>
  <c r="EB174" i="2"/>
  <c r="ED174" i="2" s="1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AX172" i="2"/>
  <c r="EB175" i="2" l="1"/>
  <c r="EW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FQ177" i="2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D177" i="2" l="1"/>
  <c r="EW178" i="2"/>
  <c r="HG178" i="2"/>
  <c r="HH178" i="2"/>
  <c r="EA178" i="2"/>
  <c r="FQ178" i="2"/>
  <c r="EB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 l="1"/>
  <c r="EB179" i="2"/>
  <c r="HH179" i="2"/>
  <c r="EV179" i="2"/>
  <c r="DF179" i="2"/>
  <c r="EA179" i="2"/>
  <c r="ED179" i="2" s="1"/>
  <c r="HG179" i="2"/>
  <c r="HI179" i="2"/>
  <c r="FS179" i="2"/>
  <c r="EX179" i="2"/>
  <c r="AW179" i="2"/>
  <c r="EC179" i="2"/>
  <c r="FQ179" i="2"/>
  <c r="EW179" i="2"/>
  <c r="EY179" i="2" s="1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AX177" i="2"/>
  <c r="EX180" i="2" l="1"/>
  <c r="HI180" i="2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FS181" i="2" l="1"/>
  <c r="EW181" i="2"/>
  <c r="ED180" i="2"/>
  <c r="HG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EC182" i="2"/>
  <c r="DG182" i="2"/>
  <c r="EA182" i="2"/>
  <c r="EV182" i="2"/>
  <c r="EY182" i="2" s="1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ED182" i="2" s="1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FS183" i="2" l="1"/>
  <c r="EA183" i="2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HI184" i="2"/>
  <c r="FS184" i="2"/>
  <c r="EX184" i="2"/>
  <c r="EC184" i="2"/>
  <c r="AW184" i="2"/>
  <c r="EB184" i="2"/>
  <c r="EV184" i="2"/>
  <c r="EY184" i="2" s="1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B185" i="2" l="1"/>
  <c r="ED184" i="2"/>
  <c r="HG185" i="2"/>
  <c r="HI185" i="2"/>
  <c r="HH185" i="2"/>
  <c r="EA185" i="2"/>
  <c r="EV185" i="2"/>
  <c r="AU185" i="2"/>
  <c r="EX185" i="2"/>
  <c r="FS185" i="2"/>
  <c r="EC185" i="2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A186" i="2"/>
  <c r="ED185" i="2"/>
  <c r="HH186" i="2"/>
  <c r="FR186" i="2"/>
  <c r="HG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Y186" i="2" l="1"/>
  <c r="EB187" i="2"/>
  <c r="EC187" i="2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HH188" i="2"/>
  <c r="HG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HH189" i="2" l="1"/>
  <c r="EV189" i="2"/>
  <c r="EC189" i="2"/>
  <c r="FS189" i="2"/>
  <c r="HI189" i="2"/>
  <c r="EX189" i="2"/>
  <c r="EY189" i="2" s="1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AX187" i="2"/>
  <c r="HJ189" i="2" l="1"/>
  <c r="HH190" i="2"/>
  <c r="EB190" i="2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HI191" i="2" l="1"/>
  <c r="HH191" i="2"/>
  <c r="HG191" i="2"/>
  <c r="EC191" i="2"/>
  <c r="EX191" i="2"/>
  <c r="FS191" i="2"/>
  <c r="EA191" i="2"/>
  <c r="EV191" i="2"/>
  <c r="EY191" i="2" s="1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AX189" i="2"/>
  <c r="EC192" i="2" l="1"/>
  <c r="HI192" i="2"/>
  <c r="EW192" i="2"/>
  <c r="HG192" i="2"/>
  <c r="EA192" i="2"/>
  <c r="EV192" i="2"/>
  <c r="EY192" i="2" s="1"/>
  <c r="HH192" i="2"/>
  <c r="EB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AX190" i="2"/>
  <c r="ED192" i="2" l="1"/>
  <c r="EB193" i="2"/>
  <c r="HI193" i="2"/>
  <c r="DI192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B194" i="2" l="1"/>
  <c r="ED193" i="2"/>
  <c r="EA194" i="2"/>
  <c r="HI194" i="2"/>
  <c r="CN193" i="2"/>
  <c r="HG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ED194" i="2" l="1"/>
  <c r="EY194" i="2"/>
  <c r="EX195" i="2"/>
  <c r="EA195" i="2"/>
  <c r="HG195" i="2"/>
  <c r="HI195" i="2"/>
  <c r="DH195" i="2"/>
  <c r="A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G196" i="2" l="1"/>
  <c r="HH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HH197" i="2" l="1"/>
  <c r="HG197" i="2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EV198" i="2" l="1"/>
  <c r="EW198" i="2"/>
  <c r="ED197" i="2"/>
  <c r="HI198" i="2"/>
  <c r="FS198" i="2"/>
  <c r="EX198" i="2"/>
  <c r="EY198" i="2" s="1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B199" i="2" l="1"/>
  <c r="HH199" i="2"/>
  <c r="HG199" i="2"/>
  <c r="HJ199" i="2" s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B201" i="2" l="1"/>
  <c r="ED200" i="2"/>
  <c r="DI200" i="2"/>
  <c r="EA201" i="2"/>
  <c r="HH201" i="2"/>
  <c r="HG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EY201" i="2" s="1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W202" i="2" l="1"/>
  <c r="EX202" i="2"/>
  <c r="HH202" i="2"/>
  <c r="FZ6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68" i="2" a="1"/>
  <c r="BC68" i="2" s="1"/>
  <c r="BC47" i="2" a="1"/>
  <c r="BC47" i="2" s="1"/>
  <c r="BC82" i="2" a="1"/>
  <c r="BC82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55" i="2" a="1"/>
  <c r="BC55" i="2" s="1"/>
  <c r="BC192" i="2" a="1"/>
  <c r="BC192" i="2" s="1"/>
  <c r="BC164" i="2" a="1"/>
  <c r="BC164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HH203" i="2" l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31" i="2" a="1"/>
  <c r="BC31" i="2" s="1"/>
  <c r="BC65" i="2" a="1"/>
  <c r="BC65" i="2" s="1"/>
  <c r="BC84" i="2" a="1"/>
  <c r="BC84" i="2" s="1"/>
  <c r="BC114" i="2" a="1"/>
  <c r="BC114" i="2" s="1"/>
  <c r="BC32" i="2" a="1"/>
  <c r="BC32" i="2" s="1"/>
  <c r="BC126" i="2" a="1"/>
  <c r="BC126" i="2" s="1"/>
  <c r="HG203" i="2"/>
  <c r="FR203" i="2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GE11" i="2" l="1"/>
  <c r="GE165" i="2"/>
  <c r="GE15" i="2"/>
  <c r="GE61" i="2"/>
  <c r="GE187" i="2"/>
  <c r="GE172" i="2"/>
  <c r="GE81" i="2"/>
  <c r="GE166" i="2"/>
  <c r="GE33" i="2"/>
  <c r="GE36" i="2"/>
  <c r="GE134" i="2"/>
  <c r="GE12" i="2"/>
  <c r="GE194" i="2"/>
  <c r="GE68" i="2"/>
  <c r="GE107" i="2"/>
  <c r="GE63" i="2"/>
  <c r="GE196" i="2"/>
  <c r="GE53" i="2"/>
  <c r="GE147" i="2"/>
  <c r="GE148" i="2"/>
  <c r="GE97" i="2"/>
  <c r="GE121" i="2"/>
  <c r="GE10" i="2"/>
  <c r="GE90" i="2"/>
  <c r="GE132" i="2"/>
  <c r="GE92" i="2"/>
  <c r="GE21" i="2"/>
  <c r="GE144" i="2"/>
  <c r="GE23" i="2"/>
  <c r="GE29" i="2"/>
  <c r="GE27" i="2"/>
  <c r="GE173" i="2"/>
  <c r="GE197" i="2"/>
  <c r="GE195" i="2"/>
  <c r="GE4" i="2"/>
  <c r="GE111" i="2"/>
  <c r="GE124" i="2"/>
  <c r="GE170" i="2"/>
  <c r="GE82" i="2"/>
  <c r="GE180" i="2"/>
  <c r="GE101" i="2"/>
  <c r="GE76" i="2"/>
  <c r="GE201" i="2"/>
  <c r="GE42" i="2"/>
  <c r="GE198" i="2"/>
  <c r="GE73" i="2"/>
  <c r="GE31" i="2"/>
  <c r="GE128" i="2"/>
  <c r="GE37" i="2"/>
  <c r="GE189" i="2"/>
  <c r="GE127" i="2"/>
  <c r="GE122" i="2"/>
  <c r="GE137" i="2"/>
  <c r="GE169" i="2"/>
  <c r="GE25" i="2"/>
  <c r="GE59" i="2"/>
  <c r="GE129" i="2"/>
  <c r="GE7" i="2"/>
  <c r="GE110" i="2"/>
  <c r="GE98" i="2"/>
  <c r="GE118" i="2"/>
  <c r="GE94" i="2"/>
  <c r="GE60" i="2"/>
  <c r="GE14" i="2"/>
  <c r="GE126" i="2"/>
  <c r="GE74" i="2"/>
  <c r="GE117" i="2"/>
  <c r="GE182" i="2"/>
  <c r="GE202" i="2"/>
  <c r="GE190" i="2"/>
  <c r="GE104" i="2"/>
  <c r="GE57" i="2"/>
  <c r="GE28" i="2"/>
  <c r="GE159" i="2"/>
  <c r="GE43" i="2"/>
  <c r="GE45" i="2"/>
  <c r="GE163" i="2"/>
  <c r="GE141" i="2"/>
  <c r="GE115" i="2"/>
  <c r="GE49" i="2"/>
  <c r="GE56" i="2"/>
  <c r="GE156" i="2"/>
  <c r="GE3" i="2"/>
  <c r="C14" i="4" s="1"/>
  <c r="E14" i="4" s="1"/>
  <c r="F14" i="4" s="1"/>
  <c r="G14" i="4" s="1"/>
  <c r="L14" i="4" s="1"/>
  <c r="GE86" i="2"/>
  <c r="GE22" i="2"/>
  <c r="GE149" i="2"/>
  <c r="GE89" i="2"/>
  <c r="GE55" i="2"/>
  <c r="GE93" i="2"/>
  <c r="GE120" i="2"/>
  <c r="GE44" i="2"/>
  <c r="GE40" i="2"/>
  <c r="GE79" i="2"/>
  <c r="GE35" i="2"/>
  <c r="GE88" i="2"/>
  <c r="GE24" i="2"/>
  <c r="GE193" i="2"/>
  <c r="GE108" i="2"/>
  <c r="GE133" i="2"/>
  <c r="GE103" i="2"/>
  <c r="GE48" i="2"/>
  <c r="GE114" i="2"/>
  <c r="GE140" i="2"/>
  <c r="GE113" i="2"/>
  <c r="GE136" i="2"/>
  <c r="GE161" i="2"/>
  <c r="GE9" i="2"/>
  <c r="GE177" i="2"/>
  <c r="GE158" i="2"/>
  <c r="GE77" i="2"/>
  <c r="GE119" i="2"/>
  <c r="GE69" i="2"/>
  <c r="GE135" i="2"/>
  <c r="GE105" i="2"/>
  <c r="GE153" i="2"/>
  <c r="GE72" i="2"/>
  <c r="GE185" i="2"/>
  <c r="GE112" i="2"/>
  <c r="GE146" i="2"/>
  <c r="GE200" i="2"/>
  <c r="GE123" i="2"/>
  <c r="GE142" i="2"/>
  <c r="GE176" i="2"/>
  <c r="GE186" i="2"/>
  <c r="GE32" i="2"/>
  <c r="GE145" i="2"/>
  <c r="GE52" i="2"/>
  <c r="GE155" i="2"/>
  <c r="GE18" i="2"/>
  <c r="GE41" i="2"/>
  <c r="GE203" i="2"/>
  <c r="GE152" i="2"/>
  <c r="GE26" i="2"/>
  <c r="GE171" i="2"/>
  <c r="GE5" i="2"/>
  <c r="GE167" i="2"/>
  <c r="GE96" i="2"/>
  <c r="GE39" i="2"/>
  <c r="GE168" i="2"/>
  <c r="GE54" i="2"/>
  <c r="GE67" i="2"/>
  <c r="GE78" i="2"/>
  <c r="GE143" i="2"/>
  <c r="GE125" i="2"/>
  <c r="GE83" i="2"/>
  <c r="GE109" i="2"/>
  <c r="GE106" i="2"/>
  <c r="GE154" i="2"/>
  <c r="GE179" i="2"/>
  <c r="GE70" i="2"/>
  <c r="GE183" i="2"/>
  <c r="GE131" i="2"/>
  <c r="GE30" i="2"/>
  <c r="GE80" i="2"/>
  <c r="GE95" i="2"/>
  <c r="GE34" i="2"/>
  <c r="GE46" i="2"/>
  <c r="GE64" i="2"/>
  <c r="GE178" i="2"/>
  <c r="GE85" i="2"/>
  <c r="GE38" i="2"/>
  <c r="GE100" i="2"/>
  <c r="GE58" i="2"/>
  <c r="GE84" i="2"/>
  <c r="GE17" i="2"/>
  <c r="GE50" i="2"/>
  <c r="GE175" i="2"/>
  <c r="GE139" i="2"/>
  <c r="GE75" i="2"/>
  <c r="GE157" i="2"/>
  <c r="GE184" i="2"/>
  <c r="GE174" i="2"/>
  <c r="GE8" i="2"/>
  <c r="GE188" i="2"/>
  <c r="GE71" i="2"/>
  <c r="GE66" i="2"/>
  <c r="GE181" i="2"/>
  <c r="GE51" i="2"/>
  <c r="GE138" i="2"/>
  <c r="GE19" i="2"/>
  <c r="GE99" i="2"/>
  <c r="GE13" i="2"/>
  <c r="GE151" i="2"/>
  <c r="GE130" i="2"/>
  <c r="GE20" i="2"/>
  <c r="GE87" i="2"/>
  <c r="GE150" i="2"/>
  <c r="GE91" i="2"/>
  <c r="GE192" i="2"/>
  <c r="GE164" i="2"/>
  <c r="GE65" i="2"/>
  <c r="GE16" i="2"/>
  <c r="GE62" i="2"/>
  <c r="GE116" i="2"/>
  <c r="GE162" i="2"/>
  <c r="GE160" i="2"/>
  <c r="GE191" i="2"/>
  <c r="GE199" i="2"/>
  <c r="GE6" i="2"/>
  <c r="GE47" i="2"/>
  <c r="GE102" i="2"/>
  <c r="FE74" i="2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Z195" i="2" l="1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CY178" i="2" l="1"/>
  <c r="CY149" i="2"/>
  <c r="CY179" i="2"/>
  <c r="CY181" i="2"/>
  <c r="CY85" i="2"/>
  <c r="CY10" i="2"/>
  <c r="CY57" i="2"/>
  <c r="CY35" i="2"/>
  <c r="CY191" i="2"/>
  <c r="CY63" i="2"/>
  <c r="CY186" i="2"/>
  <c r="CY117" i="2"/>
  <c r="CY114" i="2"/>
  <c r="CY65" i="2"/>
  <c r="CY71" i="2"/>
  <c r="CY160" i="2"/>
  <c r="CY32" i="2"/>
  <c r="CY107" i="2"/>
  <c r="CY102" i="2"/>
  <c r="CY66" i="2"/>
  <c r="CY180" i="2"/>
  <c r="CY200" i="2"/>
  <c r="CY123" i="2"/>
  <c r="CY192" i="2"/>
  <c r="CY143" i="2"/>
  <c r="CY51" i="2"/>
  <c r="CY182" i="2"/>
  <c r="CY98" i="2"/>
  <c r="CY18" i="2"/>
  <c r="CY173" i="2"/>
  <c r="CY176" i="2"/>
  <c r="CY175" i="2"/>
  <c r="CY162" i="2"/>
  <c r="CY148" i="2"/>
  <c r="CY14" i="2"/>
  <c r="CY203" i="2"/>
  <c r="CY92" i="2"/>
  <c r="CY145" i="2"/>
  <c r="CY169" i="2"/>
  <c r="CY38" i="2"/>
  <c r="CY195" i="2"/>
  <c r="CY41" i="2"/>
  <c r="CY168" i="2"/>
  <c r="CY103" i="2"/>
  <c r="CY86" i="2"/>
  <c r="CY72" i="2"/>
  <c r="CY193" i="2"/>
  <c r="CY151" i="2"/>
  <c r="CY190" i="2"/>
  <c r="CY9" i="2"/>
  <c r="CY142" i="2"/>
  <c r="CY80" i="2"/>
  <c r="CY36" i="2"/>
  <c r="CY96" i="2"/>
  <c r="CY164" i="2"/>
  <c r="CY187" i="2"/>
  <c r="CY111" i="2"/>
  <c r="CY127" i="2"/>
  <c r="CY120" i="2"/>
  <c r="CY56" i="2"/>
  <c r="CY201" i="2"/>
  <c r="CY116" i="2"/>
  <c r="CY158" i="2"/>
  <c r="CY113" i="2"/>
  <c r="CY194" i="2"/>
  <c r="CY198" i="2"/>
  <c r="CY24" i="2"/>
  <c r="CY118" i="2"/>
  <c r="CY13" i="2"/>
  <c r="CY15" i="2"/>
  <c r="CY137" i="2"/>
  <c r="CY135" i="2"/>
  <c r="CY81" i="2"/>
  <c r="CY12" i="2"/>
  <c r="CY47" i="2"/>
  <c r="CY166" i="2"/>
  <c r="CY44" i="2"/>
  <c r="CY140" i="2"/>
  <c r="CY124" i="2"/>
  <c r="CY101" i="2"/>
  <c r="CY141" i="2"/>
  <c r="CY95" i="2"/>
  <c r="CY49" i="2"/>
  <c r="CY188" i="2"/>
  <c r="CY110" i="2"/>
  <c r="CY136" i="2"/>
  <c r="CY78" i="2"/>
  <c r="CY155" i="2"/>
  <c r="CY88" i="2"/>
  <c r="CY31" i="2"/>
  <c r="CY30" i="2"/>
  <c r="CY154" i="2"/>
  <c r="CY131" i="2"/>
  <c r="CY64" i="2"/>
  <c r="CY67" i="2"/>
  <c r="CY104" i="2"/>
  <c r="CY29" i="2"/>
  <c r="CY17" i="2"/>
  <c r="CY146" i="2"/>
  <c r="CY83" i="2"/>
  <c r="CY7" i="2"/>
  <c r="CY109" i="2"/>
  <c r="CY27" i="2"/>
  <c r="CY74" i="2"/>
  <c r="CY87" i="2"/>
  <c r="CY68" i="2"/>
  <c r="CY53" i="2"/>
  <c r="CY19" i="2"/>
  <c r="CY45" i="2"/>
  <c r="CY48" i="2"/>
  <c r="CY40" i="2"/>
  <c r="CY58" i="2"/>
  <c r="CY75" i="2"/>
  <c r="CY84" i="2"/>
  <c r="CY16" i="2"/>
  <c r="CY50" i="2"/>
  <c r="CY22" i="2"/>
  <c r="CY144" i="2"/>
  <c r="CY138" i="2"/>
  <c r="CY150" i="2"/>
  <c r="CY4" i="2"/>
  <c r="CY129" i="2"/>
  <c r="CY174" i="2"/>
  <c r="CY39" i="2"/>
  <c r="CY130" i="2"/>
  <c r="CY70" i="2"/>
  <c r="CY77" i="2"/>
  <c r="CY6" i="2"/>
  <c r="CY172" i="2"/>
  <c r="CY82" i="2"/>
  <c r="CY3" i="2"/>
  <c r="C10" i="4" s="1"/>
  <c r="E10" i="4" s="1"/>
  <c r="F10" i="4" s="1"/>
  <c r="G10" i="4" s="1"/>
  <c r="L10" i="4" s="1"/>
  <c r="CY171" i="2"/>
  <c r="CY93" i="2"/>
  <c r="CY152" i="2"/>
  <c r="CY161" i="2"/>
  <c r="CY106" i="2"/>
  <c r="CY59" i="2"/>
  <c r="CY202" i="2"/>
  <c r="CY167" i="2"/>
  <c r="CY121" i="2"/>
  <c r="CY177" i="2"/>
  <c r="CY54" i="2"/>
  <c r="CY183" i="2"/>
  <c r="CY61" i="2"/>
  <c r="CY37" i="2"/>
  <c r="CY185" i="2"/>
  <c r="CY79" i="2"/>
  <c r="CY99" i="2"/>
  <c r="CY89" i="2"/>
  <c r="CY91" i="2"/>
  <c r="CY25" i="2"/>
  <c r="CY112" i="2"/>
  <c r="CY55" i="2"/>
  <c r="CY5" i="2"/>
  <c r="CY62" i="2"/>
  <c r="CY94" i="2"/>
  <c r="CY34" i="2"/>
  <c r="CY165" i="2"/>
  <c r="CY133" i="2"/>
  <c r="CY42" i="2"/>
  <c r="CY189" i="2"/>
  <c r="CY153" i="2"/>
  <c r="CY139" i="2"/>
  <c r="CY46" i="2"/>
  <c r="CY90" i="2"/>
  <c r="CY157" i="2"/>
  <c r="CY159" i="2"/>
  <c r="CY156" i="2"/>
  <c r="CY100" i="2"/>
  <c r="CY52" i="2"/>
  <c r="CY73" i="2"/>
  <c r="CY76" i="2"/>
  <c r="CY11" i="2"/>
  <c r="CY147" i="2"/>
  <c r="CY20" i="2"/>
  <c r="CY122" i="2"/>
  <c r="CY184" i="2"/>
  <c r="CY8" i="2"/>
  <c r="CY69" i="2"/>
  <c r="CY119" i="2"/>
  <c r="CY115" i="2"/>
  <c r="CY33" i="2"/>
  <c r="CY126" i="2"/>
  <c r="CY21" i="2"/>
  <c r="CY197" i="2"/>
  <c r="CY108" i="2"/>
  <c r="CY134" i="2"/>
  <c r="CY60" i="2"/>
  <c r="CY132" i="2"/>
  <c r="CY125" i="2"/>
  <c r="CY199" i="2"/>
  <c r="CY163" i="2"/>
  <c r="CY128" i="2"/>
  <c r="CY196" i="2"/>
  <c r="CY26" i="2"/>
  <c r="CY28" i="2"/>
  <c r="CY170" i="2"/>
  <c r="CY43" i="2"/>
  <c r="CY105" i="2"/>
  <c r="CY23" i="2"/>
  <c r="CY97" i="2"/>
  <c r="FE185" i="2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<sst xmlns="http://schemas.openxmlformats.org/spreadsheetml/2006/main" count="1188" uniqueCount="325">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</sst>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2" fillId="14" borderId="1" xfId="0" applyFont="1" applyFill="1" applyBorder="1" applyAlignment="1" applyProtection="1">
      <alignment horizontal="center"/>
      <protection locked="0"/>
    </xf>
    <xf numFmtId="9" fontId="32" fillId="14" borderId="1" xfId="1" applyFont="1" applyFill="1" applyBorder="1" applyAlignment="1" applyProtection="1">
      <alignment horizontal="center"/>
      <protection locked="0"/>
    </xf>
    <xf numFmtId="9" fontId="9" fillId="14" borderId="1" xfId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5.4660230907994141</c:v>
                </c:pt>
                <c:pt idx="2">
                  <c:v>10.681323473939329</c:v>
                </c:pt>
                <c:pt idx="3">
                  <c:v>15.815653007997854</c:v>
                </c:pt>
                <c:pt idx="4">
                  <c:v>20.900070226698777</c:v>
                </c:pt>
                <c:pt idx="5">
                  <c:v>25.94865187569178</c:v>
                </c:pt>
                <c:pt idx="6">
                  <c:v>30.969427918415988</c:v>
                </c:pt>
                <c:pt idx="7">
                  <c:v>35.967574961817526</c:v>
                </c:pt>
                <c:pt idx="8">
                  <c:v>40.946698717006726</c:v>
                </c:pt>
                <c:pt idx="9">
                  <c:v>45.909449427517977</c:v>
                </c:pt>
                <c:pt idx="10">
                  <c:v>50.857853843459729</c:v>
                </c:pt>
                <c:pt idx="11">
                  <c:v>55.793509908396324</c:v>
                </c:pt>
                <c:pt idx="12">
                  <c:v>60.717708366555691</c:v>
                </c:pt>
                <c:pt idx="13">
                  <c:v>65.63151257084742</c:v>
                </c:pt>
                <c:pt idx="14">
                  <c:v>70.535812988304585</c:v>
                </c:pt>
                <c:pt idx="15">
                  <c:v>75.431365668089654</c:v>
                </c:pt>
                <c:pt idx="16">
                  <c:v>80.318820149717823</c:v>
                </c:pt>
                <c:pt idx="17">
                  <c:v>85.198740191253449</c:v>
                </c:pt>
                <c:pt idx="18">
                  <c:v>90.071619479564632</c:v>
                </c:pt>
                <c:pt idx="19">
                  <c:v>94.937893749321418</c:v>
                </c:pt>
                <c:pt idx="20">
                  <c:v>99.797950277841281</c:v>
                </c:pt>
                <c:pt idx="21">
                  <c:v>104.652135427</c:v>
                </c:pt>
                <c:pt idx="22">
                  <c:v>109.50076070788542</c:v>
                </c:pt>
                <c:pt idx="23">
                  <c:v>114.34410771161743</c:v>
                </c:pt>
                <c:pt idx="24">
                  <c:v>119.18243215843677</c:v>
                </c:pt>
                <c:pt idx="25">
                  <c:v>124.01596725292983</c:v>
                </c:pt>
                <c:pt idx="26">
                  <c:v>128.8449264873062</c:v>
                </c:pt>
                <c:pt idx="27">
                  <c:v>133.66950600127205</c:v>
                </c:pt>
                <c:pt idx="28">
                  <c:v>138.48988658246478</c:v>
                </c:pt>
                <c:pt idx="29">
                  <c:v>143.30623537308037</c:v>
                </c:pt>
                <c:pt idx="30">
                  <c:v>148.11870733449055</c:v>
                </c:pt>
                <c:pt idx="31">
                  <c:v>152.92744651109214</c:v>
                </c:pt>
                <c:pt idx="32">
                  <c:v>157.7325871264978</c:v>
                </c:pt>
                <c:pt idx="33">
                  <c:v>162.53425453885362</c:v>
                </c:pt>
                <c:pt idx="34">
                  <c:v>167.33256607710749</c:v>
                </c:pt>
                <c:pt idx="35">
                  <c:v>172.12763177612814</c:v>
                </c:pt>
                <c:pt idx="36">
                  <c:v>176.91955502544894</c:v>
                </c:pt>
                <c:pt idx="37">
                  <c:v>181.70843314390311</c:v>
                </c:pt>
                <c:pt idx="38">
                  <c:v>186.49435789038873</c:v>
                </c:pt>
                <c:pt idx="39">
                  <c:v>191.27741591935674</c:v>
                </c:pt>
                <c:pt idx="40">
                  <c:v>196.05768918826797</c:v>
                </c:pt>
                <c:pt idx="41">
                  <c:v>200.83525532315684</c:v>
                </c:pt>
                <c:pt idx="42">
                  <c:v>205.61018794752695</c:v>
                </c:pt>
                <c:pt idx="43">
                  <c:v>210.38255697904034</c:v>
                </c:pt>
                <c:pt idx="44">
                  <c:v>215.15242889783022</c:v>
                </c:pt>
                <c:pt idx="45">
                  <c:v>219.91986698973434</c:v>
                </c:pt>
                <c:pt idx="46">
                  <c:v>224.68493156729764</c:v>
                </c:pt>
                <c:pt idx="47">
                  <c:v>229.44768017101543</c:v>
                </c:pt>
                <c:pt idx="48">
                  <c:v>234.20816775296598</c:v>
                </c:pt>
                <c:pt idx="49">
                  <c:v>238.96644684470857</c:v>
                </c:pt>
                <c:pt idx="50">
                  <c:v>243.72256771108889</c:v>
                </c:pt>
                <c:pt idx="51">
                  <c:v>248.47657849139151</c:v>
                </c:pt>
                <c:pt idx="52">
                  <c:v>253.22852532910977</c:v>
                </c:pt>
                <c:pt idx="53">
                  <c:v>208.6354867238299</c:v>
                </c:pt>
                <c:pt idx="54">
                  <c:v>220.59537347449944</c:v>
                </c:pt>
                <c:pt idx="55">
                  <c:v>232.54037687936662</c:v>
                </c:pt>
                <c:pt idx="56">
                  <c:v>244.47136960550881</c:v>
                </c:pt>
                <c:pt idx="57">
                  <c:v>256.38913212364326</c:v>
                </c:pt>
                <c:pt idx="58">
                  <c:v>268.29436637384839</c:v>
                </c:pt>
                <c:pt idx="59">
                  <c:v>280.1877068763726</c:v>
                </c:pt>
                <c:pt idx="60">
                  <c:v>292.06972985560316</c:v>
                </c:pt>
                <c:pt idx="61">
                  <c:v>245.68806155403334</c:v>
                </c:pt>
                <c:pt idx="62">
                  <c:v>257.60451473454003</c:v>
                </c:pt>
                <c:pt idx="63">
                  <c:v>269.50850731507103</c:v>
                </c:pt>
                <c:pt idx="64">
                  <c:v>281.40066747860004</c:v>
                </c:pt>
                <c:pt idx="65">
                  <c:v>293.28156594925059</c:v>
                </c:pt>
                <c:pt idx="66">
                  <c:v>305.15172341265009</c:v>
                </c:pt>
                <c:pt idx="67">
                  <c:v>317.01161672057395</c:v>
                </c:pt>
                <c:pt idx="68">
                  <c:v>328.86168411801799</c:v>
                </c:pt>
                <c:pt idx="69">
                  <c:v>280.23622755830678</c:v>
                </c:pt>
                <c:pt idx="70">
                  <c:v>291.68191860662404</c:v>
                </c:pt>
                <c:pt idx="71">
                  <c:v>303.11758094856515</c:v>
                </c:pt>
                <c:pt idx="72">
                  <c:v>314.54364642285998</c:v>
                </c:pt>
                <c:pt idx="73">
                  <c:v>325.9605129186765</c:v>
                </c:pt>
                <c:pt idx="74">
                  <c:v>337.3685481657111</c:v>
                </c:pt>
                <c:pt idx="75">
                  <c:v>348.76809298461347</c:v>
                </c:pt>
                <c:pt idx="76">
                  <c:v>360.15946409007773</c:v>
                </c:pt>
                <c:pt idx="77">
                  <c:v>371.5429565206544</c:v>
                </c:pt>
                <c:pt idx="78">
                  <c:v>382.91884575514445</c:v>
                </c:pt>
                <c:pt idx="79">
                  <c:v>332.14899550797418</c:v>
                </c:pt>
                <c:pt idx="80">
                  <c:v>343.16596745045581</c:v>
                </c:pt>
                <c:pt idx="81">
                  <c:v>354.17516791892012</c:v>
                </c:pt>
                <c:pt idx="82">
                  <c:v>365.17687261995815</c:v>
                </c:pt>
                <c:pt idx="83">
                  <c:v>376.17133928605472</c:v>
                </c:pt>
                <c:pt idx="84">
                  <c:v>387.15880934971273</c:v>
                </c:pt>
                <c:pt idx="85">
                  <c:v>398.13950941756428</c:v>
                </c:pt>
                <c:pt idx="86">
                  <c:v>409.11365257333472</c:v>
                </c:pt>
                <c:pt idx="87">
                  <c:v>420.08143953368364</c:v>
                </c:pt>
                <c:pt idx="88">
                  <c:v>431.04305967702004</c:v>
                </c:pt>
                <c:pt idx="89">
                  <c:v>374.62868369592616</c:v>
                </c:pt>
                <c:pt idx="90">
                  <c:v>385.61712174318728</c:v>
                </c:pt>
                <c:pt idx="91">
                  <c:v>396.59875883419824</c:v>
                </c:pt>
                <c:pt idx="92">
                  <c:v>407.57380987776543</c:v>
                </c:pt>
                <c:pt idx="93">
                  <c:v>418.54247726149282</c:v>
                </c:pt>
                <c:pt idx="94">
                  <c:v>429.50495189733937</c:v>
                </c:pt>
                <c:pt idx="95">
                  <c:v>440.46141415485243</c:v>
                </c:pt>
                <c:pt idx="96">
                  <c:v>451.41203469669296</c:v>
                </c:pt>
                <c:pt idx="97">
                  <c:v>462.35697522885613</c:v>
                </c:pt>
                <c:pt idx="98">
                  <c:v>473.29638917614921</c:v>
                </c:pt>
                <c:pt idx="99">
                  <c:v>418.92722924422122</c:v>
                </c:pt>
                <c:pt idx="100">
                  <c:v>429.88948992506386</c:v>
                </c:pt>
                <c:pt idx="101">
                  <c:v>440.8457443754441</c:v>
                </c:pt>
                <c:pt idx="102">
                  <c:v>451.79616293151918</c:v>
                </c:pt>
                <c:pt idx="103">
                  <c:v>462.74090699768914</c:v>
                </c:pt>
                <c:pt idx="104">
                  <c:v>473.68012971962617</c:v>
                </c:pt>
                <c:pt idx="105">
                  <c:v>484.61397659189061</c:v>
                </c:pt>
                <c:pt idx="106">
                  <c:v>495.54258600785471</c:v>
                </c:pt>
                <c:pt idx="107">
                  <c:v>506.46608975859249</c:v>
                </c:pt>
                <c:pt idx="108">
                  <c:v>517.38461348648923</c:v>
                </c:pt>
                <c:pt idx="109">
                  <c:v>453.33260608565246</c:v>
                </c:pt>
                <c:pt idx="110">
                  <c:v>464.08461470595802</c:v>
                </c:pt>
                <c:pt idx="111">
                  <c:v>474.83131166809085</c:v>
                </c:pt>
                <c:pt idx="112">
                  <c:v>485.5728341470313</c:v>
                </c:pt>
                <c:pt idx="113">
                  <c:v>496.30931275327663</c:v>
                </c:pt>
                <c:pt idx="114">
                  <c:v>507.04087198522149</c:v>
                </c:pt>
                <c:pt idx="115">
                  <c:v>517.76763064124964</c:v>
                </c:pt>
                <c:pt idx="116">
                  <c:v>528.48970219589671</c:v>
                </c:pt>
                <c:pt idx="117">
                  <c:v>539.20719514390601</c:v>
                </c:pt>
                <c:pt idx="118">
                  <c:v>549.92021331550563</c:v>
                </c:pt>
                <c:pt idx="119">
                  <c:v>484.03864272240298</c:v>
                </c:pt>
                <c:pt idx="120">
                  <c:v>494.77583412162261</c:v>
                </c:pt>
                <c:pt idx="121">
                  <c:v>505.50808871924067</c:v>
                </c:pt>
                <c:pt idx="122">
                  <c:v>516.23552610410309</c:v>
                </c:pt>
                <c:pt idx="123">
                  <c:v>526.95826048952051</c:v>
                </c:pt>
                <c:pt idx="124">
                  <c:v>537.67640106169449</c:v>
                </c:pt>
                <c:pt idx="125">
                  <c:v>548.39005229891859</c:v>
                </c:pt>
                <c:pt idx="126">
                  <c:v>559.09931426454011</c:v>
                </c:pt>
                <c:pt idx="127">
                  <c:v>569.80428287631287</c:v>
                </c:pt>
                <c:pt idx="128">
                  <c:v>580.50505015445833</c:v>
                </c:pt>
                <c:pt idx="129">
                  <c:v>516.81007653469214</c:v>
                </c:pt>
                <c:pt idx="130">
                  <c:v>527.72399304120324</c:v>
                </c:pt>
                <c:pt idx="131">
                  <c:v>538.63315807993115</c:v>
                </c:pt>
                <c:pt idx="132">
                  <c:v>549.53768144295771</c:v>
                </c:pt>
                <c:pt idx="133">
                  <c:v>560.4376682101705</c:v>
                </c:pt>
                <c:pt idx="134">
                  <c:v>571.33321904116895</c:v>
                </c:pt>
                <c:pt idx="135">
                  <c:v>582.22443044374438</c:v>
                </c:pt>
                <c:pt idx="136">
                  <c:v>593.11139502123308</c:v>
                </c:pt>
                <c:pt idx="137">
                  <c:v>603.99420170076939</c:v>
                </c:pt>
                <c:pt idx="138">
                  <c:v>614.87293594423477</c:v>
                </c:pt>
                <c:pt idx="139">
                  <c:v>551.45028504666311</c:v>
                </c:pt>
                <c:pt idx="140">
                  <c:v>562.54066075244293</c:v>
                </c:pt>
                <c:pt idx="141">
                  <c:v>573.62646310732623</c:v>
                </c:pt>
                <c:pt idx="142">
                  <c:v>584.70779293898988</c:v>
                </c:pt>
                <c:pt idx="143">
                  <c:v>595.7847469423931</c:v>
                </c:pt>
                <c:pt idx="144">
                  <c:v>606.85741792448357</c:v>
                </c:pt>
                <c:pt idx="145">
                  <c:v>617.92589503011789</c:v>
                </c:pt>
                <c:pt idx="146">
                  <c:v>628.99026395095905</c:v>
                </c:pt>
                <c:pt idx="147">
                  <c:v>640.05060711891667</c:v>
                </c:pt>
                <c:pt idx="148">
                  <c:v>651.10700388552539</c:v>
                </c:pt>
                <c:pt idx="149">
                  <c:v>566.22893530693568</c:v>
                </c:pt>
                <c:pt idx="150">
                  <c:v>559.59417563033344</c:v>
                </c:pt>
                <c:pt idx="151">
                  <c:v>552.95776867276652</c:v>
                </c:pt>
                <c:pt idx="152">
                  <c:v>546.31969183109879</c:v>
                </c:pt>
                <c:pt idx="153">
                  <c:v>539.67992190690325</c:v>
                </c:pt>
                <c:pt idx="154">
                  <c:v>533.03843508308489</c:v>
                </c:pt>
                <c:pt idx="155">
                  <c:v>526.39520689927519</c:v>
                </c:pt>
                <c:pt idx="156">
                  <c:v>519.75021222591761</c:v>
                </c:pt>
                <c:pt idx="157">
                  <c:v>513.10342523695556</c:v>
                </c:pt>
                <c:pt idx="158">
                  <c:v>506.45481938102847</c:v>
                </c:pt>
                <c:pt idx="159">
                  <c:v>499.80436735107361</c:v>
                </c:pt>
                <c:pt idx="160">
                  <c:v>493.15204105222142</c:v>
                </c:pt>
                <c:pt idx="161">
                  <c:v>486.49781156786486</c:v>
                </c:pt>
                <c:pt idx="162">
                  <c:v>479.84164912377219</c:v>
                </c:pt>
                <c:pt idx="163">
                  <c:v>473.18352305009688</c:v>
                </c:pt>
                <c:pt idx="164">
                  <c:v>466.52340174113743</c:v>
                </c:pt>
                <c:pt idx="165">
                  <c:v>459.86125261266892</c:v>
                </c:pt>
                <c:pt idx="166">
                  <c:v>453.19704205667063</c:v>
                </c:pt>
                <c:pt idx="167">
                  <c:v>446.53073539324333</c:v>
                </c:pt>
                <c:pt idx="168">
                  <c:v>439.86229681949789</c:v>
                </c:pt>
                <c:pt idx="169">
                  <c:v>367.34077868072421</c:v>
                </c:pt>
                <c:pt idx="170">
                  <c:v>373.77033257265776</c:v>
                </c:pt>
                <c:pt idx="171">
                  <c:v>380.19747642454655</c:v>
                </c:pt>
                <c:pt idx="172">
                  <c:v>386.62225676278376</c:v>
                </c:pt>
                <c:pt idx="173">
                  <c:v>393.0447184398742</c:v>
                </c:pt>
                <c:pt idx="174">
                  <c:v>399.4649047216335</c:v>
                </c:pt>
                <c:pt idx="175">
                  <c:v>405.88285736848405</c:v>
                </c:pt>
                <c:pt idx="176">
                  <c:v>412.29861671133852</c:v>
                </c:pt>
                <c:pt idx="177">
                  <c:v>418.71222172251049</c:v>
                </c:pt>
                <c:pt idx="178">
                  <c:v>425.12371008205287</c:v>
                </c:pt>
                <c:pt idx="179">
                  <c:v>431.53311823988116</c:v>
                </c:pt>
                <c:pt idx="180">
                  <c:v>437.9404814740148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2.1949567858312258</c:v>
                </c:pt>
                <c:pt idx="2">
                  <c:v>2.7816251237368212</c:v>
                </c:pt>
                <c:pt idx="3">
                  <c:v>3.5257195799874221</c:v>
                </c:pt>
                <c:pt idx="4">
                  <c:v>4.4696410633675532</c:v>
                </c:pt>
                <c:pt idx="5">
                  <c:v>5.6672503486462702</c:v>
                </c:pt>
                <c:pt idx="6">
                  <c:v>7.1869753481789695</c:v>
                </c:pt>
                <c:pt idx="7">
                  <c:v>9.115763396449081</c:v>
                </c:pt>
                <c:pt idx="8">
                  <c:v>11.564108969029164</c:v>
                </c:pt>
                <c:pt idx="9">
                  <c:v>14.672450244662597</c:v>
                </c:pt>
                <c:pt idx="10">
                  <c:v>18.619308162818584</c:v>
                </c:pt>
                <c:pt idx="11">
                  <c:v>23.631643866370535</c:v>
                </c:pt>
                <c:pt idx="12">
                  <c:v>29.998040690014353</c:v>
                </c:pt>
                <c:pt idx="13">
                  <c:v>38.085482861379397</c:v>
                </c:pt>
                <c:pt idx="14">
                  <c:v>48.360714644740732</c:v>
                </c:pt>
                <c:pt idx="15">
                  <c:v>61.4174333018235</c:v>
                </c:pt>
                <c:pt idx="16">
                  <c:v>71.249871520456722</c:v>
                </c:pt>
                <c:pt idx="17">
                  <c:v>85.490803817484263</c:v>
                </c:pt>
                <c:pt idx="18">
                  <c:v>99.671872945964807</c:v>
                </c:pt>
                <c:pt idx="19">
                  <c:v>113.80282201771517</c:v>
                </c:pt>
                <c:pt idx="20">
                  <c:v>127.89076379214983</c:v>
                </c:pt>
                <c:pt idx="21">
                  <c:v>106.74311974600884</c:v>
                </c:pt>
                <c:pt idx="22">
                  <c:v>122.31905294762315</c:v>
                </c:pt>
                <c:pt idx="23">
                  <c:v>137.84670781868599</c:v>
                </c:pt>
                <c:pt idx="24">
                  <c:v>153.33229557513832</c:v>
                </c:pt>
                <c:pt idx="25">
                  <c:v>168.78066680719567</c:v>
                </c:pt>
                <c:pt idx="26">
                  <c:v>146.17875680898456</c:v>
                </c:pt>
                <c:pt idx="27">
                  <c:v>162.95520023865575</c:v>
                </c:pt>
                <c:pt idx="28">
                  <c:v>179.69078619560835</c:v>
                </c:pt>
                <c:pt idx="29">
                  <c:v>196.38985757072419</c:v>
                </c:pt>
                <c:pt idx="30">
                  <c:v>213.05595726994454</c:v>
                </c:pt>
                <c:pt idx="31">
                  <c:v>229.69202803102669</c:v>
                </c:pt>
                <c:pt idx="32">
                  <c:v>194.21365668950932</c:v>
                </c:pt>
                <c:pt idx="33">
                  <c:v>210.88387892336638</c:v>
                </c:pt>
                <c:pt idx="34">
                  <c:v>227.52371705254282</c:v>
                </c:pt>
                <c:pt idx="35">
                  <c:v>244.13570624979181</c:v>
                </c:pt>
                <c:pt idx="36">
                  <c:v>260.72200828834224</c:v>
                </c:pt>
                <c:pt idx="37">
                  <c:v>277.28448730625303</c:v>
                </c:pt>
                <c:pt idx="38">
                  <c:v>241.45481667314718</c:v>
                </c:pt>
                <c:pt idx="39">
                  <c:v>257.53027834050721</c:v>
                </c:pt>
                <c:pt idx="40">
                  <c:v>273.58305693525381</c:v>
                </c:pt>
                <c:pt idx="41">
                  <c:v>289.61467077326057</c:v>
                </c:pt>
                <c:pt idx="42">
                  <c:v>305.62645631332936</c:v>
                </c:pt>
                <c:pt idx="43">
                  <c:v>321.61959852692468</c:v>
                </c:pt>
                <c:pt idx="44">
                  <c:v>337.59515490696026</c:v>
                </c:pt>
                <c:pt idx="45">
                  <c:v>290.77001527116278</c:v>
                </c:pt>
                <c:pt idx="46">
                  <c:v>305.67774556928345</c:v>
                </c:pt>
                <c:pt idx="47">
                  <c:v>320.56931776876598</c:v>
                </c:pt>
                <c:pt idx="48">
                  <c:v>335.44558817007095</c:v>
                </c:pt>
                <c:pt idx="49">
                  <c:v>350.3073309177887</c:v>
                </c:pt>
                <c:pt idx="50">
                  <c:v>365.15524910721001</c:v>
                </c:pt>
                <c:pt idx="51">
                  <c:v>379.9899839895499</c:v>
                </c:pt>
                <c:pt idx="52">
                  <c:v>394.81212266433704</c:v>
                </c:pt>
                <c:pt idx="53">
                  <c:v>339.5653263103564</c:v>
                </c:pt>
                <c:pt idx="54">
                  <c:v>352.9916936181225</c:v>
                </c:pt>
                <c:pt idx="55">
                  <c:v>366.40687182764276</c:v>
                </c:pt>
                <c:pt idx="56">
                  <c:v>379.81132833930809</c:v>
                </c:pt>
                <c:pt idx="57">
                  <c:v>393.20549486765344</c:v>
                </c:pt>
                <c:pt idx="58">
                  <c:v>406.58977131437899</c:v>
                </c:pt>
                <c:pt idx="59">
                  <c:v>419.96452910473823</c:v>
                </c:pt>
                <c:pt idx="60">
                  <c:v>433.33011407671552</c:v>
                </c:pt>
                <c:pt idx="61">
                  <c:v>378.62024388593505</c:v>
                </c:pt>
                <c:pt idx="62">
                  <c:v>391.00358835387692</c:v>
                </c:pt>
                <c:pt idx="63">
                  <c:v>403.3784266253918</c:v>
                </c:pt>
                <c:pt idx="64">
                  <c:v>415.74505644902712</c:v>
                </c:pt>
                <c:pt idx="65">
                  <c:v>428.10375641326391</c:v>
                </c:pt>
                <c:pt idx="66">
                  <c:v>440.4547877086984</c:v>
                </c:pt>
                <c:pt idx="67">
                  <c:v>452.79839568226072</c:v>
                </c:pt>
                <c:pt idx="68">
                  <c:v>465.13481121312185</c:v>
                </c:pt>
                <c:pt idx="69">
                  <c:v>477.46425193503552</c:v>
                </c:pt>
                <c:pt idx="70">
                  <c:v>1.1825802166488628E-12</c:v>
                </c:pt>
                <c:pt idx="71">
                  <c:v>1.1825802166488628E-12</c:v>
                </c:pt>
                <c:pt idx="72">
                  <c:v>1.1825802166488628E-12</c:v>
                </c:pt>
                <c:pt idx="73">
                  <c:v>1.1825802166488628E-12</c:v>
                </c:pt>
                <c:pt idx="74">
                  <c:v>1.1825802166488628E-12</c:v>
                </c:pt>
                <c:pt idx="75">
                  <c:v>1.1825802166488628E-12</c:v>
                </c:pt>
                <c:pt idx="76">
                  <c:v>1.1825802166488628E-12</c:v>
                </c:pt>
                <c:pt idx="77">
                  <c:v>1.1825802166488628E-12</c:v>
                </c:pt>
                <c:pt idx="78">
                  <c:v>1.1825802166488628E-12</c:v>
                </c:pt>
                <c:pt idx="79">
                  <c:v>1.1825802166488628E-12</c:v>
                </c:pt>
                <c:pt idx="80">
                  <c:v>1.1825802166488628E-12</c:v>
                </c:pt>
                <c:pt idx="81">
                  <c:v>1.1825802166488628E-12</c:v>
                </c:pt>
                <c:pt idx="82">
                  <c:v>1.1825802166488628E-12</c:v>
                </c:pt>
                <c:pt idx="83">
                  <c:v>1.1825802166488628E-12</c:v>
                </c:pt>
                <c:pt idx="84">
                  <c:v>1.1825802166488628E-12</c:v>
                </c:pt>
                <c:pt idx="85">
                  <c:v>1.1825802166488628E-12</c:v>
                </c:pt>
                <c:pt idx="86">
                  <c:v>1.1825802166488628E-12</c:v>
                </c:pt>
                <c:pt idx="87">
                  <c:v>1.1825802166488628E-12</c:v>
                </c:pt>
                <c:pt idx="88">
                  <c:v>1.1825802166488628E-12</c:v>
                </c:pt>
                <c:pt idx="89">
                  <c:v>1.1825802166488628E-12</c:v>
                </c:pt>
                <c:pt idx="90">
                  <c:v>1.1825802166488628E-12</c:v>
                </c:pt>
                <c:pt idx="91">
                  <c:v>1.1825802166488628E-12</c:v>
                </c:pt>
                <c:pt idx="92">
                  <c:v>1.1825802166488628E-12</c:v>
                </c:pt>
                <c:pt idx="93">
                  <c:v>1.1825802166488628E-12</c:v>
                </c:pt>
                <c:pt idx="94">
                  <c:v>1.1825802166488628E-12</c:v>
                </c:pt>
                <c:pt idx="95">
                  <c:v>1.1825802166488628E-12</c:v>
                </c:pt>
                <c:pt idx="96">
                  <c:v>1.1825802166488628E-12</c:v>
                </c:pt>
                <c:pt idx="97">
                  <c:v>1.1825802166488628E-12</c:v>
                </c:pt>
                <c:pt idx="98">
                  <c:v>1.1825802166488628E-12</c:v>
                </c:pt>
                <c:pt idx="99">
                  <c:v>1.1825802166488628E-12</c:v>
                </c:pt>
                <c:pt idx="100">
                  <c:v>1.1825802166488628E-12</c:v>
                </c:pt>
                <c:pt idx="101">
                  <c:v>1.1825802166488628E-12</c:v>
                </c:pt>
                <c:pt idx="102">
                  <c:v>1.1825802166488628E-12</c:v>
                </c:pt>
                <c:pt idx="103">
                  <c:v>1.1825802166488628E-12</c:v>
                </c:pt>
                <c:pt idx="104">
                  <c:v>1.1825802166488628E-12</c:v>
                </c:pt>
                <c:pt idx="105">
                  <c:v>1.1825802166488628E-12</c:v>
                </c:pt>
                <c:pt idx="106">
                  <c:v>1.1825802166488628E-12</c:v>
                </c:pt>
                <c:pt idx="107">
                  <c:v>1.1825802166488628E-12</c:v>
                </c:pt>
                <c:pt idx="108">
                  <c:v>1.1825802166488628E-12</c:v>
                </c:pt>
                <c:pt idx="109">
                  <c:v>1.1825802166488628E-12</c:v>
                </c:pt>
                <c:pt idx="110">
                  <c:v>1.1825802166488628E-12</c:v>
                </c:pt>
                <c:pt idx="111">
                  <c:v>1.1825802166488628E-12</c:v>
                </c:pt>
                <c:pt idx="112">
                  <c:v>1.1825802166488628E-12</c:v>
                </c:pt>
                <c:pt idx="113">
                  <c:v>1.1825802166488628E-12</c:v>
                </c:pt>
                <c:pt idx="114">
                  <c:v>1.1825802166488628E-12</c:v>
                </c:pt>
                <c:pt idx="115">
                  <c:v>1.1825802166488628E-12</c:v>
                </c:pt>
                <c:pt idx="116">
                  <c:v>1.1825802166488628E-12</c:v>
                </c:pt>
                <c:pt idx="117">
                  <c:v>1.1825802166488628E-12</c:v>
                </c:pt>
                <c:pt idx="118">
                  <c:v>1.1825802166488628E-12</c:v>
                </c:pt>
                <c:pt idx="119">
                  <c:v>1.1825802166488628E-12</c:v>
                </c:pt>
                <c:pt idx="120">
                  <c:v>1.1825802166488628E-12</c:v>
                </c:pt>
                <c:pt idx="121">
                  <c:v>1.1825802166488628E-12</c:v>
                </c:pt>
                <c:pt idx="122">
                  <c:v>1.1825802166488628E-12</c:v>
                </c:pt>
                <c:pt idx="123">
                  <c:v>1.1825802166488628E-12</c:v>
                </c:pt>
                <c:pt idx="124">
                  <c:v>1.1825802166488628E-12</c:v>
                </c:pt>
                <c:pt idx="125">
                  <c:v>1.1825802166488628E-12</c:v>
                </c:pt>
                <c:pt idx="126">
                  <c:v>1.1825802166488628E-12</c:v>
                </c:pt>
                <c:pt idx="127">
                  <c:v>1.1825802166488628E-12</c:v>
                </c:pt>
                <c:pt idx="128">
                  <c:v>1.1825802166488628E-12</c:v>
                </c:pt>
                <c:pt idx="129">
                  <c:v>1.1825802166488628E-12</c:v>
                </c:pt>
                <c:pt idx="130">
                  <c:v>1.1825802166488628E-12</c:v>
                </c:pt>
                <c:pt idx="131">
                  <c:v>1.1825802166488628E-12</c:v>
                </c:pt>
                <c:pt idx="132">
                  <c:v>1.1825802166488628E-12</c:v>
                </c:pt>
                <c:pt idx="133">
                  <c:v>1.1825802166488628E-12</c:v>
                </c:pt>
                <c:pt idx="134">
                  <c:v>1.1825802166488628E-12</c:v>
                </c:pt>
                <c:pt idx="135">
                  <c:v>1.1825802166488628E-12</c:v>
                </c:pt>
                <c:pt idx="136">
                  <c:v>1.1825802166488628E-12</c:v>
                </c:pt>
                <c:pt idx="137">
                  <c:v>1.1825802166488628E-12</c:v>
                </c:pt>
                <c:pt idx="138">
                  <c:v>1.1825802166488628E-12</c:v>
                </c:pt>
                <c:pt idx="139">
                  <c:v>1.1825802166488628E-12</c:v>
                </c:pt>
                <c:pt idx="140">
                  <c:v>1.1825802166488628E-12</c:v>
                </c:pt>
                <c:pt idx="141">
                  <c:v>1.1825802166488628E-12</c:v>
                </c:pt>
                <c:pt idx="142">
                  <c:v>1.1825802166488628E-12</c:v>
                </c:pt>
                <c:pt idx="143">
                  <c:v>1.1825802166488628E-12</c:v>
                </c:pt>
                <c:pt idx="144">
                  <c:v>1.1825802166488628E-12</c:v>
                </c:pt>
                <c:pt idx="145">
                  <c:v>1.1825802166488628E-12</c:v>
                </c:pt>
                <c:pt idx="146">
                  <c:v>1.1825802166488628E-12</c:v>
                </c:pt>
                <c:pt idx="147">
                  <c:v>1.1825802166488628E-12</c:v>
                </c:pt>
                <c:pt idx="148">
                  <c:v>1.1825802166488628E-12</c:v>
                </c:pt>
                <c:pt idx="149">
                  <c:v>1.1825802166488628E-12</c:v>
                </c:pt>
                <c:pt idx="150">
                  <c:v>1.1825802166488628E-12</c:v>
                </c:pt>
                <c:pt idx="151">
                  <c:v>1.1825802166488628E-12</c:v>
                </c:pt>
                <c:pt idx="152">
                  <c:v>1.1825802166488628E-12</c:v>
                </c:pt>
                <c:pt idx="153">
                  <c:v>1.1825802166488628E-12</c:v>
                </c:pt>
                <c:pt idx="154">
                  <c:v>1.1825802166488628E-12</c:v>
                </c:pt>
                <c:pt idx="155">
                  <c:v>1.1825802166488628E-12</c:v>
                </c:pt>
                <c:pt idx="156">
                  <c:v>1.1825802166488628E-12</c:v>
                </c:pt>
                <c:pt idx="157">
                  <c:v>1.1825802166488628E-12</c:v>
                </c:pt>
                <c:pt idx="158">
                  <c:v>1.1825802166488628E-12</c:v>
                </c:pt>
                <c:pt idx="159">
                  <c:v>1.1825802166488628E-12</c:v>
                </c:pt>
                <c:pt idx="160">
                  <c:v>1.1825802166488628E-12</c:v>
                </c:pt>
                <c:pt idx="161">
                  <c:v>1.1825802166488628E-12</c:v>
                </c:pt>
                <c:pt idx="162">
                  <c:v>1.1825802166488628E-12</c:v>
                </c:pt>
                <c:pt idx="163">
                  <c:v>1.1825802166488628E-12</c:v>
                </c:pt>
                <c:pt idx="164">
                  <c:v>1.1825802166488628E-12</c:v>
                </c:pt>
                <c:pt idx="165">
                  <c:v>1.1825802166488628E-12</c:v>
                </c:pt>
                <c:pt idx="166">
                  <c:v>1.1825802166488628E-12</c:v>
                </c:pt>
                <c:pt idx="167">
                  <c:v>1.1825802166488628E-12</c:v>
                </c:pt>
                <c:pt idx="168">
                  <c:v>1.1825802166488628E-12</c:v>
                </c:pt>
                <c:pt idx="169">
                  <c:v>1.1825802166488628E-12</c:v>
                </c:pt>
                <c:pt idx="170">
                  <c:v>1.1825802166488628E-12</c:v>
                </c:pt>
                <c:pt idx="171">
                  <c:v>1.1825802166488628E-12</c:v>
                </c:pt>
                <c:pt idx="172">
                  <c:v>1.1825802166488628E-12</c:v>
                </c:pt>
                <c:pt idx="173">
                  <c:v>1.1825802166488628E-12</c:v>
                </c:pt>
                <c:pt idx="174">
                  <c:v>1.1825802166488628E-12</c:v>
                </c:pt>
                <c:pt idx="175">
                  <c:v>1.1825802166488628E-12</c:v>
                </c:pt>
                <c:pt idx="176">
                  <c:v>1.1825802166488628E-12</c:v>
                </c:pt>
                <c:pt idx="177">
                  <c:v>1.1825802166488628E-12</c:v>
                </c:pt>
                <c:pt idx="178">
                  <c:v>1.1825802166488628E-12</c:v>
                </c:pt>
                <c:pt idx="179">
                  <c:v>1.1825802166488628E-12</c:v>
                </c:pt>
                <c:pt idx="180">
                  <c:v>1.1825802166488628E-12</c:v>
                </c:pt>
                <c:pt idx="181">
                  <c:v>1.1825802166488628E-12</c:v>
                </c:pt>
                <c:pt idx="182">
                  <c:v>1.1825802166488628E-12</c:v>
                </c:pt>
                <c:pt idx="183">
                  <c:v>1.1825802166488628E-12</c:v>
                </c:pt>
                <c:pt idx="184">
                  <c:v>1.1825802166488628E-12</c:v>
                </c:pt>
                <c:pt idx="185">
                  <c:v>1.1825802166488628E-12</c:v>
                </c:pt>
                <c:pt idx="186">
                  <c:v>1.1825802166488628E-12</c:v>
                </c:pt>
                <c:pt idx="187">
                  <c:v>1.1825802166488628E-12</c:v>
                </c:pt>
                <c:pt idx="188">
                  <c:v>1.1825802166488628E-12</c:v>
                </c:pt>
                <c:pt idx="189">
                  <c:v>1.1825802166488628E-12</c:v>
                </c:pt>
                <c:pt idx="190">
                  <c:v>1.1825802166488628E-12</c:v>
                </c:pt>
                <c:pt idx="191">
                  <c:v>1.1825802166488628E-12</c:v>
                </c:pt>
                <c:pt idx="192">
                  <c:v>1.1825802166488628E-12</c:v>
                </c:pt>
                <c:pt idx="193">
                  <c:v>1.1825802166488628E-12</c:v>
                </c:pt>
                <c:pt idx="194">
                  <c:v>1.1825802166488628E-12</c:v>
                </c:pt>
                <c:pt idx="195">
                  <c:v>1.1825802166488628E-12</c:v>
                </c:pt>
                <c:pt idx="196">
                  <c:v>1.1825802166488628E-12</c:v>
                </c:pt>
                <c:pt idx="197">
                  <c:v>1.1825802166488628E-12</c:v>
                </c:pt>
                <c:pt idx="198">
                  <c:v>1.1825802166488628E-12</c:v>
                </c:pt>
                <c:pt idx="199">
                  <c:v>1.1825802166488628E-12</c:v>
                </c:pt>
                <c:pt idx="200">
                  <c:v>1.1825802166488628E-12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1.4563708802881832</c:v>
                </c:pt>
                <c:pt idx="2">
                  <c:v>1.8288493549594131</c:v>
                </c:pt>
                <c:pt idx="3">
                  <c:v>2.296974302763831</c:v>
                </c:pt>
                <c:pt idx="4">
                  <c:v>2.885399069049877</c:v>
                </c:pt>
                <c:pt idx="5">
                  <c:v>3.6251540002227998</c:v>
                </c:pt>
                <c:pt idx="6">
                  <c:v>4.5553013833209715</c:v>
                </c:pt>
                <c:pt idx="7">
                  <c:v>5.725021173155409</c:v>
                </c:pt>
                <c:pt idx="8">
                  <c:v>7.1962399548161322</c:v>
                </c:pt>
                <c:pt idx="9">
                  <c:v>9.0469450159342486</c:v>
                </c:pt>
                <c:pt idx="10">
                  <c:v>11.375362548091188</c:v>
                </c:pt>
                <c:pt idx="11">
                  <c:v>14.305225888895903</c:v>
                </c:pt>
                <c:pt idx="12">
                  <c:v>17.992418918441064</c:v>
                </c:pt>
                <c:pt idx="13">
                  <c:v>22.633354474173885</c:v>
                </c:pt>
                <c:pt idx="14">
                  <c:v>28.475542038030142</c:v>
                </c:pt>
                <c:pt idx="15">
                  <c:v>35.830918148827841</c:v>
                </c:pt>
                <c:pt idx="16">
                  <c:v>45.092663534478852</c:v>
                </c:pt>
                <c:pt idx="17">
                  <c:v>56.756421098888758</c:v>
                </c:pt>
                <c:pt idx="18">
                  <c:v>71.447069072294553</c:v>
                </c:pt>
                <c:pt idx="19">
                  <c:v>89.952507030197253</c:v>
                </c:pt>
                <c:pt idx="20">
                  <c:v>113.26629577602993</c:v>
                </c:pt>
                <c:pt idx="21">
                  <c:v>142.64147634003123</c:v>
                </c:pt>
                <c:pt idx="22">
                  <c:v>179.65850521226398</c:v>
                </c:pt>
                <c:pt idx="23">
                  <c:v>226.31101608175618</c:v>
                </c:pt>
                <c:pt idx="24">
                  <c:v>285.11409537900886</c:v>
                </c:pt>
                <c:pt idx="25">
                  <c:v>359.24099365648948</c:v>
                </c:pt>
                <c:pt idx="26">
                  <c:v>364.52039247516888</c:v>
                </c:pt>
                <c:pt idx="27">
                  <c:v>389.57518088726471</c:v>
                </c:pt>
                <c:pt idx="28">
                  <c:v>414.59501094949616</c:v>
                </c:pt>
                <c:pt idx="29">
                  <c:v>439.58228694730792</c:v>
                </c:pt>
                <c:pt idx="30">
                  <c:v>464.53911772855707</c:v>
                </c:pt>
                <c:pt idx="31">
                  <c:v>442.58618450879516</c:v>
                </c:pt>
                <c:pt idx="32">
                  <c:v>465.66430287367569</c:v>
                </c:pt>
                <c:pt idx="33">
                  <c:v>488.71804598463024</c:v>
                </c:pt>
                <c:pt idx="34">
                  <c:v>511.74872432101296</c:v>
                </c:pt>
                <c:pt idx="35">
                  <c:v>534.75752089257219</c:v>
                </c:pt>
                <c:pt idx="36">
                  <c:v>498.27008031136688</c:v>
                </c:pt>
                <c:pt idx="37">
                  <c:v>518.85941686634226</c:v>
                </c:pt>
                <c:pt idx="38">
                  <c:v>539.43152797711502</c:v>
                </c:pt>
                <c:pt idx="39">
                  <c:v>559.98716245543392</c:v>
                </c:pt>
                <c:pt idx="40">
                  <c:v>580.52700970317767</c:v>
                </c:pt>
                <c:pt idx="41">
                  <c:v>538.12289211912514</c:v>
                </c:pt>
                <c:pt idx="42">
                  <c:v>556.43779025905633</c:v>
                </c:pt>
                <c:pt idx="43">
                  <c:v>574.74006711910147</c:v>
                </c:pt>
                <c:pt idx="44">
                  <c:v>593.03018090453304</c:v>
                </c:pt>
                <c:pt idx="45">
                  <c:v>611.30855927392497</c:v>
                </c:pt>
                <c:pt idx="46">
                  <c:v>563.90960507745376</c:v>
                </c:pt>
                <c:pt idx="47">
                  <c:v>580.90031938117022</c:v>
                </c:pt>
                <c:pt idx="48">
                  <c:v>597.8806734070788</c:v>
                </c:pt>
                <c:pt idx="49">
                  <c:v>614.8510026316543</c:v>
                </c:pt>
                <c:pt idx="50">
                  <c:v>631.81162251582703</c:v>
                </c:pt>
                <c:pt idx="51">
                  <c:v>579.78037532205087</c:v>
                </c:pt>
                <c:pt idx="52">
                  <c:v>595.82864226086485</c:v>
                </c:pt>
                <c:pt idx="53">
                  <c:v>611.86792068503098</c:v>
                </c:pt>
                <c:pt idx="54">
                  <c:v>627.89847925254378</c:v>
                </c:pt>
                <c:pt idx="55">
                  <c:v>643.92057179411461</c:v>
                </c:pt>
                <c:pt idx="56">
                  <c:v>595.26897190916111</c:v>
                </c:pt>
                <c:pt idx="57">
                  <c:v>610.00334132665228</c:v>
                </c:pt>
                <c:pt idx="58">
                  <c:v>624.73032709457891</c:v>
                </c:pt>
                <c:pt idx="59">
                  <c:v>639.45012769325217</c:v>
                </c:pt>
                <c:pt idx="60">
                  <c:v>654.16293172550183</c:v>
                </c:pt>
                <c:pt idx="61">
                  <c:v>611.12210311064825</c:v>
                </c:pt>
                <c:pt idx="62">
                  <c:v>624.9166981766765</c:v>
                </c:pt>
                <c:pt idx="63">
                  <c:v>638.70499104232476</c:v>
                </c:pt>
                <c:pt idx="64">
                  <c:v>652.48713685807763</c:v>
                </c:pt>
                <c:pt idx="65">
                  <c:v>666.26328368923987</c:v>
                </c:pt>
                <c:pt idx="66">
                  <c:v>54.812153809235433</c:v>
                </c:pt>
                <c:pt idx="67">
                  <c:v>54.812153809235433</c:v>
                </c:pt>
                <c:pt idx="68">
                  <c:v>54.812153809235433</c:v>
                </c:pt>
                <c:pt idx="69">
                  <c:v>54.812153809235433</c:v>
                </c:pt>
                <c:pt idx="70">
                  <c:v>54.812153809235433</c:v>
                </c:pt>
                <c:pt idx="71">
                  <c:v>54.812153809235433</c:v>
                </c:pt>
                <c:pt idx="72">
                  <c:v>54.812153809235433</c:v>
                </c:pt>
                <c:pt idx="73">
                  <c:v>54.812153809235433</c:v>
                </c:pt>
                <c:pt idx="74">
                  <c:v>54.812153809235433</c:v>
                </c:pt>
                <c:pt idx="75">
                  <c:v>54.812153809235433</c:v>
                </c:pt>
                <c:pt idx="76">
                  <c:v>54.812153809235433</c:v>
                </c:pt>
                <c:pt idx="77">
                  <c:v>54.812153809235433</c:v>
                </c:pt>
                <c:pt idx="78">
                  <c:v>54.812153809235433</c:v>
                </c:pt>
                <c:pt idx="79">
                  <c:v>54.812153809235433</c:v>
                </c:pt>
                <c:pt idx="80">
                  <c:v>54.812153809235433</c:v>
                </c:pt>
                <c:pt idx="81">
                  <c:v>54.812153809235433</c:v>
                </c:pt>
                <c:pt idx="82">
                  <c:v>54.812153809235433</c:v>
                </c:pt>
                <c:pt idx="83">
                  <c:v>54.812153809235433</c:v>
                </c:pt>
                <c:pt idx="84">
                  <c:v>54.812153809235433</c:v>
                </c:pt>
                <c:pt idx="85">
                  <c:v>54.812153809235433</c:v>
                </c:pt>
                <c:pt idx="86">
                  <c:v>54.812153809235433</c:v>
                </c:pt>
                <c:pt idx="87">
                  <c:v>54.812153809235433</c:v>
                </c:pt>
                <c:pt idx="88">
                  <c:v>54.812153809235433</c:v>
                </c:pt>
                <c:pt idx="89">
                  <c:v>54.812153809235433</c:v>
                </c:pt>
                <c:pt idx="90">
                  <c:v>54.812153809235433</c:v>
                </c:pt>
                <c:pt idx="91">
                  <c:v>54.812153809235433</c:v>
                </c:pt>
                <c:pt idx="92">
                  <c:v>54.812153809235433</c:v>
                </c:pt>
                <c:pt idx="93">
                  <c:v>54.812153809235433</c:v>
                </c:pt>
                <c:pt idx="94">
                  <c:v>54.812153809235433</c:v>
                </c:pt>
                <c:pt idx="95">
                  <c:v>54.812153809235433</c:v>
                </c:pt>
                <c:pt idx="96">
                  <c:v>54.812153809235433</c:v>
                </c:pt>
                <c:pt idx="97">
                  <c:v>54.812153809235433</c:v>
                </c:pt>
                <c:pt idx="98">
                  <c:v>54.812153809235433</c:v>
                </c:pt>
                <c:pt idx="99">
                  <c:v>54.812153809235433</c:v>
                </c:pt>
                <c:pt idx="100">
                  <c:v>54.812153809235433</c:v>
                </c:pt>
                <c:pt idx="101">
                  <c:v>54.812153809235433</c:v>
                </c:pt>
                <c:pt idx="102">
                  <c:v>54.812153809235433</c:v>
                </c:pt>
                <c:pt idx="103">
                  <c:v>54.812153809235433</c:v>
                </c:pt>
                <c:pt idx="104">
                  <c:v>54.812153809235433</c:v>
                </c:pt>
                <c:pt idx="105">
                  <c:v>54.812153809235433</c:v>
                </c:pt>
                <c:pt idx="106">
                  <c:v>54.812153809235433</c:v>
                </c:pt>
                <c:pt idx="107">
                  <c:v>54.812153809235433</c:v>
                </c:pt>
                <c:pt idx="108">
                  <c:v>54.812153809235433</c:v>
                </c:pt>
                <c:pt idx="109">
                  <c:v>54.812153809235433</c:v>
                </c:pt>
                <c:pt idx="110">
                  <c:v>54.812153809235433</c:v>
                </c:pt>
                <c:pt idx="111">
                  <c:v>54.812153809235433</c:v>
                </c:pt>
                <c:pt idx="112">
                  <c:v>54.812153809235433</c:v>
                </c:pt>
                <c:pt idx="113">
                  <c:v>54.812153809235433</c:v>
                </c:pt>
                <c:pt idx="114">
                  <c:v>54.812153809235433</c:v>
                </c:pt>
                <c:pt idx="115">
                  <c:v>54.812153809235433</c:v>
                </c:pt>
                <c:pt idx="116">
                  <c:v>54.812153809235433</c:v>
                </c:pt>
                <c:pt idx="117">
                  <c:v>54.812153809235433</c:v>
                </c:pt>
                <c:pt idx="118">
                  <c:v>54.812153809235433</c:v>
                </c:pt>
                <c:pt idx="119">
                  <c:v>54.812153809235433</c:v>
                </c:pt>
                <c:pt idx="120">
                  <c:v>54.812153809235433</c:v>
                </c:pt>
                <c:pt idx="121">
                  <c:v>54.812153809235433</c:v>
                </c:pt>
                <c:pt idx="122">
                  <c:v>54.812153809235433</c:v>
                </c:pt>
                <c:pt idx="123">
                  <c:v>54.812153809235433</c:v>
                </c:pt>
                <c:pt idx="124">
                  <c:v>54.812153809235433</c:v>
                </c:pt>
                <c:pt idx="125">
                  <c:v>54.812153809235433</c:v>
                </c:pt>
                <c:pt idx="126">
                  <c:v>54.812153809235433</c:v>
                </c:pt>
                <c:pt idx="127">
                  <c:v>54.812153809235433</c:v>
                </c:pt>
                <c:pt idx="128">
                  <c:v>54.812153809235433</c:v>
                </c:pt>
                <c:pt idx="129">
                  <c:v>54.812153809235433</c:v>
                </c:pt>
                <c:pt idx="130">
                  <c:v>54.812153809235433</c:v>
                </c:pt>
                <c:pt idx="131">
                  <c:v>54.812153809235433</c:v>
                </c:pt>
                <c:pt idx="132">
                  <c:v>54.812153809235433</c:v>
                </c:pt>
                <c:pt idx="133">
                  <c:v>54.812153809235433</c:v>
                </c:pt>
                <c:pt idx="134">
                  <c:v>54.812153809235433</c:v>
                </c:pt>
                <c:pt idx="135">
                  <c:v>54.812153809235433</c:v>
                </c:pt>
                <c:pt idx="136">
                  <c:v>54.812153809235433</c:v>
                </c:pt>
                <c:pt idx="137">
                  <c:v>54.812153809235433</c:v>
                </c:pt>
                <c:pt idx="138">
                  <c:v>54.812153809235433</c:v>
                </c:pt>
                <c:pt idx="139">
                  <c:v>54.812153809235433</c:v>
                </c:pt>
                <c:pt idx="140">
                  <c:v>54.812153809235433</c:v>
                </c:pt>
                <c:pt idx="141">
                  <c:v>54.812153809235433</c:v>
                </c:pt>
                <c:pt idx="142">
                  <c:v>54.812153809235433</c:v>
                </c:pt>
                <c:pt idx="143">
                  <c:v>54.812153809235433</c:v>
                </c:pt>
                <c:pt idx="144">
                  <c:v>54.812153809235433</c:v>
                </c:pt>
                <c:pt idx="145">
                  <c:v>54.812153809235433</c:v>
                </c:pt>
                <c:pt idx="146">
                  <c:v>54.812153809235433</c:v>
                </c:pt>
                <c:pt idx="147">
                  <c:v>54.812153809235433</c:v>
                </c:pt>
                <c:pt idx="148">
                  <c:v>54.812153809235433</c:v>
                </c:pt>
                <c:pt idx="149">
                  <c:v>54.812153809235433</c:v>
                </c:pt>
                <c:pt idx="150">
                  <c:v>54.812153809235433</c:v>
                </c:pt>
                <c:pt idx="151">
                  <c:v>54.812153809235433</c:v>
                </c:pt>
                <c:pt idx="152">
                  <c:v>54.812153809235433</c:v>
                </c:pt>
                <c:pt idx="153">
                  <c:v>54.812153809235433</c:v>
                </c:pt>
                <c:pt idx="154">
                  <c:v>54.812153809235433</c:v>
                </c:pt>
                <c:pt idx="155">
                  <c:v>54.812153809235433</c:v>
                </c:pt>
                <c:pt idx="156">
                  <c:v>54.812153809235433</c:v>
                </c:pt>
                <c:pt idx="157">
                  <c:v>54.812153809235433</c:v>
                </c:pt>
                <c:pt idx="158">
                  <c:v>54.812153809235433</c:v>
                </c:pt>
                <c:pt idx="159">
                  <c:v>54.812153809235433</c:v>
                </c:pt>
                <c:pt idx="160">
                  <c:v>54.812153809235433</c:v>
                </c:pt>
                <c:pt idx="161">
                  <c:v>54.812153809235433</c:v>
                </c:pt>
                <c:pt idx="162">
                  <c:v>54.812153809235433</c:v>
                </c:pt>
                <c:pt idx="163">
                  <c:v>54.812153809235433</c:v>
                </c:pt>
                <c:pt idx="164">
                  <c:v>54.812153809235433</c:v>
                </c:pt>
                <c:pt idx="165">
                  <c:v>54.812153809235433</c:v>
                </c:pt>
                <c:pt idx="166">
                  <c:v>54.812153809235433</c:v>
                </c:pt>
                <c:pt idx="167">
                  <c:v>54.812153809235433</c:v>
                </c:pt>
                <c:pt idx="168">
                  <c:v>54.812153809235433</c:v>
                </c:pt>
                <c:pt idx="169">
                  <c:v>54.812153809235433</c:v>
                </c:pt>
                <c:pt idx="170">
                  <c:v>54.812153809235433</c:v>
                </c:pt>
                <c:pt idx="171">
                  <c:v>54.812153809235433</c:v>
                </c:pt>
                <c:pt idx="172">
                  <c:v>54.812153809235433</c:v>
                </c:pt>
                <c:pt idx="173">
                  <c:v>54.812153809235433</c:v>
                </c:pt>
                <c:pt idx="174">
                  <c:v>54.812153809235433</c:v>
                </c:pt>
                <c:pt idx="175">
                  <c:v>54.812153809235433</c:v>
                </c:pt>
                <c:pt idx="176">
                  <c:v>54.812153809235433</c:v>
                </c:pt>
                <c:pt idx="177">
                  <c:v>54.812153809235433</c:v>
                </c:pt>
                <c:pt idx="178">
                  <c:v>54.812153809235433</c:v>
                </c:pt>
                <c:pt idx="179">
                  <c:v>54.812153809235433</c:v>
                </c:pt>
                <c:pt idx="180">
                  <c:v>54.812153809235433</c:v>
                </c:pt>
                <c:pt idx="181">
                  <c:v>54.812153809235433</c:v>
                </c:pt>
                <c:pt idx="182">
                  <c:v>54.812153809235433</c:v>
                </c:pt>
                <c:pt idx="183">
                  <c:v>54.812153809235433</c:v>
                </c:pt>
                <c:pt idx="184">
                  <c:v>54.812153809235433</c:v>
                </c:pt>
                <c:pt idx="185">
                  <c:v>54.812153809235433</c:v>
                </c:pt>
                <c:pt idx="186">
                  <c:v>54.812153809235433</c:v>
                </c:pt>
                <c:pt idx="187">
                  <c:v>54.812153809235433</c:v>
                </c:pt>
                <c:pt idx="188">
                  <c:v>54.812153809235433</c:v>
                </c:pt>
                <c:pt idx="189">
                  <c:v>54.812153809235433</c:v>
                </c:pt>
                <c:pt idx="190">
                  <c:v>54.812153809235433</c:v>
                </c:pt>
                <c:pt idx="191">
                  <c:v>54.812153809235433</c:v>
                </c:pt>
                <c:pt idx="192">
                  <c:v>54.812153809235433</c:v>
                </c:pt>
                <c:pt idx="193">
                  <c:v>54.812153809235433</c:v>
                </c:pt>
                <c:pt idx="194">
                  <c:v>54.812153809235433</c:v>
                </c:pt>
                <c:pt idx="195">
                  <c:v>54.812153809235433</c:v>
                </c:pt>
                <c:pt idx="196">
                  <c:v>54.812153809235433</c:v>
                </c:pt>
                <c:pt idx="197">
                  <c:v>54.812153809235433</c:v>
                </c:pt>
                <c:pt idx="198">
                  <c:v>54.812153809235433</c:v>
                </c:pt>
                <c:pt idx="199">
                  <c:v>54.812153809235433</c:v>
                </c:pt>
                <c:pt idx="200">
                  <c:v>54.812153809235433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1.825480320405273</c:v>
                </c:pt>
                <c:pt idx="2">
                  <c:v>2.2927398343887342</c:v>
                </c:pt>
                <c:pt idx="3">
                  <c:v>2.880076019598798</c:v>
                </c:pt>
                <c:pt idx="4">
                  <c:v>3.618461482981953</c:v>
                </c:pt>
                <c:pt idx="5">
                  <c:v>4.5468857832632326</c:v>
                </c:pt>
                <c:pt idx="6">
                  <c:v>5.7144372553501688</c:v>
                </c:pt>
                <c:pt idx="7">
                  <c:v>7.1829270511219407</c:v>
                </c:pt>
                <c:pt idx="8">
                  <c:v>9.0301970042729689</c:v>
                </c:pt>
                <c:pt idx="9">
                  <c:v>11.354290001909446</c:v>
                </c:pt>
                <c:pt idx="10">
                  <c:v>14.278708349357844</c:v>
                </c:pt>
                <c:pt idx="11">
                  <c:v>17.959044705225836</c:v>
                </c:pt>
                <c:pt idx="12">
                  <c:v>22.591344773108478</c:v>
                </c:pt>
                <c:pt idx="13">
                  <c:v>28.422655148071566</c:v>
                </c:pt>
                <c:pt idx="14">
                  <c:v>35.764328690233505</c:v>
                </c:pt>
                <c:pt idx="15">
                  <c:v>45.008810055123341</c:v>
                </c:pt>
                <c:pt idx="16">
                  <c:v>56.650813791717759</c:v>
                </c:pt>
                <c:pt idx="17">
                  <c:v>71.314047139216441</c:v>
                </c:pt>
                <c:pt idx="18">
                  <c:v>89.784932476674257</c:v>
                </c:pt>
                <c:pt idx="19">
                  <c:v>113.05516694503963</c:v>
                </c:pt>
                <c:pt idx="20">
                  <c:v>142.37544010277634</c:v>
                </c:pt>
                <c:pt idx="21">
                  <c:v>179.32324118436588</c:v>
                </c:pt>
                <c:pt idx="22">
                  <c:v>225.88845922216728</c:v>
                </c:pt>
                <c:pt idx="23">
                  <c:v>284.58145446824443</c:v>
                </c:pt>
                <c:pt idx="24">
                  <c:v>358.56951195260677</c:v>
                </c:pt>
                <c:pt idx="25">
                  <c:v>451.84914558797823</c:v>
                </c:pt>
                <c:pt idx="26">
                  <c:v>458.49300619252989</c:v>
                </c:pt>
                <c:pt idx="27">
                  <c:v>490.02383273307811</c:v>
                </c:pt>
                <c:pt idx="28">
                  <c:v>521.51163942471965</c:v>
                </c:pt>
                <c:pt idx="29">
                  <c:v>552.95938498824512</c:v>
                </c:pt>
                <c:pt idx="30">
                  <c:v>584.36966457807478</c:v>
                </c:pt>
                <c:pt idx="31">
                  <c:v>556.73999981392387</c:v>
                </c:pt>
                <c:pt idx="32">
                  <c:v>585.78582434631869</c:v>
                </c:pt>
                <c:pt idx="33">
                  <c:v>614.8016526190205</c:v>
                </c:pt>
                <c:pt idx="34">
                  <c:v>643.78909731180499</c:v>
                </c:pt>
                <c:pt idx="35">
                  <c:v>672.74961423997343</c:v>
                </c:pt>
                <c:pt idx="36">
                  <c:v>626.82419491945336</c:v>
                </c:pt>
                <c:pt idx="37">
                  <c:v>652.73905939374674</c:v>
                </c:pt>
                <c:pt idx="38">
                  <c:v>678.63272618537417</c:v>
                </c:pt>
                <c:pt idx="39">
                  <c:v>704.5061167842922</c:v>
                </c:pt>
                <c:pt idx="40">
                  <c:v>730.3600795704948</c:v>
                </c:pt>
                <c:pt idx="41">
                  <c:v>676.9855608271813</c:v>
                </c:pt>
                <c:pt idx="42">
                  <c:v>700.03848745929793</c:v>
                </c:pt>
                <c:pt idx="43">
                  <c:v>723.07588230699673</c:v>
                </c:pt>
                <c:pt idx="44">
                  <c:v>746.09830923904281</c:v>
                </c:pt>
                <c:pt idx="45">
                  <c:v>769.10629453334457</c:v>
                </c:pt>
                <c:pt idx="46">
                  <c:v>709.44334887873549</c:v>
                </c:pt>
                <c:pt idx="47">
                  <c:v>730.82997676459536</c:v>
                </c:pt>
                <c:pt idx="48">
                  <c:v>752.20385526189273</c:v>
                </c:pt>
                <c:pt idx="49">
                  <c:v>773.56539720897081</c:v>
                </c:pt>
                <c:pt idx="50">
                  <c:v>794.91499081298605</c:v>
                </c:pt>
                <c:pt idx="51">
                  <c:v>729.42026669230893</c:v>
                </c:pt>
                <c:pt idx="52">
                  <c:v>749.62086306283607</c:v>
                </c:pt>
                <c:pt idx="53">
                  <c:v>769.81039814060966</c:v>
                </c:pt>
                <c:pt idx="54">
                  <c:v>789.9892025369528</c:v>
                </c:pt>
                <c:pt idx="55">
                  <c:v>810.15758861669144</c:v>
                </c:pt>
                <c:pt idx="56">
                  <c:v>748.91637927235604</c:v>
                </c:pt>
                <c:pt idx="57">
                  <c:v>767.46333526620583</c:v>
                </c:pt>
                <c:pt idx="58">
                  <c:v>786.00120491902726</c:v>
                </c:pt>
                <c:pt idx="59">
                  <c:v>804.53023248127954</c:v>
                </c:pt>
                <c:pt idx="60">
                  <c:v>823.05065004816379</c:v>
                </c:pt>
                <c:pt idx="61">
                  <c:v>768.87159042722294</c:v>
                </c:pt>
                <c:pt idx="62">
                  <c:v>786.23580432399751</c:v>
                </c:pt>
                <c:pt idx="63">
                  <c:v>803.59226271431453</c:v>
                </c:pt>
                <c:pt idx="64">
                  <c:v>820.94115652681933</c:v>
                </c:pt>
                <c:pt idx="65">
                  <c:v>838.28266797111507</c:v>
                </c:pt>
                <c:pt idx="66">
                  <c:v>68.869660647105263</c:v>
                </c:pt>
                <c:pt idx="67">
                  <c:v>68.869660647105263</c:v>
                </c:pt>
                <c:pt idx="68">
                  <c:v>68.869660647105263</c:v>
                </c:pt>
                <c:pt idx="69">
                  <c:v>68.869660647105263</c:v>
                </c:pt>
                <c:pt idx="70">
                  <c:v>68.869660647105263</c:v>
                </c:pt>
                <c:pt idx="71">
                  <c:v>68.869660647105263</c:v>
                </c:pt>
                <c:pt idx="72">
                  <c:v>68.869660647105263</c:v>
                </c:pt>
                <c:pt idx="73">
                  <c:v>68.869660647105263</c:v>
                </c:pt>
                <c:pt idx="74">
                  <c:v>68.869660647105263</c:v>
                </c:pt>
                <c:pt idx="75">
                  <c:v>68.869660647105263</c:v>
                </c:pt>
                <c:pt idx="76">
                  <c:v>68.869660647105263</c:v>
                </c:pt>
                <c:pt idx="77">
                  <c:v>68.869660647105263</c:v>
                </c:pt>
                <c:pt idx="78">
                  <c:v>68.869660647105263</c:v>
                </c:pt>
                <c:pt idx="79">
                  <c:v>68.869660647105263</c:v>
                </c:pt>
                <c:pt idx="80">
                  <c:v>68.869660647105263</c:v>
                </c:pt>
                <c:pt idx="81">
                  <c:v>68.869660647105263</c:v>
                </c:pt>
                <c:pt idx="82">
                  <c:v>68.869660647105263</c:v>
                </c:pt>
                <c:pt idx="83">
                  <c:v>68.869660647105263</c:v>
                </c:pt>
                <c:pt idx="84">
                  <c:v>68.869660647105263</c:v>
                </c:pt>
                <c:pt idx="85">
                  <c:v>68.869660647105263</c:v>
                </c:pt>
                <c:pt idx="86">
                  <c:v>68.869660647105263</c:v>
                </c:pt>
                <c:pt idx="87">
                  <c:v>68.869660647105263</c:v>
                </c:pt>
                <c:pt idx="88">
                  <c:v>68.869660647105263</c:v>
                </c:pt>
                <c:pt idx="89">
                  <c:v>68.869660647105263</c:v>
                </c:pt>
                <c:pt idx="90">
                  <c:v>68.869660647105263</c:v>
                </c:pt>
                <c:pt idx="91">
                  <c:v>68.869660647105263</c:v>
                </c:pt>
                <c:pt idx="92">
                  <c:v>68.869660647105263</c:v>
                </c:pt>
                <c:pt idx="93">
                  <c:v>68.869660647105263</c:v>
                </c:pt>
                <c:pt idx="94">
                  <c:v>68.869660647105263</c:v>
                </c:pt>
                <c:pt idx="95">
                  <c:v>68.869660647105263</c:v>
                </c:pt>
                <c:pt idx="96">
                  <c:v>68.869660647105263</c:v>
                </c:pt>
                <c:pt idx="97">
                  <c:v>68.869660647105263</c:v>
                </c:pt>
                <c:pt idx="98">
                  <c:v>68.869660647105263</c:v>
                </c:pt>
                <c:pt idx="99">
                  <c:v>68.869660647105263</c:v>
                </c:pt>
                <c:pt idx="100">
                  <c:v>68.869660647105263</c:v>
                </c:pt>
                <c:pt idx="101">
                  <c:v>68.869660647105263</c:v>
                </c:pt>
                <c:pt idx="102">
                  <c:v>68.869660647105263</c:v>
                </c:pt>
                <c:pt idx="103">
                  <c:v>68.869660647105263</c:v>
                </c:pt>
                <c:pt idx="104">
                  <c:v>68.869660647105263</c:v>
                </c:pt>
                <c:pt idx="105">
                  <c:v>68.869660647105263</c:v>
                </c:pt>
                <c:pt idx="106">
                  <c:v>68.869660647105263</c:v>
                </c:pt>
                <c:pt idx="107">
                  <c:v>68.869660647105263</c:v>
                </c:pt>
                <c:pt idx="108">
                  <c:v>68.869660647105263</c:v>
                </c:pt>
                <c:pt idx="109">
                  <c:v>68.869660647105263</c:v>
                </c:pt>
                <c:pt idx="110">
                  <c:v>68.869660647105263</c:v>
                </c:pt>
                <c:pt idx="111">
                  <c:v>68.869660647105263</c:v>
                </c:pt>
                <c:pt idx="112">
                  <c:v>68.869660647105263</c:v>
                </c:pt>
                <c:pt idx="113">
                  <c:v>68.869660647105263</c:v>
                </c:pt>
                <c:pt idx="114">
                  <c:v>68.869660647105263</c:v>
                </c:pt>
                <c:pt idx="115">
                  <c:v>68.869660647105263</c:v>
                </c:pt>
                <c:pt idx="116">
                  <c:v>68.869660647105263</c:v>
                </c:pt>
                <c:pt idx="117">
                  <c:v>68.869660647105263</c:v>
                </c:pt>
                <c:pt idx="118">
                  <c:v>68.869660647105263</c:v>
                </c:pt>
                <c:pt idx="119">
                  <c:v>68.869660647105263</c:v>
                </c:pt>
                <c:pt idx="120">
                  <c:v>68.869660647105263</c:v>
                </c:pt>
                <c:pt idx="121">
                  <c:v>68.869660647105263</c:v>
                </c:pt>
                <c:pt idx="122">
                  <c:v>68.869660647105263</c:v>
                </c:pt>
                <c:pt idx="123">
                  <c:v>68.869660647105263</c:v>
                </c:pt>
                <c:pt idx="124">
                  <c:v>68.869660647105263</c:v>
                </c:pt>
                <c:pt idx="125">
                  <c:v>68.869660647105263</c:v>
                </c:pt>
                <c:pt idx="126">
                  <c:v>68.869660647105263</c:v>
                </c:pt>
                <c:pt idx="127">
                  <c:v>68.869660647105263</c:v>
                </c:pt>
                <c:pt idx="128">
                  <c:v>68.869660647105263</c:v>
                </c:pt>
                <c:pt idx="129">
                  <c:v>68.869660647105263</c:v>
                </c:pt>
                <c:pt idx="130">
                  <c:v>68.869660647105263</c:v>
                </c:pt>
                <c:pt idx="131">
                  <c:v>68.869660647105263</c:v>
                </c:pt>
                <c:pt idx="132">
                  <c:v>68.869660647105263</c:v>
                </c:pt>
                <c:pt idx="133">
                  <c:v>68.869660647105263</c:v>
                </c:pt>
                <c:pt idx="134">
                  <c:v>68.869660647105263</c:v>
                </c:pt>
                <c:pt idx="135">
                  <c:v>68.869660647105263</c:v>
                </c:pt>
                <c:pt idx="136">
                  <c:v>68.869660647105263</c:v>
                </c:pt>
                <c:pt idx="137">
                  <c:v>68.869660647105263</c:v>
                </c:pt>
                <c:pt idx="138">
                  <c:v>68.869660647105263</c:v>
                </c:pt>
                <c:pt idx="139">
                  <c:v>68.869660647105263</c:v>
                </c:pt>
                <c:pt idx="140">
                  <c:v>68.869660647105263</c:v>
                </c:pt>
                <c:pt idx="141">
                  <c:v>68.869660647105263</c:v>
                </c:pt>
                <c:pt idx="142">
                  <c:v>68.869660647105263</c:v>
                </c:pt>
                <c:pt idx="143">
                  <c:v>68.869660647105263</c:v>
                </c:pt>
                <c:pt idx="144">
                  <c:v>68.869660647105263</c:v>
                </c:pt>
                <c:pt idx="145">
                  <c:v>68.869660647105263</c:v>
                </c:pt>
                <c:pt idx="146">
                  <c:v>68.869660647105263</c:v>
                </c:pt>
                <c:pt idx="147">
                  <c:v>68.869660647105263</c:v>
                </c:pt>
                <c:pt idx="148">
                  <c:v>68.869660647105263</c:v>
                </c:pt>
                <c:pt idx="149">
                  <c:v>68.869660647105263</c:v>
                </c:pt>
                <c:pt idx="150">
                  <c:v>68.869660647105263</c:v>
                </c:pt>
                <c:pt idx="151">
                  <c:v>68.869660647105263</c:v>
                </c:pt>
                <c:pt idx="152">
                  <c:v>68.869660647105263</c:v>
                </c:pt>
                <c:pt idx="153">
                  <c:v>68.869660647105263</c:v>
                </c:pt>
                <c:pt idx="154">
                  <c:v>68.869660647105263</c:v>
                </c:pt>
                <c:pt idx="155">
                  <c:v>68.869660647105263</c:v>
                </c:pt>
                <c:pt idx="156">
                  <c:v>68.869660647105263</c:v>
                </c:pt>
                <c:pt idx="157">
                  <c:v>68.869660647105263</c:v>
                </c:pt>
                <c:pt idx="158">
                  <c:v>68.869660647105263</c:v>
                </c:pt>
                <c:pt idx="159">
                  <c:v>68.869660647105263</c:v>
                </c:pt>
                <c:pt idx="160">
                  <c:v>68.869660647105263</c:v>
                </c:pt>
                <c:pt idx="161">
                  <c:v>68.869660647105263</c:v>
                </c:pt>
                <c:pt idx="162">
                  <c:v>68.869660647105263</c:v>
                </c:pt>
                <c:pt idx="163">
                  <c:v>68.869660647105263</c:v>
                </c:pt>
                <c:pt idx="164">
                  <c:v>68.869660647105263</c:v>
                </c:pt>
                <c:pt idx="165">
                  <c:v>68.869660647105263</c:v>
                </c:pt>
                <c:pt idx="166">
                  <c:v>68.869660647105263</c:v>
                </c:pt>
                <c:pt idx="167">
                  <c:v>68.869660647105263</c:v>
                </c:pt>
                <c:pt idx="168">
                  <c:v>68.869660647105263</c:v>
                </c:pt>
                <c:pt idx="169">
                  <c:v>68.869660647105263</c:v>
                </c:pt>
                <c:pt idx="170">
                  <c:v>68.869660647105263</c:v>
                </c:pt>
                <c:pt idx="171">
                  <c:v>68.869660647105263</c:v>
                </c:pt>
                <c:pt idx="172">
                  <c:v>68.869660647105263</c:v>
                </c:pt>
                <c:pt idx="173">
                  <c:v>68.869660647105263</c:v>
                </c:pt>
                <c:pt idx="174">
                  <c:v>68.869660647105263</c:v>
                </c:pt>
                <c:pt idx="175">
                  <c:v>68.869660647105263</c:v>
                </c:pt>
                <c:pt idx="176">
                  <c:v>68.869660647105263</c:v>
                </c:pt>
                <c:pt idx="177">
                  <c:v>68.869660647105263</c:v>
                </c:pt>
                <c:pt idx="178">
                  <c:v>68.869660647105263</c:v>
                </c:pt>
                <c:pt idx="179">
                  <c:v>68.869660647105263</c:v>
                </c:pt>
                <c:pt idx="180">
                  <c:v>68.869660647105263</c:v>
                </c:pt>
                <c:pt idx="181">
                  <c:v>68.869660647105263</c:v>
                </c:pt>
                <c:pt idx="182">
                  <c:v>68.869660647105263</c:v>
                </c:pt>
                <c:pt idx="183">
                  <c:v>68.869660647105263</c:v>
                </c:pt>
                <c:pt idx="184">
                  <c:v>68.869660647105263</c:v>
                </c:pt>
                <c:pt idx="185">
                  <c:v>68.869660647105263</c:v>
                </c:pt>
                <c:pt idx="186">
                  <c:v>68.869660647105263</c:v>
                </c:pt>
                <c:pt idx="187">
                  <c:v>68.869660647105263</c:v>
                </c:pt>
                <c:pt idx="188">
                  <c:v>68.869660647105263</c:v>
                </c:pt>
                <c:pt idx="189">
                  <c:v>68.869660647105263</c:v>
                </c:pt>
                <c:pt idx="190">
                  <c:v>68.869660647105263</c:v>
                </c:pt>
                <c:pt idx="191">
                  <c:v>68.869660647105263</c:v>
                </c:pt>
                <c:pt idx="192">
                  <c:v>68.869660647105263</c:v>
                </c:pt>
                <c:pt idx="193">
                  <c:v>68.869660647105263</c:v>
                </c:pt>
                <c:pt idx="194">
                  <c:v>68.869660647105263</c:v>
                </c:pt>
                <c:pt idx="195">
                  <c:v>68.869660647105263</c:v>
                </c:pt>
                <c:pt idx="196">
                  <c:v>68.869660647105263</c:v>
                </c:pt>
                <c:pt idx="197">
                  <c:v>68.869660647105263</c:v>
                </c:pt>
                <c:pt idx="198">
                  <c:v>68.869660647105263</c:v>
                </c:pt>
                <c:pt idx="199">
                  <c:v>68.869660647105263</c:v>
                </c:pt>
                <c:pt idx="200">
                  <c:v>68.869660647105263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1.5259526457812582</c:v>
                </c:pt>
                <c:pt idx="2">
                  <c:v>1.9004516617753515</c:v>
                </c:pt>
                <c:pt idx="3">
                  <c:v>2.3672252074752573</c:v>
                </c:pt>
                <c:pt idx="4">
                  <c:v>2.9490943513149053</c:v>
                </c:pt>
                <c:pt idx="5">
                  <c:v>3.6745439730548402</c:v>
                </c:pt>
                <c:pt idx="6">
                  <c:v>4.5791330028959232</c:v>
                </c:pt>
                <c:pt idx="7">
                  <c:v>5.7072568526254344</c:v>
                </c:pt>
                <c:pt idx="8">
                  <c:v>7.1143502374251719</c:v>
                </c:pt>
                <c:pt idx="9">
                  <c:v>8.8696407299086992</c:v>
                </c:pt>
                <c:pt idx="10">
                  <c:v>11.059591102742379</c:v>
                </c:pt>
                <c:pt idx="11">
                  <c:v>13.792203207786455</c:v>
                </c:pt>
                <c:pt idx="12">
                  <c:v>17.202399567928463</c:v>
                </c:pt>
                <c:pt idx="13">
                  <c:v>21.45875322725459</c:v>
                </c:pt>
                <c:pt idx="14">
                  <c:v>26.771904477789235</c:v>
                </c:pt>
                <c:pt idx="15">
                  <c:v>33.405088316991765</c:v>
                </c:pt>
                <c:pt idx="16">
                  <c:v>41.687303225064277</c:v>
                </c:pt>
                <c:pt idx="17">
                  <c:v>52.029785517427463</c:v>
                </c:pt>
                <c:pt idx="18">
                  <c:v>64.946620932985454</c:v>
                </c:pt>
                <c:pt idx="19">
                  <c:v>81.080534794056163</c:v>
                </c:pt>
                <c:pt idx="20">
                  <c:v>101.2351647106086</c:v>
                </c:pt>
                <c:pt idx="21">
                  <c:v>87.400076251919288</c:v>
                </c:pt>
                <c:pt idx="22">
                  <c:v>93.315190415319819</c:v>
                </c:pt>
                <c:pt idx="23">
                  <c:v>99.220942597938247</c:v>
                </c:pt>
                <c:pt idx="24">
                  <c:v>105.11796998947584</c:v>
                </c:pt>
                <c:pt idx="25">
                  <c:v>111.00683224928861</c:v>
                </c:pt>
                <c:pt idx="26">
                  <c:v>116.88802464817662</c:v>
                </c:pt>
                <c:pt idx="27">
                  <c:v>122.76198841839486</c:v>
                </c:pt>
                <c:pt idx="28">
                  <c:v>128.62911901312307</c:v>
                </c:pt>
                <c:pt idx="29">
                  <c:v>134.48977277585234</c:v>
                </c:pt>
                <c:pt idx="30">
                  <c:v>140.34427238328584</c:v>
                </c:pt>
                <c:pt idx="31">
                  <c:v>121.00148191017541</c:v>
                </c:pt>
                <c:pt idx="32">
                  <c:v>129.05977877986709</c:v>
                </c:pt>
                <c:pt idx="33">
                  <c:v>137.10590303267813</c:v>
                </c:pt>
                <c:pt idx="34">
                  <c:v>145.14067090168646</c:v>
                </c:pt>
                <c:pt idx="35">
                  <c:v>153.16480069140721</c:v>
                </c:pt>
                <c:pt idx="36">
                  <c:v>161.17892915760669</c:v>
                </c:pt>
                <c:pt idx="37">
                  <c:v>169.18362445118737</c:v>
                </c:pt>
                <c:pt idx="38">
                  <c:v>177.17939647885302</c:v>
                </c:pt>
                <c:pt idx="39">
                  <c:v>185.16670529190301</c:v>
                </c:pt>
                <c:pt idx="40">
                  <c:v>193.14596794913984</c:v>
                </c:pt>
                <c:pt idx="41">
                  <c:v>164.22577946646206</c:v>
                </c:pt>
                <c:pt idx="42">
                  <c:v>173.04905816285827</c:v>
                </c:pt>
                <c:pt idx="43">
                  <c:v>181.86176105200818</c:v>
                </c:pt>
                <c:pt idx="44">
                  <c:v>190.6644735102428</c:v>
                </c:pt>
                <c:pt idx="45">
                  <c:v>199.45772237135796</c:v>
                </c:pt>
                <c:pt idx="46">
                  <c:v>208.24198416135698</c:v>
                </c:pt>
                <c:pt idx="47">
                  <c:v>217.01769186883595</c:v>
                </c:pt>
                <c:pt idx="48">
                  <c:v>225.78524056135447</c:v>
                </c:pt>
                <c:pt idx="49">
                  <c:v>234.54499208261441</c:v>
                </c:pt>
                <c:pt idx="50">
                  <c:v>243.29727901032336</c:v>
                </c:pt>
                <c:pt idx="51">
                  <c:v>206.38932984049779</c:v>
                </c:pt>
                <c:pt idx="52">
                  <c:v>217.05015456962903</c:v>
                </c:pt>
                <c:pt idx="53">
                  <c:v>227.69894103394537</c:v>
                </c:pt>
                <c:pt idx="54">
                  <c:v>238.33633200363886</c:v>
                </c:pt>
                <c:pt idx="55">
                  <c:v>248.96290813654619</c:v>
                </c:pt>
                <c:pt idx="56">
                  <c:v>259.57919643279871</c:v>
                </c:pt>
                <c:pt idx="57">
                  <c:v>270.18567723257041</c:v>
                </c:pt>
                <c:pt idx="58">
                  <c:v>280.78279005650342</c:v>
                </c:pt>
                <c:pt idx="59">
                  <c:v>291.37093851757669</c:v>
                </c:pt>
                <c:pt idx="60">
                  <c:v>301.9504944811269</c:v>
                </c:pt>
                <c:pt idx="61">
                  <c:v>254.10283673129575</c:v>
                </c:pt>
                <c:pt idx="62">
                  <c:v>265.32325961980661</c:v>
                </c:pt>
                <c:pt idx="63">
                  <c:v>276.53298749829281</c:v>
                </c:pt>
                <c:pt idx="64">
                  <c:v>287.73251524083963</c:v>
                </c:pt>
                <c:pt idx="65">
                  <c:v>298.92229602912749</c:v>
                </c:pt>
                <c:pt idx="66">
                  <c:v>310.10274632775935</c:v>
                </c:pt>
                <c:pt idx="67">
                  <c:v>321.27425010410531</c:v>
                </c:pt>
                <c:pt idx="68">
                  <c:v>332.43716243020623</c:v>
                </c:pt>
                <c:pt idx="69">
                  <c:v>343.59181257536403</c:v>
                </c:pt>
                <c:pt idx="70">
                  <c:v>354.73850667597412</c:v>
                </c:pt>
                <c:pt idx="71">
                  <c:v>297.81830703548815</c:v>
                </c:pt>
                <c:pt idx="72">
                  <c:v>310.31751343087802</c:v>
                </c:pt>
                <c:pt idx="73">
                  <c:v>322.80554715465013</c:v>
                </c:pt>
                <c:pt idx="74">
                  <c:v>335.28290144449937</c:v>
                </c:pt>
                <c:pt idx="75">
                  <c:v>347.75002981995004</c:v>
                </c:pt>
                <c:pt idx="76">
                  <c:v>360.20735062022271</c:v>
                </c:pt>
                <c:pt idx="77">
                  <c:v>372.65525088136468</c:v>
                </c:pt>
                <c:pt idx="78">
                  <c:v>385.09408966816187</c:v>
                </c:pt>
                <c:pt idx="79">
                  <c:v>397.52420095299402</c:v>
                </c:pt>
                <c:pt idx="80">
                  <c:v>409.9458961157664</c:v>
                </c:pt>
                <c:pt idx="81">
                  <c:v>343.72011615888391</c:v>
                </c:pt>
                <c:pt idx="82">
                  <c:v>357.74227597741424</c:v>
                </c:pt>
                <c:pt idx="83">
                  <c:v>371.75240980331199</c:v>
                </c:pt>
                <c:pt idx="84">
                  <c:v>385.75103469054244</c:v>
                </c:pt>
                <c:pt idx="85">
                  <c:v>399.73862710382303</c:v>
                </c:pt>
                <c:pt idx="86">
                  <c:v>413.71562744354918</c:v>
                </c:pt>
                <c:pt idx="87">
                  <c:v>427.6824439273035</c:v>
                </c:pt>
                <c:pt idx="88">
                  <c:v>441.63945593788486</c:v>
                </c:pt>
                <c:pt idx="89">
                  <c:v>455.58701692606093</c:v>
                </c:pt>
                <c:pt idx="90">
                  <c:v>469.52545693935923</c:v>
                </c:pt>
                <c:pt idx="91">
                  <c:v>392.68743983064627</c:v>
                </c:pt>
                <c:pt idx="92">
                  <c:v>407.78749875022396</c:v>
                </c:pt>
                <c:pt idx="93">
                  <c:v>422.87548163384423</c:v>
                </c:pt>
                <c:pt idx="94">
                  <c:v>437.95187993555709</c:v>
                </c:pt>
                <c:pt idx="95">
                  <c:v>453.01714852012941</c:v>
                </c:pt>
                <c:pt idx="96">
                  <c:v>468.07170953869019</c:v>
                </c:pt>
                <c:pt idx="97">
                  <c:v>483.11595577986117</c:v>
                </c:pt>
                <c:pt idx="98">
                  <c:v>498.1502535818118</c:v>
                </c:pt>
                <c:pt idx="99">
                  <c:v>513.17494537454331</c:v>
                </c:pt>
                <c:pt idx="100">
                  <c:v>528.19035190902912</c:v>
                </c:pt>
                <c:pt idx="101">
                  <c:v>424.72624796013469</c:v>
                </c:pt>
                <c:pt idx="102">
                  <c:v>424.72624796013469</c:v>
                </c:pt>
                <c:pt idx="103">
                  <c:v>424.72624796013469</c:v>
                </c:pt>
                <c:pt idx="104">
                  <c:v>424.72624796013469</c:v>
                </c:pt>
                <c:pt idx="105">
                  <c:v>424.72624796013469</c:v>
                </c:pt>
                <c:pt idx="106">
                  <c:v>424.72624796013469</c:v>
                </c:pt>
                <c:pt idx="107">
                  <c:v>424.72624796013469</c:v>
                </c:pt>
                <c:pt idx="108">
                  <c:v>424.72624796013469</c:v>
                </c:pt>
                <c:pt idx="109">
                  <c:v>424.72624796013469</c:v>
                </c:pt>
                <c:pt idx="110">
                  <c:v>424.72624796013469</c:v>
                </c:pt>
                <c:pt idx="111">
                  <c:v>424.72624796013469</c:v>
                </c:pt>
                <c:pt idx="112">
                  <c:v>424.72624796013469</c:v>
                </c:pt>
                <c:pt idx="113">
                  <c:v>424.72624796013469</c:v>
                </c:pt>
                <c:pt idx="114">
                  <c:v>424.72624796013469</c:v>
                </c:pt>
                <c:pt idx="115">
                  <c:v>424.72624796013469</c:v>
                </c:pt>
                <c:pt idx="116">
                  <c:v>424.72624796013469</c:v>
                </c:pt>
                <c:pt idx="117">
                  <c:v>424.72624796013469</c:v>
                </c:pt>
                <c:pt idx="118">
                  <c:v>424.72624796013469</c:v>
                </c:pt>
                <c:pt idx="119">
                  <c:v>424.72624796013469</c:v>
                </c:pt>
                <c:pt idx="120">
                  <c:v>424.72624796013469</c:v>
                </c:pt>
                <c:pt idx="121">
                  <c:v>424.72624796013469</c:v>
                </c:pt>
                <c:pt idx="122">
                  <c:v>424.72624796013469</c:v>
                </c:pt>
                <c:pt idx="123">
                  <c:v>424.72624796013469</c:v>
                </c:pt>
                <c:pt idx="124">
                  <c:v>424.72624796013469</c:v>
                </c:pt>
                <c:pt idx="125">
                  <c:v>424.72624796013469</c:v>
                </c:pt>
                <c:pt idx="126">
                  <c:v>424.72624796013469</c:v>
                </c:pt>
                <c:pt idx="127">
                  <c:v>424.72624796013469</c:v>
                </c:pt>
                <c:pt idx="128">
                  <c:v>424.72624796013469</c:v>
                </c:pt>
                <c:pt idx="129">
                  <c:v>424.72624796013469</c:v>
                </c:pt>
                <c:pt idx="130">
                  <c:v>424.72624796013469</c:v>
                </c:pt>
                <c:pt idx="131">
                  <c:v>424.72624796013469</c:v>
                </c:pt>
                <c:pt idx="132">
                  <c:v>424.72624796013469</c:v>
                </c:pt>
                <c:pt idx="133">
                  <c:v>424.72624796013469</c:v>
                </c:pt>
                <c:pt idx="134">
                  <c:v>424.72624796013469</c:v>
                </c:pt>
                <c:pt idx="135">
                  <c:v>424.72624796013469</c:v>
                </c:pt>
                <c:pt idx="136">
                  <c:v>424.72624796013469</c:v>
                </c:pt>
                <c:pt idx="137">
                  <c:v>424.72624796013469</c:v>
                </c:pt>
                <c:pt idx="138">
                  <c:v>424.72624796013469</c:v>
                </c:pt>
                <c:pt idx="139">
                  <c:v>424.72624796013469</c:v>
                </c:pt>
                <c:pt idx="140">
                  <c:v>424.72624796013469</c:v>
                </c:pt>
                <c:pt idx="141">
                  <c:v>424.72624796013469</c:v>
                </c:pt>
                <c:pt idx="142">
                  <c:v>424.72624796013469</c:v>
                </c:pt>
                <c:pt idx="143">
                  <c:v>424.72624796013469</c:v>
                </c:pt>
                <c:pt idx="144">
                  <c:v>424.72624796013469</c:v>
                </c:pt>
                <c:pt idx="145">
                  <c:v>424.72624796013469</c:v>
                </c:pt>
                <c:pt idx="146">
                  <c:v>424.72624796013469</c:v>
                </c:pt>
                <c:pt idx="147">
                  <c:v>424.72624796013469</c:v>
                </c:pt>
                <c:pt idx="148">
                  <c:v>424.72624796013469</c:v>
                </c:pt>
                <c:pt idx="149">
                  <c:v>424.72624796013469</c:v>
                </c:pt>
                <c:pt idx="150">
                  <c:v>424.72624796013469</c:v>
                </c:pt>
                <c:pt idx="151">
                  <c:v>424.72624796013469</c:v>
                </c:pt>
                <c:pt idx="152">
                  <c:v>424.72624796013469</c:v>
                </c:pt>
                <c:pt idx="153">
                  <c:v>424.72624796013469</c:v>
                </c:pt>
                <c:pt idx="154">
                  <c:v>424.72624796013469</c:v>
                </c:pt>
                <c:pt idx="155">
                  <c:v>424.72624796013469</c:v>
                </c:pt>
                <c:pt idx="156">
                  <c:v>424.72624796013469</c:v>
                </c:pt>
                <c:pt idx="157">
                  <c:v>424.72624796013469</c:v>
                </c:pt>
                <c:pt idx="158">
                  <c:v>424.72624796013469</c:v>
                </c:pt>
                <c:pt idx="159">
                  <c:v>424.72624796013469</c:v>
                </c:pt>
                <c:pt idx="160">
                  <c:v>424.72624796013469</c:v>
                </c:pt>
                <c:pt idx="161">
                  <c:v>424.72624796013469</c:v>
                </c:pt>
                <c:pt idx="162">
                  <c:v>424.72624796013469</c:v>
                </c:pt>
                <c:pt idx="163">
                  <c:v>424.72624796013469</c:v>
                </c:pt>
                <c:pt idx="164">
                  <c:v>424.72624796013469</c:v>
                </c:pt>
                <c:pt idx="165">
                  <c:v>424.72624796013469</c:v>
                </c:pt>
                <c:pt idx="166">
                  <c:v>424.72624796013469</c:v>
                </c:pt>
                <c:pt idx="167">
                  <c:v>424.72624796013469</c:v>
                </c:pt>
                <c:pt idx="168">
                  <c:v>424.72624796013469</c:v>
                </c:pt>
                <c:pt idx="169">
                  <c:v>424.72624796013469</c:v>
                </c:pt>
                <c:pt idx="170">
                  <c:v>424.72624796013469</c:v>
                </c:pt>
                <c:pt idx="171">
                  <c:v>424.72624796013469</c:v>
                </c:pt>
                <c:pt idx="172">
                  <c:v>424.72624796013469</c:v>
                </c:pt>
                <c:pt idx="173">
                  <c:v>424.72624796013469</c:v>
                </c:pt>
                <c:pt idx="174">
                  <c:v>424.72624796013469</c:v>
                </c:pt>
                <c:pt idx="175">
                  <c:v>424.72624796013469</c:v>
                </c:pt>
                <c:pt idx="176">
                  <c:v>424.72624796013469</c:v>
                </c:pt>
                <c:pt idx="177">
                  <c:v>424.72624796013469</c:v>
                </c:pt>
                <c:pt idx="178">
                  <c:v>424.72624796013469</c:v>
                </c:pt>
                <c:pt idx="179">
                  <c:v>424.72624796013469</c:v>
                </c:pt>
                <c:pt idx="180">
                  <c:v>424.72624796013469</c:v>
                </c:pt>
                <c:pt idx="181">
                  <c:v>424.72624796013469</c:v>
                </c:pt>
                <c:pt idx="182">
                  <c:v>424.72624796013469</c:v>
                </c:pt>
                <c:pt idx="183">
                  <c:v>424.72624796013469</c:v>
                </c:pt>
                <c:pt idx="184">
                  <c:v>424.72624796013469</c:v>
                </c:pt>
                <c:pt idx="185">
                  <c:v>424.72624796013469</c:v>
                </c:pt>
                <c:pt idx="186">
                  <c:v>424.72624796013469</c:v>
                </c:pt>
                <c:pt idx="187">
                  <c:v>424.72624796013469</c:v>
                </c:pt>
                <c:pt idx="188">
                  <c:v>424.72624796013469</c:v>
                </c:pt>
                <c:pt idx="189">
                  <c:v>424.72624796013469</c:v>
                </c:pt>
                <c:pt idx="190">
                  <c:v>424.72624796013469</c:v>
                </c:pt>
                <c:pt idx="191">
                  <c:v>424.72624796013469</c:v>
                </c:pt>
                <c:pt idx="192">
                  <c:v>424.72624796013469</c:v>
                </c:pt>
                <c:pt idx="193">
                  <c:v>424.72624796013469</c:v>
                </c:pt>
                <c:pt idx="194">
                  <c:v>424.72624796013469</c:v>
                </c:pt>
                <c:pt idx="195">
                  <c:v>424.72624796013469</c:v>
                </c:pt>
                <c:pt idx="196">
                  <c:v>424.72624796013469</c:v>
                </c:pt>
                <c:pt idx="197">
                  <c:v>424.72624796013469</c:v>
                </c:pt>
                <c:pt idx="198">
                  <c:v>424.72624796013469</c:v>
                </c:pt>
                <c:pt idx="199">
                  <c:v>424.72624796013469</c:v>
                </c:pt>
                <c:pt idx="200">
                  <c:v>424.72624796013469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4.5603227029592857</c:v>
                </c:pt>
                <c:pt idx="2">
                  <c:v>9.0132952331201093</c:v>
                </c:pt>
                <c:pt idx="3">
                  <c:v>17.838817144878906</c:v>
                </c:pt>
                <c:pt idx="4">
                  <c:v>35.352605371028027</c:v>
                </c:pt>
                <c:pt idx="5">
                  <c:v>70.149974013263474</c:v>
                </c:pt>
                <c:pt idx="6">
                  <c:v>86.557695432218452</c:v>
                </c:pt>
                <c:pt idx="7">
                  <c:v>114.79386073387418</c:v>
                </c:pt>
                <c:pt idx="8">
                  <c:v>142.85889776559074</c:v>
                </c:pt>
                <c:pt idx="9">
                  <c:v>170.79137460696464</c:v>
                </c:pt>
                <c:pt idx="10">
                  <c:v>198.61608801133966</c:v>
                </c:pt>
                <c:pt idx="11">
                  <c:v>170.79137460696464</c:v>
                </c:pt>
                <c:pt idx="12">
                  <c:v>197.83360065109466</c:v>
                </c:pt>
                <c:pt idx="13">
                  <c:v>224.78996180947172</c:v>
                </c:pt>
                <c:pt idx="14">
                  <c:v>251.67220666437959</c:v>
                </c:pt>
                <c:pt idx="15">
                  <c:v>278.48936400091264</c:v>
                </c:pt>
                <c:pt idx="16">
                  <c:v>258.28507230454863</c:v>
                </c:pt>
                <c:pt idx="17">
                  <c:v>282.75904421972086</c:v>
                </c:pt>
                <c:pt idx="18">
                  <c:v>307.18556432776853</c:v>
                </c:pt>
                <c:pt idx="19">
                  <c:v>331.56893409573678</c:v>
                </c:pt>
                <c:pt idx="20">
                  <c:v>355.91277070439497</c:v>
                </c:pt>
                <c:pt idx="21">
                  <c:v>341.23373557401311</c:v>
                </c:pt>
                <c:pt idx="22">
                  <c:v>361.31746248867267</c:v>
                </c:pt>
                <c:pt idx="23">
                  <c:v>381.37678831502052</c:v>
                </c:pt>
                <c:pt idx="24">
                  <c:v>401.41317632821421</c:v>
                </c:pt>
                <c:pt idx="25">
                  <c:v>421.42793186976093</c:v>
                </c:pt>
                <c:pt idx="26">
                  <c:v>411.03827995947972</c:v>
                </c:pt>
                <c:pt idx="27">
                  <c:v>427.58215058986383</c:v>
                </c:pt>
                <c:pt idx="28">
                  <c:v>444.11226191866245</c:v>
                </c:pt>
                <c:pt idx="29">
                  <c:v>460.62919798538474</c:v>
                </c:pt>
                <c:pt idx="30">
                  <c:v>477.13349754486762</c:v>
                </c:pt>
                <c:pt idx="31">
                  <c:v>469.45861841140714</c:v>
                </c:pt>
                <c:pt idx="32">
                  <c:v>482.88793138455003</c:v>
                </c:pt>
                <c:pt idx="33">
                  <c:v>496.30931275327697</c:v>
                </c:pt>
                <c:pt idx="34">
                  <c:v>509.72300718239177</c:v>
                </c:pt>
                <c:pt idx="35">
                  <c:v>523.12924541243819</c:v>
                </c:pt>
                <c:pt idx="36">
                  <c:v>517.76763064124987</c:v>
                </c:pt>
                <c:pt idx="37">
                  <c:v>529.6382221432558</c:v>
                </c:pt>
                <c:pt idx="38">
                  <c:v>541.50321514452014</c:v>
                </c:pt>
                <c:pt idx="39">
                  <c:v>553.36274958383854</c:v>
                </c:pt>
                <c:pt idx="40">
                  <c:v>565.21695891368074</c:v>
                </c:pt>
                <c:pt idx="41">
                  <c:v>563.30534449457025</c:v>
                </c:pt>
                <c:pt idx="42">
                  <c:v>574.77301329675208</c:v>
                </c:pt>
                <c:pt idx="43">
                  <c:v>586.23590668718805</c:v>
                </c:pt>
                <c:pt idx="44">
                  <c:v>597.6941311815882</c:v>
                </c:pt>
                <c:pt idx="45">
                  <c:v>609.14778887966042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3.0741174518919627</c:v>
                </c:pt>
                <c:pt idx="2">
                  <c:v>3.8967421294457139</c:v>
                </c:pt>
                <c:pt idx="3">
                  <c:v>4.9403559024630059</c:v>
                </c:pt>
                <c:pt idx="4">
                  <c:v>6.264541832286425</c:v>
                </c:pt>
                <c:pt idx="5">
                  <c:v>7.9450023634785794</c:v>
                </c:pt>
                <c:pt idx="6">
                  <c:v>10.077933907268607</c:v>
                </c:pt>
                <c:pt idx="7">
                  <c:v>12.785592055981462</c:v>
                </c:pt>
                <c:pt idx="8">
                  <c:v>16.223372337414734</c:v>
                </c:pt>
                <c:pt idx="9">
                  <c:v>20.58882029442286</c:v>
                </c:pt>
                <c:pt idx="10">
                  <c:v>26.133097915377746</c:v>
                </c:pt>
                <c:pt idx="11">
                  <c:v>33.175577737793162</c:v>
                </c:pt>
                <c:pt idx="12">
                  <c:v>42.122419833663315</c:v>
                </c:pt>
                <c:pt idx="13">
                  <c:v>53.490221243184834</c:v>
                </c:pt>
                <c:pt idx="14">
                  <c:v>67.936126131968649</c:v>
                </c:pt>
                <c:pt idx="15">
                  <c:v>86.296165706525173</c:v>
                </c:pt>
                <c:pt idx="16">
                  <c:v>100.12446692437193</c:v>
                </c:pt>
                <c:pt idx="17">
                  <c:v>120.15555397384929</c:v>
                </c:pt>
                <c:pt idx="18">
                  <c:v>140.10510595957496</c:v>
                </c:pt>
                <c:pt idx="19">
                  <c:v>159.98639323229054</c:v>
                </c:pt>
                <c:pt idx="20">
                  <c:v>179.80910354001185</c:v>
                </c:pt>
                <c:pt idx="21">
                  <c:v>150.05361155744299</c:v>
                </c:pt>
                <c:pt idx="22">
                  <c:v>171.96910559581002</c:v>
                </c:pt>
                <c:pt idx="23">
                  <c:v>193.81884339616167</c:v>
                </c:pt>
                <c:pt idx="24">
                  <c:v>215.61128478279389</c:v>
                </c:pt>
                <c:pt idx="25">
                  <c:v>237.35303637530376</c:v>
                </c:pt>
                <c:pt idx="26">
                  <c:v>205.5440851731023</c:v>
                </c:pt>
                <c:pt idx="27">
                  <c:v>229.15419629960817</c:v>
                </c:pt>
                <c:pt idx="28">
                  <c:v>252.70865857351066</c:v>
                </c:pt>
                <c:pt idx="29">
                  <c:v>276.21338711580171</c:v>
                </c:pt>
                <c:pt idx="30">
                  <c:v>299.67320744889844</c:v>
                </c:pt>
                <c:pt idx="31">
                  <c:v>323.0921276518331</c:v>
                </c:pt>
                <c:pt idx="32">
                  <c:v>273.150193736272</c:v>
                </c:pt>
                <c:pt idx="33">
                  <c:v>296.61562905989763</c:v>
                </c:pt>
                <c:pt idx="34">
                  <c:v>320.03968050805696</c:v>
                </c:pt>
                <c:pt idx="35">
                  <c:v>343.42580104652296</c:v>
                </c:pt>
                <c:pt idx="36">
                  <c:v>366.77693506200779</c:v>
                </c:pt>
                <c:pt idx="37">
                  <c:v>390.09562155502141</c:v>
                </c:pt>
                <c:pt idx="38">
                  <c:v>339.65160108496957</c:v>
                </c:pt>
                <c:pt idx="39">
                  <c:v>362.28334978928075</c:v>
                </c:pt>
                <c:pt idx="40">
                  <c:v>384.88420360752929</c:v>
                </c:pt>
                <c:pt idx="41">
                  <c:v>407.45623052215802</c:v>
                </c:pt>
                <c:pt idx="42">
                  <c:v>430.00125082193995</c:v>
                </c:pt>
                <c:pt idx="43">
                  <c:v>452.52087846628041</c:v>
                </c:pt>
                <c:pt idx="44">
                  <c:v>475.01655378575668</c:v>
                </c:pt>
                <c:pt idx="45">
                  <c:v>409.0829565029685</c:v>
                </c:pt>
                <c:pt idx="46">
                  <c:v>430.07346886600664</c:v>
                </c:pt>
                <c:pt idx="47">
                  <c:v>451.04197351320659</c:v>
                </c:pt>
                <c:pt idx="48">
                  <c:v>471.98963674622456</c:v>
                </c:pt>
                <c:pt idx="49">
                  <c:v>492.91751296846223</c:v>
                </c:pt>
                <c:pt idx="50">
                  <c:v>513.82655981247945</c:v>
                </c:pt>
                <c:pt idx="51">
                  <c:v>534.71765067772992</c:v>
                </c:pt>
                <c:pt idx="52">
                  <c:v>555.59158520777839</c:v>
                </c:pt>
                <c:pt idx="53">
                  <c:v>477.79086711276324</c:v>
                </c:pt>
                <c:pt idx="54">
                  <c:v>496.69762383425001</c:v>
                </c:pt>
                <c:pt idx="55">
                  <c:v>515.58914073698111</c:v>
                </c:pt>
                <c:pt idx="56">
                  <c:v>534.46605443144006</c:v>
                </c:pt>
                <c:pt idx="57">
                  <c:v>553.32895292312298</c:v>
                </c:pt>
                <c:pt idx="58">
                  <c:v>572.17838088768599</c:v>
                </c:pt>
                <c:pt idx="59">
                  <c:v>591.01484421518637</c:v>
                </c:pt>
                <c:pt idx="60">
                  <c:v>609.83881394520881</c:v>
                </c:pt>
                <c:pt idx="61">
                  <c:v>532.78868240042641</c:v>
                </c:pt>
                <c:pt idx="62">
                  <c:v>550.22799352931395</c:v>
                </c:pt>
                <c:pt idx="63">
                  <c:v>567.65571901573014</c:v>
                </c:pt>
                <c:pt idx="64">
                  <c:v>585.07226440030115</c:v>
                </c:pt>
                <c:pt idx="65">
                  <c:v>602.47800912718344</c:v>
                </c:pt>
                <c:pt idx="66">
                  <c:v>619.87330894420177</c:v>
                </c:pt>
                <c:pt idx="67">
                  <c:v>637.2584980197272</c:v>
                </c:pt>
                <c:pt idx="68">
                  <c:v>654.63389081669948</c:v>
                </c:pt>
                <c:pt idx="69">
                  <c:v>671.99978375748333</c:v>
                </c:pt>
                <c:pt idx="70">
                  <c:v>1.6144600406554537E-12</c:v>
                </c:pt>
                <c:pt idx="71">
                  <c:v>1.6144600406554537E-12</c:v>
                </c:pt>
                <c:pt idx="72">
                  <c:v>1.6144600406554537E-12</c:v>
                </c:pt>
                <c:pt idx="73">
                  <c:v>1.6144600406554537E-12</c:v>
                </c:pt>
                <c:pt idx="74">
                  <c:v>1.6144600406554537E-12</c:v>
                </c:pt>
                <c:pt idx="75">
                  <c:v>1.6144600406554537E-12</c:v>
                </c:pt>
                <c:pt idx="76">
                  <c:v>1.6144600406554537E-12</c:v>
                </c:pt>
                <c:pt idx="77">
                  <c:v>1.6144600406554537E-12</c:v>
                </c:pt>
                <c:pt idx="78">
                  <c:v>1.6144600406554537E-12</c:v>
                </c:pt>
                <c:pt idx="79">
                  <c:v>1.6144600406554537E-12</c:v>
                </c:pt>
                <c:pt idx="80">
                  <c:v>1.6144600406554537E-12</c:v>
                </c:pt>
                <c:pt idx="81">
                  <c:v>1.6144600406554537E-12</c:v>
                </c:pt>
                <c:pt idx="82">
                  <c:v>1.6144600406554537E-12</c:v>
                </c:pt>
                <c:pt idx="83">
                  <c:v>1.6144600406554537E-12</c:v>
                </c:pt>
                <c:pt idx="84">
                  <c:v>1.6144600406554537E-12</c:v>
                </c:pt>
                <c:pt idx="85">
                  <c:v>1.6144600406554537E-12</c:v>
                </c:pt>
                <c:pt idx="86">
                  <c:v>1.6144600406554537E-12</c:v>
                </c:pt>
                <c:pt idx="87">
                  <c:v>1.6144600406554537E-12</c:v>
                </c:pt>
                <c:pt idx="88">
                  <c:v>1.6144600406554537E-12</c:v>
                </c:pt>
                <c:pt idx="89">
                  <c:v>1.6144600406554537E-12</c:v>
                </c:pt>
                <c:pt idx="90">
                  <c:v>1.6144600406554537E-12</c:v>
                </c:pt>
                <c:pt idx="91">
                  <c:v>1.6144600406554537E-12</c:v>
                </c:pt>
                <c:pt idx="92">
                  <c:v>1.6144600406554537E-12</c:v>
                </c:pt>
                <c:pt idx="93">
                  <c:v>1.6144600406554537E-12</c:v>
                </c:pt>
                <c:pt idx="94">
                  <c:v>1.6144600406554537E-12</c:v>
                </c:pt>
                <c:pt idx="95">
                  <c:v>1.6144600406554537E-12</c:v>
                </c:pt>
                <c:pt idx="96">
                  <c:v>1.6144600406554537E-12</c:v>
                </c:pt>
                <c:pt idx="97">
                  <c:v>1.6144600406554537E-12</c:v>
                </c:pt>
                <c:pt idx="98">
                  <c:v>1.6144600406554537E-12</c:v>
                </c:pt>
                <c:pt idx="99">
                  <c:v>1.6144600406554537E-12</c:v>
                </c:pt>
                <c:pt idx="100">
                  <c:v>1.6144600406554537E-12</c:v>
                </c:pt>
                <c:pt idx="101">
                  <c:v>1.6144600406554537E-12</c:v>
                </c:pt>
                <c:pt idx="102">
                  <c:v>1.6144600406554537E-12</c:v>
                </c:pt>
                <c:pt idx="103">
                  <c:v>1.6144600406554537E-12</c:v>
                </c:pt>
                <c:pt idx="104">
                  <c:v>1.6144600406554537E-12</c:v>
                </c:pt>
                <c:pt idx="105">
                  <c:v>1.6144600406554537E-12</c:v>
                </c:pt>
                <c:pt idx="106">
                  <c:v>1.6144600406554537E-12</c:v>
                </c:pt>
                <c:pt idx="107">
                  <c:v>1.6144600406554537E-12</c:v>
                </c:pt>
                <c:pt idx="108">
                  <c:v>1.6144600406554537E-12</c:v>
                </c:pt>
                <c:pt idx="109">
                  <c:v>1.6144600406554537E-12</c:v>
                </c:pt>
                <c:pt idx="110">
                  <c:v>1.6144600406554537E-12</c:v>
                </c:pt>
                <c:pt idx="111">
                  <c:v>1.6144600406554537E-12</c:v>
                </c:pt>
                <c:pt idx="112">
                  <c:v>1.6144600406554537E-12</c:v>
                </c:pt>
                <c:pt idx="113">
                  <c:v>1.6144600406554537E-12</c:v>
                </c:pt>
                <c:pt idx="114">
                  <c:v>1.6144600406554537E-12</c:v>
                </c:pt>
                <c:pt idx="115">
                  <c:v>1.6144600406554537E-12</c:v>
                </c:pt>
                <c:pt idx="116">
                  <c:v>1.6144600406554537E-12</c:v>
                </c:pt>
                <c:pt idx="117">
                  <c:v>1.6144600406554537E-12</c:v>
                </c:pt>
                <c:pt idx="118">
                  <c:v>1.6144600406554537E-12</c:v>
                </c:pt>
                <c:pt idx="119">
                  <c:v>1.6144600406554537E-12</c:v>
                </c:pt>
                <c:pt idx="120">
                  <c:v>1.6144600406554537E-12</c:v>
                </c:pt>
                <c:pt idx="121">
                  <c:v>1.6144600406554537E-12</c:v>
                </c:pt>
                <c:pt idx="122">
                  <c:v>1.6144600406554537E-12</c:v>
                </c:pt>
                <c:pt idx="123">
                  <c:v>1.6144600406554537E-12</c:v>
                </c:pt>
                <c:pt idx="124">
                  <c:v>1.6144600406554537E-12</c:v>
                </c:pt>
                <c:pt idx="125">
                  <c:v>1.6144600406554537E-12</c:v>
                </c:pt>
                <c:pt idx="126">
                  <c:v>1.6144600406554537E-12</c:v>
                </c:pt>
                <c:pt idx="127">
                  <c:v>1.6144600406554537E-12</c:v>
                </c:pt>
                <c:pt idx="128">
                  <c:v>1.6144600406554537E-12</c:v>
                </c:pt>
                <c:pt idx="129">
                  <c:v>1.6144600406554537E-12</c:v>
                </c:pt>
                <c:pt idx="130">
                  <c:v>1.6144600406554537E-12</c:v>
                </c:pt>
                <c:pt idx="131">
                  <c:v>1.6144600406554537E-12</c:v>
                </c:pt>
                <c:pt idx="132">
                  <c:v>1.6144600406554537E-12</c:v>
                </c:pt>
                <c:pt idx="133">
                  <c:v>1.6144600406554537E-12</c:v>
                </c:pt>
                <c:pt idx="134">
                  <c:v>1.6144600406554537E-12</c:v>
                </c:pt>
                <c:pt idx="135">
                  <c:v>1.6144600406554537E-12</c:v>
                </c:pt>
                <c:pt idx="136">
                  <c:v>1.6144600406554537E-12</c:v>
                </c:pt>
                <c:pt idx="137">
                  <c:v>1.6144600406554537E-12</c:v>
                </c:pt>
                <c:pt idx="138">
                  <c:v>1.6144600406554537E-12</c:v>
                </c:pt>
                <c:pt idx="139">
                  <c:v>1.6144600406554537E-12</c:v>
                </c:pt>
                <c:pt idx="140">
                  <c:v>1.6144600406554537E-12</c:v>
                </c:pt>
                <c:pt idx="141">
                  <c:v>1.6144600406554537E-12</c:v>
                </c:pt>
                <c:pt idx="142">
                  <c:v>1.6144600406554537E-12</c:v>
                </c:pt>
                <c:pt idx="143">
                  <c:v>1.6144600406554537E-12</c:v>
                </c:pt>
                <c:pt idx="144">
                  <c:v>1.6144600406554537E-12</c:v>
                </c:pt>
                <c:pt idx="145">
                  <c:v>1.6144600406554537E-12</c:v>
                </c:pt>
                <c:pt idx="146">
                  <c:v>1.6144600406554537E-12</c:v>
                </c:pt>
                <c:pt idx="147">
                  <c:v>1.6144600406554537E-12</c:v>
                </c:pt>
                <c:pt idx="148">
                  <c:v>1.6144600406554537E-12</c:v>
                </c:pt>
                <c:pt idx="149">
                  <c:v>1.6144600406554537E-12</c:v>
                </c:pt>
                <c:pt idx="150">
                  <c:v>1.6144600406554537E-12</c:v>
                </c:pt>
                <c:pt idx="151">
                  <c:v>1.6144600406554537E-12</c:v>
                </c:pt>
                <c:pt idx="152">
                  <c:v>1.6144600406554537E-12</c:v>
                </c:pt>
                <c:pt idx="153">
                  <c:v>1.6144600406554537E-12</c:v>
                </c:pt>
                <c:pt idx="154">
                  <c:v>1.6144600406554537E-12</c:v>
                </c:pt>
                <c:pt idx="155">
                  <c:v>1.6144600406554537E-12</c:v>
                </c:pt>
                <c:pt idx="156">
                  <c:v>1.6144600406554537E-12</c:v>
                </c:pt>
                <c:pt idx="157">
                  <c:v>1.6144600406554537E-12</c:v>
                </c:pt>
                <c:pt idx="158">
                  <c:v>1.6144600406554537E-12</c:v>
                </c:pt>
                <c:pt idx="159">
                  <c:v>1.6144600406554537E-12</c:v>
                </c:pt>
                <c:pt idx="160">
                  <c:v>1.6144600406554537E-12</c:v>
                </c:pt>
                <c:pt idx="161">
                  <c:v>1.6144600406554537E-12</c:v>
                </c:pt>
                <c:pt idx="162">
                  <c:v>1.6144600406554537E-12</c:v>
                </c:pt>
                <c:pt idx="163">
                  <c:v>1.6144600406554537E-12</c:v>
                </c:pt>
                <c:pt idx="164">
                  <c:v>1.6144600406554537E-12</c:v>
                </c:pt>
                <c:pt idx="165">
                  <c:v>1.6144600406554537E-12</c:v>
                </c:pt>
                <c:pt idx="166">
                  <c:v>1.6144600406554537E-12</c:v>
                </c:pt>
                <c:pt idx="167">
                  <c:v>1.6144600406554537E-12</c:v>
                </c:pt>
                <c:pt idx="168">
                  <c:v>1.6144600406554537E-12</c:v>
                </c:pt>
                <c:pt idx="169">
                  <c:v>1.6144600406554537E-12</c:v>
                </c:pt>
                <c:pt idx="170">
                  <c:v>1.6144600406554537E-12</c:v>
                </c:pt>
                <c:pt idx="171">
                  <c:v>1.6144600406554537E-12</c:v>
                </c:pt>
                <c:pt idx="172">
                  <c:v>1.6144600406554537E-12</c:v>
                </c:pt>
                <c:pt idx="173">
                  <c:v>1.6144600406554537E-12</c:v>
                </c:pt>
                <c:pt idx="174">
                  <c:v>1.6144600406554537E-12</c:v>
                </c:pt>
                <c:pt idx="175">
                  <c:v>1.6144600406554537E-12</c:v>
                </c:pt>
                <c:pt idx="176">
                  <c:v>1.6144600406554537E-12</c:v>
                </c:pt>
                <c:pt idx="177">
                  <c:v>1.6144600406554537E-12</c:v>
                </c:pt>
                <c:pt idx="178">
                  <c:v>1.6144600406554537E-12</c:v>
                </c:pt>
                <c:pt idx="179">
                  <c:v>1.6144600406554537E-12</c:v>
                </c:pt>
                <c:pt idx="180">
                  <c:v>1.6144600406554537E-12</c:v>
                </c:pt>
                <c:pt idx="181">
                  <c:v>1.6144600406554537E-12</c:v>
                </c:pt>
                <c:pt idx="182">
                  <c:v>1.6144600406554537E-12</c:v>
                </c:pt>
                <c:pt idx="183">
                  <c:v>1.6144600406554537E-12</c:v>
                </c:pt>
                <c:pt idx="184">
                  <c:v>1.6144600406554537E-12</c:v>
                </c:pt>
                <c:pt idx="185">
                  <c:v>1.6144600406554537E-12</c:v>
                </c:pt>
                <c:pt idx="186">
                  <c:v>1.6144600406554537E-12</c:v>
                </c:pt>
                <c:pt idx="187">
                  <c:v>1.6144600406554537E-12</c:v>
                </c:pt>
                <c:pt idx="188">
                  <c:v>1.6144600406554537E-12</c:v>
                </c:pt>
                <c:pt idx="189">
                  <c:v>1.6144600406554537E-12</c:v>
                </c:pt>
                <c:pt idx="190">
                  <c:v>1.6144600406554537E-12</c:v>
                </c:pt>
                <c:pt idx="191">
                  <c:v>1.6144600406554537E-12</c:v>
                </c:pt>
                <c:pt idx="192">
                  <c:v>1.6144600406554537E-12</c:v>
                </c:pt>
                <c:pt idx="193">
                  <c:v>1.6144600406554537E-12</c:v>
                </c:pt>
                <c:pt idx="194">
                  <c:v>1.6144600406554537E-12</c:v>
                </c:pt>
                <c:pt idx="195">
                  <c:v>1.6144600406554537E-12</c:v>
                </c:pt>
                <c:pt idx="196">
                  <c:v>1.6144600406554537E-12</c:v>
                </c:pt>
                <c:pt idx="197">
                  <c:v>1.6144600406554537E-12</c:v>
                </c:pt>
                <c:pt idx="198">
                  <c:v>1.6144600406554537E-12</c:v>
                </c:pt>
                <c:pt idx="199">
                  <c:v>1.6144600406554537E-12</c:v>
                </c:pt>
                <c:pt idx="200">
                  <c:v>1.6144600406554537E-12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2.3912477312569469</c:v>
                </c:pt>
                <c:pt idx="2">
                  <c:v>3.0305745735827454</c:v>
                </c:pt>
                <c:pt idx="3">
                  <c:v>3.8415069510438875</c:v>
                </c:pt>
                <c:pt idx="4">
                  <c:v>4.8702772106595678</c:v>
                </c:pt>
                <c:pt idx="5">
                  <c:v>6.1756162132219155</c:v>
                </c:pt>
                <c:pt idx="6">
                  <c:v>7.8321430063265174</c:v>
                </c:pt>
                <c:pt idx="7">
                  <c:v>9.9346765028396486</c:v>
                </c:pt>
                <c:pt idx="8">
                  <c:v>12.603720629249608</c:v>
                </c:pt>
                <c:pt idx="9">
                  <c:v>15.992443159802759</c:v>
                </c:pt>
                <c:pt idx="10">
                  <c:v>20.295556042388124</c:v>
                </c:pt>
                <c:pt idx="11">
                  <c:v>25.760616623096279</c:v>
                </c:pt>
                <c:pt idx="12">
                  <c:v>32.702411383165405</c:v>
                </c:pt>
                <c:pt idx="13">
                  <c:v>41.521265024131843</c:v>
                </c:pt>
                <c:pt idx="14">
                  <c:v>52.726348698531858</c:v>
                </c:pt>
                <c:pt idx="15">
                  <c:v>66.965355561225593</c:v>
                </c:pt>
                <c:pt idx="16">
                  <c:v>77.688553841510242</c:v>
                </c:pt>
                <c:pt idx="17">
                  <c:v>93.220166148530168</c:v>
                </c:pt>
                <c:pt idx="18">
                  <c:v>108.68702057294185</c:v>
                </c:pt>
                <c:pt idx="19">
                  <c:v>124.0996568724391</c:v>
                </c:pt>
                <c:pt idx="20">
                  <c:v>139.46576938145776</c:v>
                </c:pt>
                <c:pt idx="21">
                  <c:v>116.39958295624017</c:v>
                </c:pt>
                <c:pt idx="22">
                  <c:v>133.38850565546619</c:v>
                </c:pt>
                <c:pt idx="23">
                  <c:v>150.32520254476182</c:v>
                </c:pt>
                <c:pt idx="24">
                  <c:v>167.21639270035547</c:v>
                </c:pt>
                <c:pt idx="25">
                  <c:v>184.06732332114075</c:v>
                </c:pt>
                <c:pt idx="26">
                  <c:v>159.41349443625646</c:v>
                </c:pt>
                <c:pt idx="27">
                  <c:v>177.7129249070922</c:v>
                </c:pt>
                <c:pt idx="28">
                  <c:v>195.9681571925295</c:v>
                </c:pt>
                <c:pt idx="29">
                  <c:v>214.18388928007437</c:v>
                </c:pt>
                <c:pt idx="30">
                  <c:v>232.36395376149565</c:v>
                </c:pt>
                <c:pt idx="31">
                  <c:v>250.5115339876061</c:v>
                </c:pt>
                <c:pt idx="32">
                  <c:v>211.81002161977332</c:v>
                </c:pt>
                <c:pt idx="33">
                  <c:v>229.99454571501948</c:v>
                </c:pt>
                <c:pt idx="34">
                  <c:v>248.14620134820765</c:v>
                </c:pt>
                <c:pt idx="35">
                  <c:v>266.2677309805793</c:v>
                </c:pt>
                <c:pt idx="36">
                  <c:v>284.36147314282675</c:v>
                </c:pt>
                <c:pt idx="37">
                  <c:v>302.4294443943221</c:v>
                </c:pt>
                <c:pt idx="38">
                  <c:v>263.3432112031748</c:v>
                </c:pt>
                <c:pt idx="39">
                  <c:v>280.87964658057535</c:v>
                </c:pt>
                <c:pt idx="40">
                  <c:v>298.39154420314026</c:v>
                </c:pt>
                <c:pt idx="41">
                  <c:v>315.88054653189334</c:v>
                </c:pt>
                <c:pt idx="42">
                  <c:v>333.3480993012368</c:v>
                </c:pt>
                <c:pt idx="43">
                  <c:v>350.7954843718685</c:v>
                </c:pt>
                <c:pt idx="44">
                  <c:v>368.22384570264688</c:v>
                </c:pt>
                <c:pt idx="45">
                  <c:v>317.14092726196253</c:v>
                </c:pt>
                <c:pt idx="46">
                  <c:v>333.4040519782817</c:v>
                </c:pt>
                <c:pt idx="47">
                  <c:v>349.64969742846506</c:v>
                </c:pt>
                <c:pt idx="48">
                  <c:v>365.87878992840956</c:v>
                </c:pt>
                <c:pt idx="49">
                  <c:v>382.09216692066576</c:v>
                </c:pt>
                <c:pt idx="50">
                  <c:v>398.29058898913462</c:v>
                </c:pt>
                <c:pt idx="51">
                  <c:v>414.47474981695945</c:v>
                </c:pt>
                <c:pt idx="52">
                  <c:v>430.64528450788208</c:v>
                </c:pt>
                <c:pt idx="53">
                  <c:v>370.37319374117959</c:v>
                </c:pt>
                <c:pt idx="54">
                  <c:v>385.02067867848433</c:v>
                </c:pt>
                <c:pt idx="55">
                  <c:v>399.65605964053549</c:v>
                </c:pt>
                <c:pt idx="56">
                  <c:v>414.27984224473329</c:v>
                </c:pt>
                <c:pt idx="57">
                  <c:v>428.89249350476643</c:v>
                </c:pt>
                <c:pt idx="58">
                  <c:v>443.49444602031161</c:v>
                </c:pt>
                <c:pt idx="59">
                  <c:v>458.08610158622128</c:v>
                </c:pt>
                <c:pt idx="60">
                  <c:v>472.66783431793436</c:v>
                </c:pt>
                <c:pt idx="61">
                  <c:v>412.98040781941319</c:v>
                </c:pt>
                <c:pt idx="62">
                  <c:v>426.49027034445544</c:v>
                </c:pt>
                <c:pt idx="63">
                  <c:v>439.9909311636232</c:v>
                </c:pt>
                <c:pt idx="64">
                  <c:v>453.48271237088505</c:v>
                </c:pt>
                <c:pt idx="65">
                  <c:v>466.96591533351813</c:v>
                </c:pt>
                <c:pt idx="66">
                  <c:v>480.44082259837757</c:v>
                </c:pt>
                <c:pt idx="67">
                  <c:v>493.90769957319316</c:v>
                </c:pt>
                <c:pt idx="68">
                  <c:v>507.36679601497957</c:v>
                </c:pt>
                <c:pt idx="69">
                  <c:v>520.81834735232212</c:v>
                </c:pt>
                <c:pt idx="70">
                  <c:v>1.2800215959791691E-12</c:v>
                </c:pt>
                <c:pt idx="71">
                  <c:v>1.2800215959791691E-12</c:v>
                </c:pt>
                <c:pt idx="72">
                  <c:v>1.2800215959791691E-12</c:v>
                </c:pt>
                <c:pt idx="73">
                  <c:v>1.2800215959791691E-12</c:v>
                </c:pt>
                <c:pt idx="74">
                  <c:v>1.2800215959791691E-12</c:v>
                </c:pt>
                <c:pt idx="75">
                  <c:v>1.2800215959791691E-12</c:v>
                </c:pt>
                <c:pt idx="76">
                  <c:v>1.2800215959791691E-12</c:v>
                </c:pt>
                <c:pt idx="77">
                  <c:v>1.2800215959791691E-12</c:v>
                </c:pt>
                <c:pt idx="78">
                  <c:v>1.2800215959791691E-12</c:v>
                </c:pt>
                <c:pt idx="79">
                  <c:v>1.2800215959791691E-12</c:v>
                </c:pt>
                <c:pt idx="80">
                  <c:v>1.2800215959791691E-12</c:v>
                </c:pt>
                <c:pt idx="81">
                  <c:v>1.2800215959791691E-12</c:v>
                </c:pt>
                <c:pt idx="82">
                  <c:v>1.2800215959791691E-12</c:v>
                </c:pt>
                <c:pt idx="83">
                  <c:v>1.2800215959791691E-12</c:v>
                </c:pt>
                <c:pt idx="84">
                  <c:v>1.2800215959791691E-12</c:v>
                </c:pt>
                <c:pt idx="85">
                  <c:v>1.2800215959791691E-12</c:v>
                </c:pt>
                <c:pt idx="86">
                  <c:v>1.2800215959791691E-12</c:v>
                </c:pt>
                <c:pt idx="87">
                  <c:v>1.2800215959791691E-12</c:v>
                </c:pt>
                <c:pt idx="88">
                  <c:v>1.2800215959791691E-12</c:v>
                </c:pt>
                <c:pt idx="89">
                  <c:v>1.2800215959791691E-12</c:v>
                </c:pt>
                <c:pt idx="90">
                  <c:v>1.2800215959791691E-12</c:v>
                </c:pt>
                <c:pt idx="91">
                  <c:v>1.2800215959791691E-12</c:v>
                </c:pt>
                <c:pt idx="92">
                  <c:v>1.2800215959791691E-12</c:v>
                </c:pt>
                <c:pt idx="93">
                  <c:v>1.2800215959791691E-12</c:v>
                </c:pt>
                <c:pt idx="94">
                  <c:v>1.2800215959791691E-12</c:v>
                </c:pt>
                <c:pt idx="95">
                  <c:v>1.2800215959791691E-12</c:v>
                </c:pt>
                <c:pt idx="96">
                  <c:v>1.2800215959791691E-12</c:v>
                </c:pt>
                <c:pt idx="97">
                  <c:v>1.2800215959791691E-12</c:v>
                </c:pt>
                <c:pt idx="98">
                  <c:v>1.2800215959791691E-12</c:v>
                </c:pt>
                <c:pt idx="99">
                  <c:v>1.2800215959791691E-12</c:v>
                </c:pt>
                <c:pt idx="100">
                  <c:v>1.2800215959791691E-12</c:v>
                </c:pt>
                <c:pt idx="101">
                  <c:v>1.2800215959791691E-12</c:v>
                </c:pt>
                <c:pt idx="102">
                  <c:v>1.2800215959791691E-12</c:v>
                </c:pt>
                <c:pt idx="103">
                  <c:v>1.2800215959791691E-12</c:v>
                </c:pt>
                <c:pt idx="104">
                  <c:v>1.2800215959791691E-12</c:v>
                </c:pt>
                <c:pt idx="105">
                  <c:v>1.2800215959791691E-12</c:v>
                </c:pt>
                <c:pt idx="106">
                  <c:v>1.2800215959791691E-12</c:v>
                </c:pt>
                <c:pt idx="107">
                  <c:v>1.2800215959791691E-12</c:v>
                </c:pt>
                <c:pt idx="108">
                  <c:v>1.2800215959791691E-12</c:v>
                </c:pt>
                <c:pt idx="109">
                  <c:v>1.2800215959791691E-12</c:v>
                </c:pt>
                <c:pt idx="110">
                  <c:v>1.2800215959791691E-12</c:v>
                </c:pt>
                <c:pt idx="111">
                  <c:v>1.2800215959791691E-12</c:v>
                </c:pt>
                <c:pt idx="112">
                  <c:v>1.2800215959791691E-12</c:v>
                </c:pt>
                <c:pt idx="113">
                  <c:v>1.2800215959791691E-12</c:v>
                </c:pt>
                <c:pt idx="114">
                  <c:v>1.2800215959791691E-12</c:v>
                </c:pt>
                <c:pt idx="115">
                  <c:v>1.2800215959791691E-12</c:v>
                </c:pt>
                <c:pt idx="116">
                  <c:v>1.2800215959791691E-12</c:v>
                </c:pt>
                <c:pt idx="117">
                  <c:v>1.2800215959791691E-12</c:v>
                </c:pt>
                <c:pt idx="118">
                  <c:v>1.2800215959791691E-12</c:v>
                </c:pt>
                <c:pt idx="119">
                  <c:v>1.2800215959791691E-12</c:v>
                </c:pt>
                <c:pt idx="120">
                  <c:v>1.2800215959791691E-12</c:v>
                </c:pt>
                <c:pt idx="121">
                  <c:v>1.2800215959791691E-12</c:v>
                </c:pt>
                <c:pt idx="122">
                  <c:v>1.2800215959791691E-12</c:v>
                </c:pt>
                <c:pt idx="123">
                  <c:v>1.2800215959791691E-12</c:v>
                </c:pt>
                <c:pt idx="124">
                  <c:v>1.2800215959791691E-12</c:v>
                </c:pt>
                <c:pt idx="125">
                  <c:v>1.2800215959791691E-12</c:v>
                </c:pt>
                <c:pt idx="126">
                  <c:v>1.2800215959791691E-12</c:v>
                </c:pt>
                <c:pt idx="127">
                  <c:v>1.2800215959791691E-12</c:v>
                </c:pt>
                <c:pt idx="128">
                  <c:v>1.2800215959791691E-12</c:v>
                </c:pt>
                <c:pt idx="129">
                  <c:v>1.2800215959791691E-12</c:v>
                </c:pt>
                <c:pt idx="130">
                  <c:v>1.2800215959791691E-12</c:v>
                </c:pt>
                <c:pt idx="131">
                  <c:v>1.2800215959791691E-12</c:v>
                </c:pt>
                <c:pt idx="132">
                  <c:v>1.2800215959791691E-12</c:v>
                </c:pt>
                <c:pt idx="133">
                  <c:v>1.2800215959791691E-12</c:v>
                </c:pt>
                <c:pt idx="134">
                  <c:v>1.2800215959791691E-12</c:v>
                </c:pt>
                <c:pt idx="135">
                  <c:v>1.2800215959791691E-12</c:v>
                </c:pt>
                <c:pt idx="136">
                  <c:v>1.2800215959791691E-12</c:v>
                </c:pt>
                <c:pt idx="137">
                  <c:v>1.2800215959791691E-12</c:v>
                </c:pt>
                <c:pt idx="138">
                  <c:v>1.2800215959791691E-12</c:v>
                </c:pt>
                <c:pt idx="139">
                  <c:v>1.2800215959791691E-12</c:v>
                </c:pt>
                <c:pt idx="140">
                  <c:v>1.2800215959791691E-12</c:v>
                </c:pt>
                <c:pt idx="141">
                  <c:v>1.2800215959791691E-12</c:v>
                </c:pt>
                <c:pt idx="142">
                  <c:v>1.2800215959791691E-12</c:v>
                </c:pt>
                <c:pt idx="143">
                  <c:v>1.2800215959791691E-12</c:v>
                </c:pt>
                <c:pt idx="144">
                  <c:v>1.2800215959791691E-12</c:v>
                </c:pt>
                <c:pt idx="145">
                  <c:v>1.2800215959791691E-12</c:v>
                </c:pt>
                <c:pt idx="146">
                  <c:v>1.2800215959791691E-12</c:v>
                </c:pt>
                <c:pt idx="147">
                  <c:v>1.2800215959791691E-12</c:v>
                </c:pt>
                <c:pt idx="148">
                  <c:v>1.2800215959791691E-12</c:v>
                </c:pt>
                <c:pt idx="149">
                  <c:v>1.2800215959791691E-12</c:v>
                </c:pt>
                <c:pt idx="150">
                  <c:v>1.2800215959791691E-12</c:v>
                </c:pt>
                <c:pt idx="151">
                  <c:v>1.2800215959791691E-12</c:v>
                </c:pt>
                <c:pt idx="152">
                  <c:v>1.2800215959791691E-12</c:v>
                </c:pt>
                <c:pt idx="153">
                  <c:v>1.2800215959791691E-12</c:v>
                </c:pt>
                <c:pt idx="154">
                  <c:v>1.2800215959791691E-12</c:v>
                </c:pt>
                <c:pt idx="155">
                  <c:v>1.2800215959791691E-12</c:v>
                </c:pt>
                <c:pt idx="156">
                  <c:v>1.2800215959791691E-12</c:v>
                </c:pt>
                <c:pt idx="157">
                  <c:v>1.2800215959791691E-12</c:v>
                </c:pt>
                <c:pt idx="158">
                  <c:v>1.2800215959791691E-12</c:v>
                </c:pt>
                <c:pt idx="159">
                  <c:v>1.2800215959791691E-12</c:v>
                </c:pt>
                <c:pt idx="160">
                  <c:v>1.2800215959791691E-12</c:v>
                </c:pt>
                <c:pt idx="161">
                  <c:v>1.2800215959791691E-12</c:v>
                </c:pt>
                <c:pt idx="162">
                  <c:v>1.2800215959791691E-12</c:v>
                </c:pt>
                <c:pt idx="163">
                  <c:v>1.2800215959791691E-12</c:v>
                </c:pt>
                <c:pt idx="164">
                  <c:v>1.2800215959791691E-12</c:v>
                </c:pt>
                <c:pt idx="165">
                  <c:v>1.2800215959791691E-12</c:v>
                </c:pt>
                <c:pt idx="166">
                  <c:v>1.2800215959791691E-12</c:v>
                </c:pt>
                <c:pt idx="167">
                  <c:v>1.2800215959791691E-12</c:v>
                </c:pt>
                <c:pt idx="168">
                  <c:v>1.2800215959791691E-12</c:v>
                </c:pt>
                <c:pt idx="169">
                  <c:v>1.2800215959791691E-12</c:v>
                </c:pt>
                <c:pt idx="170">
                  <c:v>1.2800215959791691E-12</c:v>
                </c:pt>
                <c:pt idx="171">
                  <c:v>1.2800215959791691E-12</c:v>
                </c:pt>
                <c:pt idx="172">
                  <c:v>1.2800215959791691E-12</c:v>
                </c:pt>
                <c:pt idx="173">
                  <c:v>1.2800215959791691E-12</c:v>
                </c:pt>
                <c:pt idx="174">
                  <c:v>1.2800215959791691E-12</c:v>
                </c:pt>
                <c:pt idx="175">
                  <c:v>1.2800215959791691E-12</c:v>
                </c:pt>
                <c:pt idx="176">
                  <c:v>1.2800215959791691E-12</c:v>
                </c:pt>
                <c:pt idx="177">
                  <c:v>1.2800215959791691E-12</c:v>
                </c:pt>
                <c:pt idx="178">
                  <c:v>1.2800215959791691E-12</c:v>
                </c:pt>
                <c:pt idx="179">
                  <c:v>1.2800215959791691E-12</c:v>
                </c:pt>
                <c:pt idx="180">
                  <c:v>1.2800215959791691E-12</c:v>
                </c:pt>
                <c:pt idx="181">
                  <c:v>1.2800215959791691E-12</c:v>
                </c:pt>
                <c:pt idx="182">
                  <c:v>1.2800215959791691E-12</c:v>
                </c:pt>
                <c:pt idx="183">
                  <c:v>1.2800215959791691E-12</c:v>
                </c:pt>
                <c:pt idx="184">
                  <c:v>1.2800215959791691E-12</c:v>
                </c:pt>
                <c:pt idx="185">
                  <c:v>1.2800215959791691E-12</c:v>
                </c:pt>
                <c:pt idx="186">
                  <c:v>1.2800215959791691E-12</c:v>
                </c:pt>
                <c:pt idx="187">
                  <c:v>1.2800215959791691E-12</c:v>
                </c:pt>
                <c:pt idx="188">
                  <c:v>1.2800215959791691E-12</c:v>
                </c:pt>
                <c:pt idx="189">
                  <c:v>1.2800215959791691E-12</c:v>
                </c:pt>
                <c:pt idx="190">
                  <c:v>1.2800215959791691E-12</c:v>
                </c:pt>
                <c:pt idx="191">
                  <c:v>1.2800215959791691E-12</c:v>
                </c:pt>
                <c:pt idx="192">
                  <c:v>1.2800215959791691E-12</c:v>
                </c:pt>
                <c:pt idx="193">
                  <c:v>1.2800215959791691E-12</c:v>
                </c:pt>
                <c:pt idx="194">
                  <c:v>1.2800215959791691E-12</c:v>
                </c:pt>
                <c:pt idx="195">
                  <c:v>1.2800215959791691E-12</c:v>
                </c:pt>
                <c:pt idx="196">
                  <c:v>1.2800215959791691E-12</c:v>
                </c:pt>
                <c:pt idx="197">
                  <c:v>1.2800215959791691E-12</c:v>
                </c:pt>
                <c:pt idx="198">
                  <c:v>1.2800215959791691E-12</c:v>
                </c:pt>
                <c:pt idx="199">
                  <c:v>1.2800215959791691E-12</c:v>
                </c:pt>
                <c:pt idx="200">
                  <c:v>1.2800215959791691E-12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3.1226780154032348</c:v>
                </c:pt>
                <c:pt idx="2">
                  <c:v>3.9583430063360723</c:v>
                </c:pt>
                <c:pt idx="3">
                  <c:v>5.0185117741983465</c:v>
                </c:pt>
                <c:pt idx="4">
                  <c:v>6.3637179164758599</c:v>
                </c:pt>
                <c:pt idx="5">
                  <c:v>8.0708722983088403</c:v>
                </c:pt>
                <c:pt idx="6">
                  <c:v>10.237707804864213</c:v>
                </c:pt>
                <c:pt idx="7">
                  <c:v>12.988433868099442</c:v>
                </c:pt>
                <c:pt idx="8">
                  <c:v>16.480930912208361</c:v>
                </c:pt>
                <c:pt idx="9">
                  <c:v>20.91590517322393</c:v>
                </c:pt>
                <c:pt idx="10">
                  <c:v>26.548539417598036</c:v>
                </c:pt>
                <c:pt idx="11">
                  <c:v>33.703321712586742</c:v>
                </c:pt>
                <c:pt idx="12">
                  <c:v>42.792921259647919</c:v>
                </c:pt>
                <c:pt idx="13">
                  <c:v>54.342218449406012</c:v>
                </c:pt>
                <c:pt idx="14">
                  <c:v>69.01889983653632</c:v>
                </c:pt>
                <c:pt idx="15">
                  <c:v>87.672415653160499</c:v>
                </c:pt>
                <c:pt idx="16">
                  <c:v>101.72185660078993</c:v>
                </c:pt>
                <c:pt idx="17">
                  <c:v>122.07340311659584</c:v>
                </c:pt>
                <c:pt idx="18">
                  <c:v>142.34223463322976</c:v>
                </c:pt>
                <c:pt idx="19">
                  <c:v>162.5418135434353</c:v>
                </c:pt>
                <c:pt idx="20">
                  <c:v>182.6819677915623</c:v>
                </c:pt>
                <c:pt idx="21">
                  <c:v>152.44999982429064</c:v>
                </c:pt>
                <c:pt idx="22">
                  <c:v>174.7164088968461</c:v>
                </c:pt>
                <c:pt idx="23">
                  <c:v>196.91611013938666</c:v>
                </c:pt>
                <c:pt idx="24">
                  <c:v>219.05768580263296</c:v>
                </c:pt>
                <c:pt idx="25">
                  <c:v>241.14783811393798</c:v>
                </c:pt>
                <c:pt idx="26">
                  <c:v>208.82919038278192</c:v>
                </c:pt>
                <c:pt idx="27">
                  <c:v>232.81760702956296</c:v>
                </c:pt>
                <c:pt idx="28">
                  <c:v>256.74956950086158</c:v>
                </c:pt>
                <c:pt idx="29">
                  <c:v>280.63107851839709</c:v>
                </c:pt>
                <c:pt idx="30">
                  <c:v>304.46702943717855</c:v>
                </c:pt>
                <c:pt idx="31">
                  <c:v>328.26148833919041</c:v>
                </c:pt>
                <c:pt idx="32">
                  <c:v>277.51877807553296</c:v>
                </c:pt>
                <c:pt idx="33">
                  <c:v>301.36042524223006</c:v>
                </c:pt>
                <c:pt idx="34">
                  <c:v>325.1600896463288</c:v>
                </c:pt>
                <c:pt idx="35">
                  <c:v>348.92127422322784</c:v>
                </c:pt>
                <c:pt idx="36">
                  <c:v>372.64696596935863</c:v>
                </c:pt>
                <c:pt idx="37">
                  <c:v>396.33974062840031</c:v>
                </c:pt>
                <c:pt idx="38">
                  <c:v>345.08654023334083</c:v>
                </c:pt>
                <c:pt idx="39">
                  <c:v>368.08129845044346</c:v>
                </c:pt>
                <c:pt idx="40">
                  <c:v>391.04471468585712</c:v>
                </c:pt>
                <c:pt idx="41">
                  <c:v>413.97888684885203</c:v>
                </c:pt>
                <c:pt idx="42">
                  <c:v>436.88566157052645</c:v>
                </c:pt>
                <c:pt idx="43">
                  <c:v>459.76667616671403</c:v>
                </c:pt>
                <c:pt idx="44">
                  <c:v>482.62339181174929</c:v>
                </c:pt>
                <c:pt idx="45">
                  <c:v>415.63171366974694</c:v>
                </c:pt>
                <c:pt idx="46">
                  <c:v>436.95903848135282</c:v>
                </c:pt>
                <c:pt idx="47">
                  <c:v>458.26403709225968</c:v>
                </c:pt>
                <c:pt idx="48">
                  <c:v>479.5478926822687</c:v>
                </c:pt>
                <c:pt idx="49">
                  <c:v>500.81167491358997</c:v>
                </c:pt>
                <c:pt idx="50">
                  <c:v>522.05635527717197</c:v>
                </c:pt>
                <c:pt idx="51">
                  <c:v>543.28281981187615</c:v>
                </c:pt>
                <c:pt idx="52">
                  <c:v>564.49187973331675</c:v>
                </c:pt>
                <c:pt idx="53">
                  <c:v>485.44223350240787</c:v>
                </c:pt>
                <c:pt idx="54">
                  <c:v>504.65246222875362</c:v>
                </c:pt>
                <c:pt idx="55">
                  <c:v>523.84723059316718</c:v>
                </c:pt>
                <c:pt idx="56">
                  <c:v>543.02718441884645</c:v>
                </c:pt>
                <c:pt idx="57">
                  <c:v>562.19292022061472</c:v>
                </c:pt>
                <c:pt idx="58">
                  <c:v>581.34499055640697</c:v>
                </c:pt>
                <c:pt idx="59">
                  <c:v>600.48390863727252</c:v>
                </c:pt>
                <c:pt idx="60">
                  <c:v>619.61015231945009</c:v>
                </c:pt>
                <c:pt idx="61">
                  <c:v>541.32288382074091</c:v>
                </c:pt>
                <c:pt idx="62">
                  <c:v>559.04217450912972</c:v>
                </c:pt>
                <c:pt idx="63">
                  <c:v>576.74971189331654</c:v>
                </c:pt>
                <c:pt idx="64">
                  <c:v>594.44590738271177</c:v>
                </c:pt>
                <c:pt idx="65">
                  <c:v>612.13114591260205</c:v>
                </c:pt>
                <c:pt idx="66">
                  <c:v>629.80578837901965</c:v>
                </c:pt>
                <c:pt idx="67">
                  <c:v>647.47017378625662</c:v>
                </c:pt>
                <c:pt idx="68">
                  <c:v>665.12462114800553</c:v>
                </c:pt>
                <c:pt idx="69">
                  <c:v>682.7694311763106</c:v>
                </c:pt>
                <c:pt idx="70">
                  <c:v>1.6380047803526383E-12</c:v>
                </c:pt>
                <c:pt idx="71">
                  <c:v>1.6380047803526383E-12</c:v>
                </c:pt>
                <c:pt idx="72">
                  <c:v>1.6380047803526383E-12</c:v>
                </c:pt>
                <c:pt idx="73">
                  <c:v>1.6380047803526383E-12</c:v>
                </c:pt>
                <c:pt idx="74">
                  <c:v>1.6380047803526383E-12</c:v>
                </c:pt>
                <c:pt idx="75">
                  <c:v>1.6380047803526383E-12</c:v>
                </c:pt>
                <c:pt idx="76">
                  <c:v>1.6380047803526383E-12</c:v>
                </c:pt>
                <c:pt idx="77">
                  <c:v>1.6380047803526383E-12</c:v>
                </c:pt>
                <c:pt idx="78">
                  <c:v>1.6380047803526383E-12</c:v>
                </c:pt>
                <c:pt idx="79">
                  <c:v>1.6380047803526383E-12</c:v>
                </c:pt>
                <c:pt idx="80">
                  <c:v>1.6380047803526383E-12</c:v>
                </c:pt>
                <c:pt idx="81">
                  <c:v>1.6380047803526383E-12</c:v>
                </c:pt>
                <c:pt idx="82">
                  <c:v>1.6380047803526383E-12</c:v>
                </c:pt>
                <c:pt idx="83">
                  <c:v>1.6380047803526383E-12</c:v>
                </c:pt>
                <c:pt idx="84">
                  <c:v>1.6380047803526383E-12</c:v>
                </c:pt>
                <c:pt idx="85">
                  <c:v>1.6380047803526383E-12</c:v>
                </c:pt>
                <c:pt idx="86">
                  <c:v>1.6380047803526383E-12</c:v>
                </c:pt>
                <c:pt idx="87">
                  <c:v>1.6380047803526383E-12</c:v>
                </c:pt>
                <c:pt idx="88">
                  <c:v>1.6380047803526383E-12</c:v>
                </c:pt>
                <c:pt idx="89">
                  <c:v>1.6380047803526383E-12</c:v>
                </c:pt>
                <c:pt idx="90">
                  <c:v>1.6380047803526383E-12</c:v>
                </c:pt>
                <c:pt idx="91">
                  <c:v>1.6380047803526383E-12</c:v>
                </c:pt>
                <c:pt idx="92">
                  <c:v>1.6380047803526383E-12</c:v>
                </c:pt>
                <c:pt idx="93">
                  <c:v>1.6380047803526383E-12</c:v>
                </c:pt>
                <c:pt idx="94">
                  <c:v>1.6380047803526383E-12</c:v>
                </c:pt>
                <c:pt idx="95">
                  <c:v>1.6380047803526383E-12</c:v>
                </c:pt>
                <c:pt idx="96">
                  <c:v>1.6380047803526383E-12</c:v>
                </c:pt>
                <c:pt idx="97">
                  <c:v>1.6380047803526383E-12</c:v>
                </c:pt>
                <c:pt idx="98">
                  <c:v>1.6380047803526383E-12</c:v>
                </c:pt>
                <c:pt idx="99">
                  <c:v>1.6380047803526383E-12</c:v>
                </c:pt>
                <c:pt idx="100">
                  <c:v>1.6380047803526383E-12</c:v>
                </c:pt>
                <c:pt idx="101">
                  <c:v>1.6380047803526383E-12</c:v>
                </c:pt>
                <c:pt idx="102">
                  <c:v>1.6380047803526383E-12</c:v>
                </c:pt>
                <c:pt idx="103">
                  <c:v>1.6380047803526383E-12</c:v>
                </c:pt>
                <c:pt idx="104">
                  <c:v>1.6380047803526383E-12</c:v>
                </c:pt>
                <c:pt idx="105">
                  <c:v>1.6380047803526383E-12</c:v>
                </c:pt>
                <c:pt idx="106">
                  <c:v>1.6380047803526383E-12</c:v>
                </c:pt>
                <c:pt idx="107">
                  <c:v>1.6380047803526383E-12</c:v>
                </c:pt>
                <c:pt idx="108">
                  <c:v>1.6380047803526383E-12</c:v>
                </c:pt>
                <c:pt idx="109">
                  <c:v>1.6380047803526383E-12</c:v>
                </c:pt>
                <c:pt idx="110">
                  <c:v>1.6380047803526383E-12</c:v>
                </c:pt>
                <c:pt idx="111">
                  <c:v>1.6380047803526383E-12</c:v>
                </c:pt>
                <c:pt idx="112">
                  <c:v>1.6380047803526383E-12</c:v>
                </c:pt>
                <c:pt idx="113">
                  <c:v>1.6380047803526383E-12</c:v>
                </c:pt>
                <c:pt idx="114">
                  <c:v>1.6380047803526383E-12</c:v>
                </c:pt>
                <c:pt idx="115">
                  <c:v>1.6380047803526383E-12</c:v>
                </c:pt>
                <c:pt idx="116">
                  <c:v>1.6380047803526383E-12</c:v>
                </c:pt>
                <c:pt idx="117">
                  <c:v>1.6380047803526383E-12</c:v>
                </c:pt>
                <c:pt idx="118">
                  <c:v>1.6380047803526383E-12</c:v>
                </c:pt>
                <c:pt idx="119">
                  <c:v>1.6380047803526383E-12</c:v>
                </c:pt>
                <c:pt idx="120">
                  <c:v>1.6380047803526383E-12</c:v>
                </c:pt>
                <c:pt idx="121">
                  <c:v>1.6380047803526383E-12</c:v>
                </c:pt>
                <c:pt idx="122">
                  <c:v>1.6380047803526383E-12</c:v>
                </c:pt>
                <c:pt idx="123">
                  <c:v>1.6380047803526383E-12</c:v>
                </c:pt>
                <c:pt idx="124">
                  <c:v>1.6380047803526383E-12</c:v>
                </c:pt>
                <c:pt idx="125">
                  <c:v>1.6380047803526383E-12</c:v>
                </c:pt>
                <c:pt idx="126">
                  <c:v>1.6380047803526383E-12</c:v>
                </c:pt>
                <c:pt idx="127">
                  <c:v>1.6380047803526383E-12</c:v>
                </c:pt>
                <c:pt idx="128">
                  <c:v>1.6380047803526383E-12</c:v>
                </c:pt>
                <c:pt idx="129">
                  <c:v>1.6380047803526383E-12</c:v>
                </c:pt>
                <c:pt idx="130">
                  <c:v>1.6380047803526383E-12</c:v>
                </c:pt>
                <c:pt idx="131">
                  <c:v>1.6380047803526383E-12</c:v>
                </c:pt>
                <c:pt idx="132">
                  <c:v>1.6380047803526383E-12</c:v>
                </c:pt>
                <c:pt idx="133">
                  <c:v>1.6380047803526383E-12</c:v>
                </c:pt>
                <c:pt idx="134">
                  <c:v>1.6380047803526383E-12</c:v>
                </c:pt>
                <c:pt idx="135">
                  <c:v>1.6380047803526383E-12</c:v>
                </c:pt>
                <c:pt idx="136">
                  <c:v>1.6380047803526383E-12</c:v>
                </c:pt>
                <c:pt idx="137">
                  <c:v>1.6380047803526383E-12</c:v>
                </c:pt>
                <c:pt idx="138">
                  <c:v>1.6380047803526383E-12</c:v>
                </c:pt>
                <c:pt idx="139">
                  <c:v>1.6380047803526383E-12</c:v>
                </c:pt>
                <c:pt idx="140">
                  <c:v>1.6380047803526383E-12</c:v>
                </c:pt>
                <c:pt idx="141">
                  <c:v>1.6380047803526383E-12</c:v>
                </c:pt>
                <c:pt idx="142">
                  <c:v>1.6380047803526383E-12</c:v>
                </c:pt>
                <c:pt idx="143">
                  <c:v>1.6380047803526383E-12</c:v>
                </c:pt>
                <c:pt idx="144">
                  <c:v>1.6380047803526383E-12</c:v>
                </c:pt>
                <c:pt idx="145">
                  <c:v>1.6380047803526383E-12</c:v>
                </c:pt>
                <c:pt idx="146">
                  <c:v>1.6380047803526383E-12</c:v>
                </c:pt>
                <c:pt idx="147">
                  <c:v>1.6380047803526383E-12</c:v>
                </c:pt>
                <c:pt idx="148">
                  <c:v>1.6380047803526383E-12</c:v>
                </c:pt>
                <c:pt idx="149">
                  <c:v>1.6380047803526383E-12</c:v>
                </c:pt>
                <c:pt idx="150">
                  <c:v>1.6380047803526383E-12</c:v>
                </c:pt>
                <c:pt idx="151">
                  <c:v>1.6380047803526383E-12</c:v>
                </c:pt>
                <c:pt idx="152">
                  <c:v>1.6380047803526383E-12</c:v>
                </c:pt>
                <c:pt idx="153">
                  <c:v>1.6380047803526383E-12</c:v>
                </c:pt>
                <c:pt idx="154">
                  <c:v>1.6380047803526383E-12</c:v>
                </c:pt>
                <c:pt idx="155">
                  <c:v>1.6380047803526383E-12</c:v>
                </c:pt>
                <c:pt idx="156">
                  <c:v>1.6380047803526383E-12</c:v>
                </c:pt>
                <c:pt idx="157">
                  <c:v>1.6380047803526383E-12</c:v>
                </c:pt>
                <c:pt idx="158">
                  <c:v>1.6380047803526383E-12</c:v>
                </c:pt>
                <c:pt idx="159">
                  <c:v>1.6380047803526383E-12</c:v>
                </c:pt>
                <c:pt idx="160">
                  <c:v>1.6380047803526383E-12</c:v>
                </c:pt>
                <c:pt idx="161">
                  <c:v>1.6380047803526383E-12</c:v>
                </c:pt>
                <c:pt idx="162">
                  <c:v>1.6380047803526383E-12</c:v>
                </c:pt>
                <c:pt idx="163">
                  <c:v>1.6380047803526383E-12</c:v>
                </c:pt>
                <c:pt idx="164">
                  <c:v>1.6380047803526383E-12</c:v>
                </c:pt>
                <c:pt idx="165">
                  <c:v>1.6380047803526383E-12</c:v>
                </c:pt>
                <c:pt idx="166">
                  <c:v>1.6380047803526383E-12</c:v>
                </c:pt>
                <c:pt idx="167">
                  <c:v>1.6380047803526383E-12</c:v>
                </c:pt>
                <c:pt idx="168">
                  <c:v>1.6380047803526383E-12</c:v>
                </c:pt>
                <c:pt idx="169">
                  <c:v>1.6380047803526383E-12</c:v>
                </c:pt>
                <c:pt idx="170">
                  <c:v>1.6380047803526383E-12</c:v>
                </c:pt>
                <c:pt idx="171">
                  <c:v>1.6380047803526383E-12</c:v>
                </c:pt>
                <c:pt idx="172">
                  <c:v>1.6380047803526383E-12</c:v>
                </c:pt>
                <c:pt idx="173">
                  <c:v>1.6380047803526383E-12</c:v>
                </c:pt>
                <c:pt idx="174">
                  <c:v>1.6380047803526383E-12</c:v>
                </c:pt>
                <c:pt idx="175">
                  <c:v>1.6380047803526383E-12</c:v>
                </c:pt>
                <c:pt idx="176">
                  <c:v>1.6380047803526383E-12</c:v>
                </c:pt>
                <c:pt idx="177">
                  <c:v>1.6380047803526383E-12</c:v>
                </c:pt>
                <c:pt idx="178">
                  <c:v>1.6380047803526383E-12</c:v>
                </c:pt>
                <c:pt idx="179">
                  <c:v>1.6380047803526383E-12</c:v>
                </c:pt>
                <c:pt idx="180">
                  <c:v>1.6380047803526383E-12</c:v>
                </c:pt>
                <c:pt idx="181">
                  <c:v>1.6380047803526383E-12</c:v>
                </c:pt>
                <c:pt idx="182">
                  <c:v>1.6380047803526383E-12</c:v>
                </c:pt>
                <c:pt idx="183">
                  <c:v>1.6380047803526383E-12</c:v>
                </c:pt>
                <c:pt idx="184">
                  <c:v>1.6380047803526383E-12</c:v>
                </c:pt>
                <c:pt idx="185">
                  <c:v>1.6380047803526383E-12</c:v>
                </c:pt>
                <c:pt idx="186">
                  <c:v>1.6380047803526383E-12</c:v>
                </c:pt>
                <c:pt idx="187">
                  <c:v>1.6380047803526383E-12</c:v>
                </c:pt>
                <c:pt idx="188">
                  <c:v>1.6380047803526383E-12</c:v>
                </c:pt>
                <c:pt idx="189">
                  <c:v>1.6380047803526383E-12</c:v>
                </c:pt>
                <c:pt idx="190">
                  <c:v>1.6380047803526383E-12</c:v>
                </c:pt>
                <c:pt idx="191">
                  <c:v>1.6380047803526383E-12</c:v>
                </c:pt>
                <c:pt idx="192">
                  <c:v>1.6380047803526383E-12</c:v>
                </c:pt>
                <c:pt idx="193">
                  <c:v>1.6380047803526383E-12</c:v>
                </c:pt>
                <c:pt idx="194">
                  <c:v>1.6380047803526383E-12</c:v>
                </c:pt>
                <c:pt idx="195">
                  <c:v>1.6380047803526383E-12</c:v>
                </c:pt>
                <c:pt idx="196">
                  <c:v>1.6380047803526383E-12</c:v>
                </c:pt>
                <c:pt idx="197">
                  <c:v>1.6380047803526383E-12</c:v>
                </c:pt>
                <c:pt idx="198">
                  <c:v>1.6380047803526383E-12</c:v>
                </c:pt>
                <c:pt idx="199">
                  <c:v>1.6380047803526383E-12</c:v>
                </c:pt>
                <c:pt idx="200">
                  <c:v>1.6380047803526383E-12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3.4619010333668858</c:v>
                </c:pt>
                <c:pt idx="2">
                  <c:v>4.3886780916003572</c:v>
                </c:pt>
                <c:pt idx="3">
                  <c:v>5.5645204045762791</c:v>
                </c:pt>
                <c:pt idx="4">
                  <c:v>7.0566053004304825</c:v>
                </c:pt>
                <c:pt idx="5">
                  <c:v>8.950290133405149</c:v>
                </c:pt>
                <c:pt idx="6">
                  <c:v>11.35404762827239</c:v>
                </c:pt>
                <c:pt idx="7">
                  <c:v>14.40574485970388</c:v>
                </c:pt>
                <c:pt idx="8">
                  <c:v>18.280632623374711</c:v>
                </c:pt>
                <c:pt idx="9">
                  <c:v>23.201512302554477</c:v>
                </c:pt>
                <c:pt idx="10">
                  <c:v>29.451675195349836</c:v>
                </c:pt>
                <c:pt idx="11">
                  <c:v>37.391372202456608</c:v>
                </c:pt>
                <c:pt idx="12">
                  <c:v>47.478779422267927</c:v>
                </c:pt>
                <c:pt idx="13">
                  <c:v>60.296689852001442</c:v>
                </c:pt>
                <c:pt idx="14">
                  <c:v>76.586498727800205</c:v>
                </c:pt>
                <c:pt idx="15">
                  <c:v>97.291480049853305</c:v>
                </c:pt>
                <c:pt idx="16">
                  <c:v>112.88677748536077</c:v>
                </c:pt>
                <c:pt idx="17">
                  <c:v>135.47851506869969</c:v>
                </c:pt>
                <c:pt idx="18">
                  <c:v>157.97933796889387</c:v>
                </c:pt>
                <c:pt idx="19">
                  <c:v>180.40404312945898</c:v>
                </c:pt>
                <c:pt idx="20">
                  <c:v>202.76343275622807</c:v>
                </c:pt>
                <c:pt idx="21">
                  <c:v>169.20045693392817</c:v>
                </c:pt>
                <c:pt idx="22">
                  <c:v>193.92007935590104</c:v>
                </c:pt>
                <c:pt idx="23">
                  <c:v>218.56638108283926</c:v>
                </c:pt>
                <c:pt idx="24">
                  <c:v>243.14879513913675</c:v>
                </c:pt>
                <c:pt idx="25">
                  <c:v>267.67468815578269</c:v>
                </c:pt>
                <c:pt idx="26">
                  <c:v>231.79265788705001</c:v>
                </c:pt>
                <c:pt idx="27">
                  <c:v>258.42587225263418</c:v>
                </c:pt>
                <c:pt idx="28">
                  <c:v>284.99703604060181</c:v>
                </c:pt>
                <c:pt idx="29">
                  <c:v>311.51274483481546</c:v>
                </c:pt>
                <c:pt idx="30">
                  <c:v>337.97837927547334</c:v>
                </c:pt>
                <c:pt idx="31">
                  <c:v>364.39840852244907</c:v>
                </c:pt>
                <c:pt idx="32">
                  <c:v>308.05711869016005</c:v>
                </c:pt>
                <c:pt idx="33">
                  <c:v>334.52901405785116</c:v>
                </c:pt>
                <c:pt idx="34">
                  <c:v>360.95476483753049</c:v>
                </c:pt>
                <c:pt idx="35">
                  <c:v>387.33822121677036</c:v>
                </c:pt>
                <c:pt idx="36">
                  <c:v>413.68266629823478</c:v>
                </c:pt>
                <c:pt idx="37">
                  <c:v>439.9909311636232</c:v>
                </c:pt>
                <c:pt idx="38">
                  <c:v>383.08026020639187</c:v>
                </c:pt>
                <c:pt idx="39">
                  <c:v>408.61302782189728</c:v>
                </c:pt>
                <c:pt idx="40">
                  <c:v>434.1113464697076</c:v>
                </c:pt>
                <c:pt idx="41">
                  <c:v>459.57752202854454</c:v>
                </c:pt>
                <c:pt idx="42">
                  <c:v>485.01358418930892</c:v>
                </c:pt>
                <c:pt idx="43">
                  <c:v>510.42133257784525</c:v>
                </c:pt>
                <c:pt idx="44">
                  <c:v>535.80237321728066</c:v>
                </c:pt>
                <c:pt idx="45">
                  <c:v>461.4128382031713</c:v>
                </c:pt>
                <c:pt idx="46">
                  <c:v>485.09506360342613</c:v>
                </c:pt>
                <c:pt idx="47">
                  <c:v>508.75274956727066</c:v>
                </c:pt>
                <c:pt idx="48">
                  <c:v>532.38719656520925</c:v>
                </c:pt>
                <c:pt idx="49">
                  <c:v>555.99958029695654</c:v>
                </c:pt>
                <c:pt idx="50">
                  <c:v>579.59096855907467</c:v>
                </c:pt>
                <c:pt idx="51">
                  <c:v>603.1623352250225</c:v>
                </c:pt>
                <c:pt idx="52">
                  <c:v>626.71457192765104</c:v>
                </c:pt>
                <c:pt idx="53">
                  <c:v>538.93254970348323</c:v>
                </c:pt>
                <c:pt idx="54">
                  <c:v>560.264608969694</c:v>
                </c:pt>
                <c:pt idx="55">
                  <c:v>581.5796752609856</c:v>
                </c:pt>
                <c:pt idx="56">
                  <c:v>602.87845842215052</c:v>
                </c:pt>
                <c:pt idx="57">
                  <c:v>624.16161410157952</c:v>
                </c:pt>
                <c:pt idx="58">
                  <c:v>645.4297496332523</c:v>
                </c:pt>
                <c:pt idx="59">
                  <c:v>666.68342910373576</c:v>
                </c:pt>
                <c:pt idx="60">
                  <c:v>687.92317774000196</c:v>
                </c:pt>
                <c:pt idx="61">
                  <c:v>600.98587535009801</c:v>
                </c:pt>
                <c:pt idx="62">
                  <c:v>620.66276493365456</c:v>
                </c:pt>
                <c:pt idx="63">
                  <c:v>640.32673608720302</c:v>
                </c:pt>
                <c:pt idx="64">
                  <c:v>659.9782410038955</c:v>
                </c:pt>
                <c:pt idx="65">
                  <c:v>679.61770277833318</c:v>
                </c:pt>
                <c:pt idx="66">
                  <c:v>699.24551808280967</c:v>
                </c:pt>
                <c:pt idx="67">
                  <c:v>718.8620595277107</c:v>
                </c:pt>
                <c:pt idx="68">
                  <c:v>738.46767775112096</c:v>
                </c:pt>
                <c:pt idx="69">
                  <c:v>758.06270327519951</c:v>
                </c:pt>
                <c:pt idx="70">
                  <c:v>1.8017017738191463E-12</c:v>
                </c:pt>
                <c:pt idx="71">
                  <c:v>1.8017017738191463E-12</c:v>
                </c:pt>
                <c:pt idx="72">
                  <c:v>1.8017017738191463E-12</c:v>
                </c:pt>
                <c:pt idx="73">
                  <c:v>1.8017017738191463E-12</c:v>
                </c:pt>
                <c:pt idx="74">
                  <c:v>1.8017017738191463E-12</c:v>
                </c:pt>
                <c:pt idx="75">
                  <c:v>1.8017017738191463E-12</c:v>
                </c:pt>
                <c:pt idx="76">
                  <c:v>1.8017017738191463E-12</c:v>
                </c:pt>
                <c:pt idx="77">
                  <c:v>1.8017017738191463E-12</c:v>
                </c:pt>
                <c:pt idx="78">
                  <c:v>1.8017017738191463E-12</c:v>
                </c:pt>
                <c:pt idx="79">
                  <c:v>1.8017017738191463E-12</c:v>
                </c:pt>
                <c:pt idx="80">
                  <c:v>1.8017017738191463E-12</c:v>
                </c:pt>
                <c:pt idx="81">
                  <c:v>1.8017017738191463E-12</c:v>
                </c:pt>
                <c:pt idx="82">
                  <c:v>1.8017017738191463E-12</c:v>
                </c:pt>
                <c:pt idx="83">
                  <c:v>1.8017017738191463E-12</c:v>
                </c:pt>
                <c:pt idx="84">
                  <c:v>1.8017017738191463E-12</c:v>
                </c:pt>
                <c:pt idx="85">
                  <c:v>1.8017017738191463E-12</c:v>
                </c:pt>
                <c:pt idx="86">
                  <c:v>1.8017017738191463E-12</c:v>
                </c:pt>
                <c:pt idx="87">
                  <c:v>1.8017017738191463E-12</c:v>
                </c:pt>
                <c:pt idx="88">
                  <c:v>1.8017017738191463E-12</c:v>
                </c:pt>
                <c:pt idx="89">
                  <c:v>1.8017017738191463E-12</c:v>
                </c:pt>
                <c:pt idx="90">
                  <c:v>1.8017017738191463E-12</c:v>
                </c:pt>
                <c:pt idx="91">
                  <c:v>1.8017017738191463E-12</c:v>
                </c:pt>
                <c:pt idx="92">
                  <c:v>1.8017017738191463E-12</c:v>
                </c:pt>
                <c:pt idx="93">
                  <c:v>1.8017017738191463E-12</c:v>
                </c:pt>
                <c:pt idx="94">
                  <c:v>1.8017017738191463E-12</c:v>
                </c:pt>
                <c:pt idx="95">
                  <c:v>1.8017017738191463E-12</c:v>
                </c:pt>
                <c:pt idx="96">
                  <c:v>1.8017017738191463E-12</c:v>
                </c:pt>
                <c:pt idx="97">
                  <c:v>1.8017017738191463E-12</c:v>
                </c:pt>
                <c:pt idx="98">
                  <c:v>1.8017017738191463E-12</c:v>
                </c:pt>
                <c:pt idx="99">
                  <c:v>1.8017017738191463E-12</c:v>
                </c:pt>
                <c:pt idx="100">
                  <c:v>1.8017017738191463E-12</c:v>
                </c:pt>
                <c:pt idx="101">
                  <c:v>1.8017017738191463E-12</c:v>
                </c:pt>
                <c:pt idx="102">
                  <c:v>1.8017017738191463E-12</c:v>
                </c:pt>
                <c:pt idx="103">
                  <c:v>1.8017017738191463E-12</c:v>
                </c:pt>
                <c:pt idx="104">
                  <c:v>1.8017017738191463E-12</c:v>
                </c:pt>
                <c:pt idx="105">
                  <c:v>1.8017017738191463E-12</c:v>
                </c:pt>
                <c:pt idx="106">
                  <c:v>1.8017017738191463E-12</c:v>
                </c:pt>
                <c:pt idx="107">
                  <c:v>1.8017017738191463E-12</c:v>
                </c:pt>
                <c:pt idx="108">
                  <c:v>1.8017017738191463E-12</c:v>
                </c:pt>
                <c:pt idx="109">
                  <c:v>1.8017017738191463E-12</c:v>
                </c:pt>
                <c:pt idx="110">
                  <c:v>1.8017017738191463E-12</c:v>
                </c:pt>
                <c:pt idx="111">
                  <c:v>1.8017017738191463E-12</c:v>
                </c:pt>
                <c:pt idx="112">
                  <c:v>1.8017017738191463E-12</c:v>
                </c:pt>
                <c:pt idx="113">
                  <c:v>1.8017017738191463E-12</c:v>
                </c:pt>
                <c:pt idx="114">
                  <c:v>1.8017017738191463E-12</c:v>
                </c:pt>
                <c:pt idx="115">
                  <c:v>1.8017017738191463E-12</c:v>
                </c:pt>
                <c:pt idx="116">
                  <c:v>1.8017017738191463E-12</c:v>
                </c:pt>
                <c:pt idx="117">
                  <c:v>1.8017017738191463E-12</c:v>
                </c:pt>
                <c:pt idx="118">
                  <c:v>1.8017017738191463E-12</c:v>
                </c:pt>
                <c:pt idx="119">
                  <c:v>1.8017017738191463E-12</c:v>
                </c:pt>
                <c:pt idx="120">
                  <c:v>1.8017017738191463E-12</c:v>
                </c:pt>
                <c:pt idx="121">
                  <c:v>1.8017017738191463E-12</c:v>
                </c:pt>
                <c:pt idx="122">
                  <c:v>1.8017017738191463E-12</c:v>
                </c:pt>
                <c:pt idx="123">
                  <c:v>1.8017017738191463E-12</c:v>
                </c:pt>
                <c:pt idx="124">
                  <c:v>1.8017017738191463E-12</c:v>
                </c:pt>
                <c:pt idx="125">
                  <c:v>1.8017017738191463E-12</c:v>
                </c:pt>
                <c:pt idx="126">
                  <c:v>1.8017017738191463E-12</c:v>
                </c:pt>
                <c:pt idx="127">
                  <c:v>1.8017017738191463E-12</c:v>
                </c:pt>
                <c:pt idx="128">
                  <c:v>1.8017017738191463E-12</c:v>
                </c:pt>
                <c:pt idx="129">
                  <c:v>1.8017017738191463E-12</c:v>
                </c:pt>
                <c:pt idx="130">
                  <c:v>1.8017017738191463E-12</c:v>
                </c:pt>
                <c:pt idx="131">
                  <c:v>1.8017017738191463E-12</c:v>
                </c:pt>
                <c:pt idx="132">
                  <c:v>1.8017017738191463E-12</c:v>
                </c:pt>
                <c:pt idx="133">
                  <c:v>1.8017017738191463E-12</c:v>
                </c:pt>
                <c:pt idx="134">
                  <c:v>1.8017017738191463E-12</c:v>
                </c:pt>
                <c:pt idx="135">
                  <c:v>1.8017017738191463E-12</c:v>
                </c:pt>
                <c:pt idx="136">
                  <c:v>1.8017017738191463E-12</c:v>
                </c:pt>
                <c:pt idx="137">
                  <c:v>1.8017017738191463E-12</c:v>
                </c:pt>
                <c:pt idx="138">
                  <c:v>1.8017017738191463E-12</c:v>
                </c:pt>
                <c:pt idx="139">
                  <c:v>1.8017017738191463E-12</c:v>
                </c:pt>
                <c:pt idx="140">
                  <c:v>1.8017017738191463E-12</c:v>
                </c:pt>
                <c:pt idx="141">
                  <c:v>1.8017017738191463E-12</c:v>
                </c:pt>
                <c:pt idx="142">
                  <c:v>1.8017017738191463E-12</c:v>
                </c:pt>
                <c:pt idx="143">
                  <c:v>1.8017017738191463E-12</c:v>
                </c:pt>
                <c:pt idx="144">
                  <c:v>1.8017017738191463E-12</c:v>
                </c:pt>
                <c:pt idx="145">
                  <c:v>1.8017017738191463E-12</c:v>
                </c:pt>
                <c:pt idx="146">
                  <c:v>1.8017017738191463E-12</c:v>
                </c:pt>
                <c:pt idx="147">
                  <c:v>1.8017017738191463E-12</c:v>
                </c:pt>
                <c:pt idx="148">
                  <c:v>1.8017017738191463E-12</c:v>
                </c:pt>
                <c:pt idx="149">
                  <c:v>1.8017017738191463E-12</c:v>
                </c:pt>
                <c:pt idx="150">
                  <c:v>1.8017017738191463E-12</c:v>
                </c:pt>
                <c:pt idx="151">
                  <c:v>1.8017017738191463E-12</c:v>
                </c:pt>
                <c:pt idx="152">
                  <c:v>1.8017017738191463E-12</c:v>
                </c:pt>
                <c:pt idx="153">
                  <c:v>1.8017017738191463E-12</c:v>
                </c:pt>
                <c:pt idx="154">
                  <c:v>1.8017017738191463E-12</c:v>
                </c:pt>
                <c:pt idx="155">
                  <c:v>1.8017017738191463E-12</c:v>
                </c:pt>
                <c:pt idx="156">
                  <c:v>1.8017017738191463E-12</c:v>
                </c:pt>
                <c:pt idx="157">
                  <c:v>1.8017017738191463E-12</c:v>
                </c:pt>
                <c:pt idx="158">
                  <c:v>1.8017017738191463E-12</c:v>
                </c:pt>
                <c:pt idx="159">
                  <c:v>1.8017017738191463E-12</c:v>
                </c:pt>
                <c:pt idx="160">
                  <c:v>1.8017017738191463E-12</c:v>
                </c:pt>
                <c:pt idx="161">
                  <c:v>1.8017017738191463E-12</c:v>
                </c:pt>
                <c:pt idx="162">
                  <c:v>1.8017017738191463E-12</c:v>
                </c:pt>
                <c:pt idx="163">
                  <c:v>1.8017017738191463E-12</c:v>
                </c:pt>
                <c:pt idx="164">
                  <c:v>1.8017017738191463E-12</c:v>
                </c:pt>
                <c:pt idx="165">
                  <c:v>1.8017017738191463E-12</c:v>
                </c:pt>
                <c:pt idx="166">
                  <c:v>1.8017017738191463E-12</c:v>
                </c:pt>
                <c:pt idx="167">
                  <c:v>1.8017017738191463E-12</c:v>
                </c:pt>
                <c:pt idx="168">
                  <c:v>1.8017017738191463E-12</c:v>
                </c:pt>
                <c:pt idx="169">
                  <c:v>1.8017017738191463E-12</c:v>
                </c:pt>
                <c:pt idx="170">
                  <c:v>1.8017017738191463E-12</c:v>
                </c:pt>
                <c:pt idx="171">
                  <c:v>1.8017017738191463E-12</c:v>
                </c:pt>
                <c:pt idx="172">
                  <c:v>1.8017017738191463E-12</c:v>
                </c:pt>
                <c:pt idx="173">
                  <c:v>1.8017017738191463E-12</c:v>
                </c:pt>
                <c:pt idx="174">
                  <c:v>1.8017017738191463E-12</c:v>
                </c:pt>
                <c:pt idx="175">
                  <c:v>1.8017017738191463E-12</c:v>
                </c:pt>
                <c:pt idx="176">
                  <c:v>1.8017017738191463E-12</c:v>
                </c:pt>
                <c:pt idx="177">
                  <c:v>1.8017017738191463E-12</c:v>
                </c:pt>
                <c:pt idx="178">
                  <c:v>1.8017017738191463E-12</c:v>
                </c:pt>
                <c:pt idx="179">
                  <c:v>1.8017017738191463E-12</c:v>
                </c:pt>
                <c:pt idx="180">
                  <c:v>1.8017017738191463E-12</c:v>
                </c:pt>
                <c:pt idx="181">
                  <c:v>1.8017017738191463E-12</c:v>
                </c:pt>
                <c:pt idx="182">
                  <c:v>1.8017017738191463E-12</c:v>
                </c:pt>
                <c:pt idx="183">
                  <c:v>1.8017017738191463E-12</c:v>
                </c:pt>
                <c:pt idx="184">
                  <c:v>1.8017017738191463E-12</c:v>
                </c:pt>
                <c:pt idx="185">
                  <c:v>1.8017017738191463E-12</c:v>
                </c:pt>
                <c:pt idx="186">
                  <c:v>1.8017017738191463E-12</c:v>
                </c:pt>
                <c:pt idx="187">
                  <c:v>1.8017017738191463E-12</c:v>
                </c:pt>
                <c:pt idx="188">
                  <c:v>1.8017017738191463E-12</c:v>
                </c:pt>
                <c:pt idx="189">
                  <c:v>1.8017017738191463E-12</c:v>
                </c:pt>
                <c:pt idx="190">
                  <c:v>1.8017017738191463E-12</c:v>
                </c:pt>
                <c:pt idx="191">
                  <c:v>1.8017017738191463E-12</c:v>
                </c:pt>
                <c:pt idx="192">
                  <c:v>1.8017017738191463E-12</c:v>
                </c:pt>
                <c:pt idx="193">
                  <c:v>1.8017017738191463E-12</c:v>
                </c:pt>
                <c:pt idx="194">
                  <c:v>1.8017017738191463E-12</c:v>
                </c:pt>
                <c:pt idx="195">
                  <c:v>1.8017017738191463E-12</c:v>
                </c:pt>
                <c:pt idx="196">
                  <c:v>1.8017017738191463E-12</c:v>
                </c:pt>
                <c:pt idx="197">
                  <c:v>1.8017017738191463E-12</c:v>
                </c:pt>
                <c:pt idx="198">
                  <c:v>1.8017017738191463E-12</c:v>
                </c:pt>
                <c:pt idx="199">
                  <c:v>1.8017017738191463E-12</c:v>
                </c:pt>
                <c:pt idx="200">
                  <c:v>1.8017017738191463E-12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4.25" x14ac:dyDescent="0.45"/>
  <cols>
    <col min="1" max="1" width="6.73046875" customWidth="1"/>
    <col min="2" max="13" width="15.86328125" customWidth="1"/>
  </cols>
  <sheetData>
    <row r="12" spans="2:13" ht="15" customHeight="1" x14ac:dyDescent="0.45">
      <c r="B12" s="295" t="s">
        <v>291</v>
      </c>
      <c r="C12" s="295"/>
      <c r="D12" s="295"/>
      <c r="E12" s="295"/>
      <c r="F12" s="295"/>
      <c r="G12" s="295"/>
      <c r="H12" s="295"/>
      <c r="I12" s="295"/>
      <c r="J12" s="295"/>
      <c r="K12" s="295"/>
      <c r="L12" s="295"/>
      <c r="M12" s="295"/>
    </row>
    <row r="13" spans="2:13" ht="15" customHeight="1" x14ac:dyDescent="0.45">
      <c r="B13" s="295"/>
      <c r="C13" s="295"/>
      <c r="D13" s="295"/>
      <c r="E13" s="295"/>
      <c r="F13" s="295"/>
      <c r="G13" s="295"/>
      <c r="H13" s="295"/>
      <c r="I13" s="295"/>
      <c r="J13" s="295"/>
      <c r="K13" s="295"/>
      <c r="L13" s="295"/>
      <c r="M13" s="295"/>
    </row>
    <row r="14" spans="2:13" ht="15" customHeight="1" x14ac:dyDescent="0.45"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</row>
    <row r="15" spans="2:13" ht="18.75" customHeight="1" x14ac:dyDescent="0.45">
      <c r="B15" s="295"/>
      <c r="C15" s="295"/>
      <c r="D15" s="295"/>
      <c r="E15" s="295"/>
      <c r="F15" s="295"/>
      <c r="G15" s="295"/>
      <c r="H15" s="295"/>
      <c r="I15" s="295"/>
      <c r="J15" s="295"/>
      <c r="K15" s="295"/>
      <c r="L15" s="295"/>
      <c r="M15" s="295"/>
    </row>
    <row r="16" spans="2:13" ht="18.75" customHeight="1" x14ac:dyDescent="0.45">
      <c r="B16" s="295"/>
      <c r="C16" s="295"/>
      <c r="D16" s="295"/>
      <c r="E16" s="295"/>
      <c r="F16" s="295"/>
      <c r="G16" s="295"/>
      <c r="H16" s="295"/>
      <c r="I16" s="295"/>
      <c r="J16" s="295"/>
      <c r="K16" s="295"/>
      <c r="L16" s="295"/>
      <c r="M16" s="295"/>
    </row>
    <row r="18" spans="2:13" ht="12" customHeight="1" x14ac:dyDescent="0.45">
      <c r="B18" s="295" t="s">
        <v>292</v>
      </c>
      <c r="C18" s="295"/>
      <c r="D18" s="295"/>
      <c r="E18" s="295"/>
      <c r="F18" s="295"/>
      <c r="G18" s="295"/>
      <c r="H18" s="295"/>
      <c r="I18" s="295"/>
      <c r="J18" s="295"/>
      <c r="K18" s="295"/>
      <c r="L18" s="295"/>
      <c r="M18" s="295"/>
    </row>
    <row r="19" spans="2:13" ht="12" customHeight="1" x14ac:dyDescent="0.45">
      <c r="B19" s="295"/>
      <c r="C19" s="295"/>
      <c r="D19" s="295"/>
      <c r="E19" s="295"/>
      <c r="F19" s="295"/>
      <c r="G19" s="295"/>
      <c r="H19" s="295"/>
      <c r="I19" s="295"/>
      <c r="J19" s="295"/>
      <c r="K19" s="295"/>
      <c r="L19" s="295"/>
      <c r="M19" s="295"/>
    </row>
    <row r="20" spans="2:13" ht="12" customHeight="1" x14ac:dyDescent="0.45">
      <c r="B20" s="295"/>
      <c r="C20" s="295"/>
      <c r="D20" s="295"/>
      <c r="E20" s="295"/>
      <c r="F20" s="295"/>
      <c r="G20" s="295"/>
      <c r="H20" s="295"/>
      <c r="I20" s="295"/>
      <c r="J20" s="295"/>
      <c r="K20" s="295"/>
      <c r="L20" s="295"/>
      <c r="M20" s="295"/>
    </row>
    <row r="21" spans="2:13" ht="12" customHeight="1" x14ac:dyDescent="0.45">
      <c r="B21" s="295"/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</row>
    <row r="22" spans="2:13" ht="12" customHeight="1" x14ac:dyDescent="0.45">
      <c r="B22" s="295"/>
      <c r="C22" s="295"/>
      <c r="D22" s="295"/>
      <c r="E22" s="295"/>
      <c r="F22" s="295"/>
      <c r="G22" s="295"/>
      <c r="H22" s="295"/>
      <c r="I22" s="295"/>
      <c r="J22" s="295"/>
      <c r="K22" s="295"/>
      <c r="L22" s="295"/>
      <c r="M22" s="295"/>
    </row>
    <row r="23" spans="2:13" ht="12" customHeight="1" x14ac:dyDescent="0.45">
      <c r="B23" s="295"/>
      <c r="C23" s="295"/>
      <c r="D23" s="295"/>
      <c r="E23" s="295"/>
      <c r="F23" s="295"/>
      <c r="G23" s="295"/>
      <c r="H23" s="295"/>
      <c r="I23" s="295"/>
      <c r="J23" s="295"/>
      <c r="K23" s="295"/>
      <c r="L23" s="295"/>
      <c r="M23" s="295"/>
    </row>
    <row r="24" spans="2:13" ht="12" customHeight="1" x14ac:dyDescent="0.45">
      <c r="B24" s="295"/>
      <c r="C24" s="295"/>
      <c r="D24" s="295"/>
      <c r="E24" s="295"/>
      <c r="F24" s="295"/>
      <c r="G24" s="295"/>
      <c r="H24" s="295"/>
      <c r="I24" s="295"/>
      <c r="J24" s="295"/>
      <c r="K24" s="295"/>
      <c r="L24" s="295"/>
      <c r="M24" s="295"/>
    </row>
    <row r="25" spans="2:13" ht="12" customHeight="1" x14ac:dyDescent="0.45">
      <c r="B25" s="295"/>
      <c r="C25" s="295"/>
      <c r="D25" s="295"/>
      <c r="E25" s="295"/>
      <c r="F25" s="295"/>
      <c r="G25" s="295"/>
      <c r="H25" s="295"/>
      <c r="I25" s="295"/>
      <c r="J25" s="295"/>
      <c r="K25" s="295"/>
      <c r="L25" s="295"/>
      <c r="M25" s="295"/>
    </row>
    <row r="26" spans="2:13" ht="12" customHeight="1" x14ac:dyDescent="0.45">
      <c r="B26" s="295"/>
      <c r="C26" s="295"/>
      <c r="D26" s="295"/>
      <c r="E26" s="295"/>
      <c r="F26" s="295"/>
      <c r="G26" s="295"/>
      <c r="H26" s="295"/>
      <c r="I26" s="295"/>
      <c r="J26" s="295"/>
      <c r="K26" s="295"/>
      <c r="L26" s="295"/>
      <c r="M26" s="295"/>
    </row>
    <row r="27" spans="2:13" ht="12" customHeight="1" x14ac:dyDescent="0.45">
      <c r="B27" s="295"/>
      <c r="C27" s="295"/>
      <c r="D27" s="295"/>
      <c r="E27" s="295"/>
      <c r="F27" s="295"/>
      <c r="G27" s="295"/>
      <c r="H27" s="295"/>
      <c r="I27" s="295"/>
      <c r="J27" s="295"/>
      <c r="K27" s="295"/>
      <c r="L27" s="295"/>
      <c r="M27" s="295"/>
    </row>
    <row r="28" spans="2:13" ht="12" customHeight="1" x14ac:dyDescent="0.45">
      <c r="B28" s="295"/>
      <c r="C28" s="295"/>
      <c r="D28" s="295"/>
      <c r="E28" s="295"/>
      <c r="F28" s="295"/>
      <c r="G28" s="295"/>
      <c r="H28" s="295"/>
      <c r="I28" s="295"/>
      <c r="J28" s="295"/>
      <c r="K28" s="295"/>
      <c r="L28" s="295"/>
      <c r="M28" s="295"/>
    </row>
    <row r="29" spans="2:13" ht="12" customHeight="1" x14ac:dyDescent="0.45">
      <c r="B29" s="295"/>
      <c r="C29" s="295"/>
      <c r="D29" s="295"/>
      <c r="E29" s="295"/>
      <c r="F29" s="295"/>
      <c r="G29" s="295"/>
      <c r="H29" s="295"/>
      <c r="I29" s="295"/>
      <c r="J29" s="295"/>
      <c r="K29" s="295"/>
      <c r="L29" s="295"/>
      <c r="M29" s="295"/>
    </row>
    <row r="30" spans="2:13" ht="12" customHeight="1" x14ac:dyDescent="0.45">
      <c r="B30" s="295"/>
      <c r="C30" s="295"/>
      <c r="D30" s="295"/>
      <c r="E30" s="295"/>
      <c r="F30" s="295"/>
      <c r="G30" s="295"/>
      <c r="H30" s="295"/>
      <c r="I30" s="295"/>
      <c r="J30" s="295"/>
      <c r="K30" s="295"/>
      <c r="L30" s="295"/>
      <c r="M30" s="295"/>
    </row>
    <row r="31" spans="2:13" ht="12" customHeight="1" x14ac:dyDescent="0.45">
      <c r="B31" s="295"/>
      <c r="C31" s="295"/>
      <c r="D31" s="295"/>
      <c r="E31" s="295"/>
      <c r="F31" s="295"/>
      <c r="G31" s="295"/>
      <c r="H31" s="295"/>
      <c r="I31" s="295"/>
      <c r="J31" s="295"/>
      <c r="K31" s="295"/>
      <c r="L31" s="295"/>
      <c r="M31" s="295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53" zoomScale="50" zoomScaleNormal="50" workbookViewId="0">
      <selection activeCell="L87" sqref="L87"/>
    </sheetView>
  </sheetViews>
  <sheetFormatPr baseColWidth="10" defaultColWidth="11.3984375" defaultRowHeight="14.25" x14ac:dyDescent="0.45"/>
  <cols>
    <col min="1" max="1" width="13.73046875" style="25" customWidth="1"/>
    <col min="2" max="2" width="36.1328125" style="25" customWidth="1"/>
    <col min="3" max="3" width="14.86328125" style="25" bestFit="1" customWidth="1"/>
    <col min="4" max="4" width="16.3984375" style="25" customWidth="1"/>
    <col min="5" max="5" width="23.265625" style="25" customWidth="1"/>
    <col min="6" max="6" width="28.86328125" style="25" bestFit="1" customWidth="1"/>
    <col min="7" max="8" width="14.73046875" style="25" customWidth="1"/>
    <col min="9" max="9" width="17" style="25" customWidth="1"/>
    <col min="10" max="10" width="13.86328125" style="25" customWidth="1"/>
    <col min="11" max="16384" width="11.3984375" style="25"/>
  </cols>
  <sheetData>
    <row r="1" spans="1:38" x14ac:dyDescent="0.45">
      <c r="A1" s="5"/>
      <c r="B1" s="5"/>
      <c r="C1" s="300" t="s">
        <v>190</v>
      </c>
      <c r="D1" s="300"/>
      <c r="E1" s="300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4.65" thickBot="1" x14ac:dyDescent="0.5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5.9" thickBot="1" x14ac:dyDescent="0.5">
      <c r="A3" s="5"/>
      <c r="B3" s="301" t="s">
        <v>192</v>
      </c>
      <c r="C3" s="302"/>
      <c r="D3" s="302"/>
      <c r="E3" s="302"/>
      <c r="F3" s="303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5.5" x14ac:dyDescent="0.4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5.5" x14ac:dyDescent="0.45">
      <c r="A5" s="307" t="s">
        <v>231</v>
      </c>
      <c r="B5" s="307"/>
      <c r="C5" s="26">
        <v>9.1</v>
      </c>
      <c r="D5" s="308" t="s">
        <v>229</v>
      </c>
      <c r="E5" s="309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4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5.5" x14ac:dyDescent="0.45">
      <c r="A7" s="305" t="s">
        <v>226</v>
      </c>
      <c r="B7" s="305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4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45">
      <c r="A9" s="33" t="s">
        <v>165</v>
      </c>
      <c r="B9" s="34" t="s">
        <v>14</v>
      </c>
      <c r="C9" s="35">
        <v>0.79900000000000004</v>
      </c>
      <c r="D9" s="36">
        <f t="shared" ref="D9:D18" si="0">C9*$C$5</f>
        <v>7.2709000000000001</v>
      </c>
      <c r="E9" s="37">
        <v>180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45">
      <c r="A10" s="33" t="s">
        <v>166</v>
      </c>
      <c r="B10" s="34" t="s">
        <v>156</v>
      </c>
      <c r="C10" s="35">
        <v>6.0999999999999999E-2</v>
      </c>
      <c r="D10" s="36">
        <f t="shared" si="0"/>
        <v>0.55509999999999993</v>
      </c>
      <c r="E10" s="37">
        <v>65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45">
      <c r="A11" s="33" t="s">
        <v>167</v>
      </c>
      <c r="B11" s="34" t="s">
        <v>18</v>
      </c>
      <c r="C11" s="35">
        <v>4.2700000000000002E-2</v>
      </c>
      <c r="D11" s="36">
        <f t="shared" si="0"/>
        <v>0.38857000000000003</v>
      </c>
      <c r="E11" s="37">
        <v>65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45">
      <c r="A12" s="33" t="s">
        <v>168</v>
      </c>
      <c r="B12" s="34" t="s">
        <v>164</v>
      </c>
      <c r="C12" s="35">
        <v>1.0999999999999999E-2</v>
      </c>
      <c r="D12" s="36">
        <f t="shared" si="0"/>
        <v>0.10009999999999999</v>
      </c>
      <c r="E12" s="37">
        <v>100</v>
      </c>
      <c r="F12" s="38" t="str">
        <f t="array" ref="F12">IF(E12="","",IF(INDEX(A:A,MAX(IF(ISNUMBER($A$114:$A$133),ROW($A$114:$A$133),"")))&lt;&gt;E12,"Corrigez : révolution incorrecte","OK"))</f>
        <v>OK</v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45">
      <c r="A13" s="33" t="s">
        <v>169</v>
      </c>
      <c r="B13" s="34" t="s">
        <v>44</v>
      </c>
      <c r="C13" s="35">
        <v>2.4400000000000002E-2</v>
      </c>
      <c r="D13" s="36">
        <f t="shared" si="0"/>
        <v>0.22204000000000002</v>
      </c>
      <c r="E13" s="37">
        <v>45</v>
      </c>
      <c r="F13" s="38" t="str">
        <f t="array" ref="F13">IF(E13="","",IF(INDEX(A:A,MAX(IF(ISNUMBER($A$140:$A$159),ROW($A$140:$A$159),"")))&lt;&gt;E13,"Corrigez : révolution incorrecte","OK"))</f>
        <v>OK</v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45">
      <c r="A14" s="33" t="s">
        <v>170</v>
      </c>
      <c r="B14" s="34" t="s">
        <v>6</v>
      </c>
      <c r="C14" s="35">
        <v>1.83E-2</v>
      </c>
      <c r="D14" s="36">
        <f t="shared" si="0"/>
        <v>0.16652999999999998</v>
      </c>
      <c r="E14" s="37">
        <v>69</v>
      </c>
      <c r="F14" s="38" t="str">
        <f t="array" ref="F14">IF(E14="","",IF(INDEX(A:A,MAX(IF(ISNUMBER($A$166:$A$185),ROW($A$166:$A$185),"")))&lt;&gt;E14,"Corrigez : révolution incorrecte","OK"))</f>
        <v>OK</v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45">
      <c r="A15" s="33" t="s">
        <v>171</v>
      </c>
      <c r="B15" s="34" t="s">
        <v>8</v>
      </c>
      <c r="C15" s="35">
        <v>1.0999999999999999E-2</v>
      </c>
      <c r="D15" s="36">
        <f t="shared" si="0"/>
        <v>0.10009999999999999</v>
      </c>
      <c r="E15" s="37">
        <v>69</v>
      </c>
      <c r="F15" s="38" t="str">
        <f t="array" ref="F15">IF(E15="","",IF(INDEX(A:A,MAX(IF(ISNUMBER($A$192:$A$211),ROW($A$192:$A$211),"")))&lt;&gt;E15,"Corrigez : révolution incorrecte","OK"))</f>
        <v>OK</v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45">
      <c r="A16" s="33" t="s">
        <v>172</v>
      </c>
      <c r="B16" s="34" t="s">
        <v>1</v>
      </c>
      <c r="C16" s="35">
        <v>9.1000000000000004E-3</v>
      </c>
      <c r="D16" s="36">
        <f t="shared" si="0"/>
        <v>8.2809999999999995E-2</v>
      </c>
      <c r="E16" s="37">
        <v>69</v>
      </c>
      <c r="F16" s="38" t="str">
        <f t="array" ref="F16">IF(E16="","",IF(INDEX(A:A,MAX(IF(ISNUMBER($A$218:$A$237),ROW($A$218:$A$237),"")))&lt;&gt;E16,"Corrigez : révolution incorrecte","OK"))</f>
        <v>OK</v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45">
      <c r="A17" s="33" t="s">
        <v>173</v>
      </c>
      <c r="B17" s="34" t="s">
        <v>52</v>
      </c>
      <c r="C17" s="35">
        <v>1.2200000000000001E-2</v>
      </c>
      <c r="D17" s="36">
        <f t="shared" si="0"/>
        <v>0.11102000000000001</v>
      </c>
      <c r="E17" s="37">
        <v>69</v>
      </c>
      <c r="F17" s="38" t="str">
        <f t="array" ref="F17">IF(E17="","",IF(INDEX(A:A,MAX(IF(ISNUMBER($A$244:$A$263),ROW($A$244:$A$263),"")))&lt;&gt;E17,"Corrigez : révolution incorrecte","OK"))</f>
        <v>OK</v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45">
      <c r="A18" s="33" t="s">
        <v>174</v>
      </c>
      <c r="B18" s="34" t="s">
        <v>50</v>
      </c>
      <c r="C18" s="35">
        <v>1.0999999999999999E-2</v>
      </c>
      <c r="D18" s="36">
        <f t="shared" si="0"/>
        <v>0.10009999999999999</v>
      </c>
      <c r="E18" s="37">
        <v>69</v>
      </c>
      <c r="F18" s="38" t="str">
        <f t="array" ref="F18">IF(E18="","",IF(INDEX(A:A,MAX(IF(ISNUMBER($A$270:$A$289),ROW($A$270:$A$289),"")))&lt;&gt;E18,"Corrigez : révolution incorrecte","OK"))</f>
        <v>OK</v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45">
      <c r="A19" s="100"/>
      <c r="B19" s="39" t="s">
        <v>175</v>
      </c>
      <c r="C19" s="40">
        <f>SUM(C9:C18)</f>
        <v>0.99970000000000003</v>
      </c>
      <c r="D19" s="41">
        <f>SUM(D9:D18)</f>
        <v>9.0972699999999982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4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4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65">
      <c r="A22" s="304" t="s">
        <v>232</v>
      </c>
      <c r="B22" s="304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4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4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4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4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4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4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4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45">
      <c r="A30" s="306" t="s">
        <v>227</v>
      </c>
      <c r="B30" s="306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4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45">
      <c r="A32" s="49" t="s">
        <v>165</v>
      </c>
      <c r="B32" s="50" t="str">
        <f>IF(B9="","",B9)</f>
        <v>Chêne sessile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4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45">
      <c r="A34" s="5"/>
      <c r="B34" s="91" t="s">
        <v>185</v>
      </c>
      <c r="C34" s="296" t="s">
        <v>186</v>
      </c>
      <c r="D34" s="296"/>
      <c r="E34" s="297" t="s">
        <v>187</v>
      </c>
      <c r="F34" s="298"/>
      <c r="G34" s="298"/>
      <c r="H34" s="299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28.5" x14ac:dyDescent="0.4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45">
      <c r="A36" s="53">
        <v>52</v>
      </c>
      <c r="B36" s="63">
        <v>127</v>
      </c>
      <c r="C36" s="63">
        <v>1</v>
      </c>
      <c r="D36" s="63">
        <v>29</v>
      </c>
      <c r="E36" s="54"/>
      <c r="F36" s="54"/>
      <c r="G36" s="54"/>
      <c r="H36" s="54">
        <v>1</v>
      </c>
      <c r="I36" s="52">
        <f>IFERROR(B36/A36,"")</f>
        <v>2.4423076923076925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45">
      <c r="A37" s="53">
        <v>60</v>
      </c>
      <c r="B37" s="63">
        <v>147</v>
      </c>
      <c r="C37" s="63">
        <v>2</v>
      </c>
      <c r="D37" s="63">
        <v>30</v>
      </c>
      <c r="E37" s="54"/>
      <c r="F37" s="54"/>
      <c r="G37" s="54"/>
      <c r="H37" s="54">
        <v>1</v>
      </c>
      <c r="I37" s="56">
        <f t="shared" ref="I37:I55" si="1">IF(A37&lt;&gt;0,(B37-(B36-D36))/(A37-A36),"")</f>
        <v>6.125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45">
      <c r="A38" s="53">
        <v>68</v>
      </c>
      <c r="B38" s="63">
        <v>166</v>
      </c>
      <c r="C38" s="63">
        <v>3</v>
      </c>
      <c r="D38" s="63">
        <v>31</v>
      </c>
      <c r="E38" s="54">
        <v>0.5</v>
      </c>
      <c r="F38" s="54">
        <v>0.4</v>
      </c>
      <c r="G38" s="54"/>
      <c r="H38" s="54">
        <v>0.1</v>
      </c>
      <c r="I38" s="56">
        <f t="shared" si="1"/>
        <v>6.125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45">
      <c r="A39" s="53">
        <v>78</v>
      </c>
      <c r="B39" s="63">
        <v>194</v>
      </c>
      <c r="C39" s="63">
        <v>4</v>
      </c>
      <c r="D39" s="63">
        <v>32</v>
      </c>
      <c r="E39" s="54">
        <v>0.5</v>
      </c>
      <c r="F39" s="54">
        <v>0.4</v>
      </c>
      <c r="G39" s="54"/>
      <c r="H39" s="54">
        <v>0.1</v>
      </c>
      <c r="I39" s="52">
        <f t="shared" si="1"/>
        <v>5.9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45">
      <c r="A40" s="53">
        <v>88</v>
      </c>
      <c r="B40" s="63">
        <v>219</v>
      </c>
      <c r="C40" s="63">
        <v>5</v>
      </c>
      <c r="D40" s="63">
        <v>35</v>
      </c>
      <c r="E40" s="54">
        <v>0.5</v>
      </c>
      <c r="F40" s="54">
        <v>0.4</v>
      </c>
      <c r="G40" s="54"/>
      <c r="H40" s="54">
        <v>0.1</v>
      </c>
      <c r="I40" s="52">
        <f t="shared" si="1"/>
        <v>5.7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45">
      <c r="A41" s="283">
        <v>98</v>
      </c>
      <c r="B41" s="63">
        <v>241</v>
      </c>
      <c r="C41" s="63">
        <v>6</v>
      </c>
      <c r="D41" s="63">
        <v>34</v>
      </c>
      <c r="E41" s="54">
        <v>0.5</v>
      </c>
      <c r="F41" s="54">
        <v>0.4</v>
      </c>
      <c r="G41" s="54"/>
      <c r="H41" s="54">
        <v>0.1</v>
      </c>
      <c r="I41" s="56">
        <f t="shared" si="1"/>
        <v>5.7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45">
      <c r="A42" s="283">
        <v>108</v>
      </c>
      <c r="B42" s="63">
        <v>264</v>
      </c>
      <c r="C42" s="63">
        <v>7</v>
      </c>
      <c r="D42" s="63">
        <v>39</v>
      </c>
      <c r="E42" s="54">
        <v>0.5</v>
      </c>
      <c r="F42" s="54">
        <v>0.4</v>
      </c>
      <c r="G42" s="54"/>
      <c r="H42" s="54">
        <v>0.1</v>
      </c>
      <c r="I42" s="56">
        <f t="shared" si="1"/>
        <v>5.7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45">
      <c r="A43" s="283">
        <v>118</v>
      </c>
      <c r="B43" s="63">
        <v>281</v>
      </c>
      <c r="C43" s="63">
        <v>8</v>
      </c>
      <c r="D43" s="63">
        <v>40</v>
      </c>
      <c r="E43" s="54">
        <v>0.5</v>
      </c>
      <c r="F43" s="54">
        <v>0.4</v>
      </c>
      <c r="G43" s="54"/>
      <c r="H43" s="54">
        <v>0.1</v>
      </c>
      <c r="I43" s="52">
        <f t="shared" si="1"/>
        <v>5.6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45">
      <c r="A44" s="283">
        <v>128</v>
      </c>
      <c r="B44" s="63">
        <v>297</v>
      </c>
      <c r="C44" s="63">
        <v>9</v>
      </c>
      <c r="D44" s="63">
        <v>39</v>
      </c>
      <c r="E44" s="54">
        <v>0.5</v>
      </c>
      <c r="F44" s="54">
        <v>0.4</v>
      </c>
      <c r="G44" s="54"/>
      <c r="H44" s="54">
        <v>0.1</v>
      </c>
      <c r="I44" s="52">
        <f t="shared" si="1"/>
        <v>5.6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45">
      <c r="A45" s="283">
        <v>138</v>
      </c>
      <c r="B45" s="63">
        <v>315</v>
      </c>
      <c r="C45" s="63">
        <v>10</v>
      </c>
      <c r="D45" s="63">
        <v>39</v>
      </c>
      <c r="E45" s="54">
        <v>0.5</v>
      </c>
      <c r="F45" s="54">
        <v>0.4</v>
      </c>
      <c r="G45" s="54"/>
      <c r="H45" s="54">
        <v>0.1</v>
      </c>
      <c r="I45" s="52">
        <f t="shared" si="1"/>
        <v>5.7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45">
      <c r="A46" s="283">
        <v>148</v>
      </c>
      <c r="B46" s="63">
        <v>334</v>
      </c>
      <c r="C46" s="63">
        <v>11</v>
      </c>
      <c r="D46" s="63">
        <v>41</v>
      </c>
      <c r="E46" s="54">
        <v>0.5</v>
      </c>
      <c r="F46" s="54">
        <v>0.4</v>
      </c>
      <c r="G46" s="54"/>
      <c r="H46" s="54">
        <v>0.1</v>
      </c>
      <c r="I46" s="52">
        <f t="shared" si="1"/>
        <v>5.8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45">
      <c r="A47" s="283">
        <v>185</v>
      </c>
      <c r="B47" s="63">
        <v>351</v>
      </c>
      <c r="C47" s="63">
        <v>12</v>
      </c>
      <c r="D47" s="63">
        <v>41</v>
      </c>
      <c r="E47" s="54">
        <v>0.5</v>
      </c>
      <c r="F47" s="54">
        <v>0.4</v>
      </c>
      <c r="G47" s="54"/>
      <c r="H47" s="54">
        <v>0.1</v>
      </c>
      <c r="I47" s="52">
        <f t="shared" si="1"/>
        <v>1.5675675675675675</v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45">
      <c r="A48" s="283">
        <v>168</v>
      </c>
      <c r="B48" s="53">
        <v>369</v>
      </c>
      <c r="C48" s="63">
        <v>13</v>
      </c>
      <c r="D48" s="53">
        <v>41</v>
      </c>
      <c r="E48" s="54">
        <v>0.5</v>
      </c>
      <c r="F48" s="54">
        <v>0.4</v>
      </c>
      <c r="G48" s="54"/>
      <c r="H48" s="54">
        <v>0.1</v>
      </c>
      <c r="I48" s="52">
        <f t="shared" si="1"/>
        <v>-3.4705882352941178</v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45">
      <c r="A49" s="283">
        <v>180</v>
      </c>
      <c r="B49" s="53">
        <v>368</v>
      </c>
      <c r="C49" s="53" t="s">
        <v>324</v>
      </c>
      <c r="D49" s="53">
        <v>368</v>
      </c>
      <c r="E49" s="54">
        <v>1</v>
      </c>
      <c r="F49" s="54"/>
      <c r="G49" s="54"/>
      <c r="H49" s="54"/>
      <c r="I49" s="52">
        <f t="shared" si="1"/>
        <v>3.3333333333333335</v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4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4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4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4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4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4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4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4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45">
      <c r="A58" s="49" t="s">
        <v>166</v>
      </c>
      <c r="B58" s="55" t="str">
        <f>IF(B10="","",B10)</f>
        <v>Séquoia toujours vert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4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45">
      <c r="A60" s="5"/>
      <c r="B60" s="91" t="s">
        <v>185</v>
      </c>
      <c r="C60" s="296" t="s">
        <v>186</v>
      </c>
      <c r="D60" s="296"/>
      <c r="E60" s="297" t="s">
        <v>187</v>
      </c>
      <c r="F60" s="298"/>
      <c r="G60" s="298"/>
      <c r="H60" s="299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28.5" x14ac:dyDescent="0.4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45">
      <c r="A62" s="292">
        <v>25</v>
      </c>
      <c r="B62" s="292">
        <v>372</v>
      </c>
      <c r="C62" s="292">
        <v>1</v>
      </c>
      <c r="D62" s="292">
        <v>21</v>
      </c>
      <c r="E62" s="293"/>
      <c r="F62" s="293">
        <v>0.5</v>
      </c>
      <c r="G62" s="293"/>
      <c r="H62" s="293">
        <v>0.5</v>
      </c>
      <c r="I62" s="56">
        <f>IFERROR(B62/A62,"")</f>
        <v>14.88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45">
      <c r="A63" s="292">
        <v>30</v>
      </c>
      <c r="B63" s="292">
        <v>484</v>
      </c>
      <c r="C63" s="292">
        <v>2</v>
      </c>
      <c r="D63" s="292">
        <v>48</v>
      </c>
      <c r="E63" s="293"/>
      <c r="F63" s="293">
        <v>0.5</v>
      </c>
      <c r="G63" s="293"/>
      <c r="H63" s="293">
        <v>0.5</v>
      </c>
      <c r="I63" s="52">
        <f>IF(A63&lt;&gt;0,(B63-(B62-D62))/(A63-A62),"")</f>
        <v>26.6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45">
      <c r="A64" s="292">
        <v>35</v>
      </c>
      <c r="B64" s="292">
        <v>559</v>
      </c>
      <c r="C64" s="292">
        <v>3</v>
      </c>
      <c r="D64" s="292">
        <v>61</v>
      </c>
      <c r="E64" s="293"/>
      <c r="F64" s="293">
        <v>0.5</v>
      </c>
      <c r="G64" s="293"/>
      <c r="H64" s="293">
        <v>0.5</v>
      </c>
      <c r="I64" s="52">
        <f>IF(A64&lt;&gt;0,(B64-(B63-D63))/(A64-A63),"")</f>
        <v>24.6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45">
      <c r="A65" s="292">
        <v>40</v>
      </c>
      <c r="B65" s="292">
        <v>608</v>
      </c>
      <c r="C65" s="292">
        <v>4</v>
      </c>
      <c r="D65" s="292">
        <v>65</v>
      </c>
      <c r="E65" s="293">
        <v>0.5</v>
      </c>
      <c r="F65" s="293">
        <v>0.4</v>
      </c>
      <c r="G65" s="293">
        <v>0.1</v>
      </c>
      <c r="H65" s="293"/>
      <c r="I65" s="52">
        <f>IF(A65&lt;&gt;0,(B65-(B64-D64))/(A65-A64),"")</f>
        <v>22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45">
      <c r="A66" s="292">
        <v>45</v>
      </c>
      <c r="B66" s="292">
        <v>641</v>
      </c>
      <c r="C66" s="292">
        <v>5</v>
      </c>
      <c r="D66" s="292">
        <v>69</v>
      </c>
      <c r="E66" s="293">
        <v>0.5</v>
      </c>
      <c r="F66" s="293">
        <v>0.4</v>
      </c>
      <c r="G66" s="293">
        <v>0.1</v>
      </c>
      <c r="H66" s="293"/>
      <c r="I66" s="52">
        <f t="shared" ref="I66:I81" si="2">IF(A66&lt;&gt;0,(B66-(B65-D65))/(A66-A65),"")</f>
        <v>19.600000000000001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45">
      <c r="A67" s="292">
        <v>50</v>
      </c>
      <c r="B67" s="292">
        <v>663</v>
      </c>
      <c r="C67" s="292">
        <v>6</v>
      </c>
      <c r="D67" s="292">
        <v>73</v>
      </c>
      <c r="E67" s="293">
        <v>0.5</v>
      </c>
      <c r="F67" s="293"/>
      <c r="G67" s="293"/>
      <c r="H67" s="293"/>
      <c r="I67" s="52">
        <f t="shared" si="2"/>
        <v>18.2</v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45">
      <c r="A68" s="292">
        <v>55</v>
      </c>
      <c r="B68" s="292">
        <v>676</v>
      </c>
      <c r="C68" s="292">
        <v>7</v>
      </c>
      <c r="D68" s="292">
        <v>68</v>
      </c>
      <c r="E68" s="293">
        <v>0.5</v>
      </c>
      <c r="F68" s="293"/>
      <c r="G68" s="293"/>
      <c r="H68" s="293"/>
      <c r="I68" s="52">
        <f t="shared" si="2"/>
        <v>17.2</v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45">
      <c r="A69" s="63">
        <v>60</v>
      </c>
      <c r="B69" s="63">
        <v>687</v>
      </c>
      <c r="C69" s="292">
        <v>8</v>
      </c>
      <c r="D69" s="63">
        <v>61</v>
      </c>
      <c r="E69" s="293">
        <v>0.5</v>
      </c>
      <c r="F69" s="294"/>
      <c r="G69" s="294"/>
      <c r="H69" s="294"/>
      <c r="I69" s="52">
        <f t="shared" si="2"/>
        <v>15.8</v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45">
      <c r="A70" s="63">
        <v>65</v>
      </c>
      <c r="B70" s="63">
        <v>700</v>
      </c>
      <c r="C70" s="292" t="s">
        <v>324</v>
      </c>
      <c r="D70" s="63">
        <v>646</v>
      </c>
      <c r="E70" s="293">
        <v>1</v>
      </c>
      <c r="F70" s="294"/>
      <c r="G70" s="294"/>
      <c r="H70" s="294"/>
      <c r="I70" s="52">
        <f t="shared" si="2"/>
        <v>14.8</v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4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4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4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4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4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4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4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4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4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4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4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4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4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45">
      <c r="A84" s="49" t="s">
        <v>167</v>
      </c>
      <c r="B84" s="55" t="str">
        <f>IF(B11="","",B11)</f>
        <v>Douglas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4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45">
      <c r="A86" s="5"/>
      <c r="B86" s="91" t="s">
        <v>185</v>
      </c>
      <c r="C86" s="296" t="s">
        <v>186</v>
      </c>
      <c r="D86" s="296"/>
      <c r="E86" s="297" t="s">
        <v>187</v>
      </c>
      <c r="F86" s="298"/>
      <c r="G86" s="298"/>
      <c r="H86" s="299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28.5" x14ac:dyDescent="0.4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45">
      <c r="A88" s="292">
        <v>25</v>
      </c>
      <c r="B88" s="292">
        <v>372</v>
      </c>
      <c r="C88" s="292">
        <v>1</v>
      </c>
      <c r="D88" s="292">
        <v>21</v>
      </c>
      <c r="E88" s="293"/>
      <c r="F88" s="293">
        <v>0.5</v>
      </c>
      <c r="G88" s="293"/>
      <c r="H88" s="293">
        <v>0.5</v>
      </c>
      <c r="I88" s="56">
        <f>IFERROR(B88/A88,"")</f>
        <v>14.88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45">
      <c r="A89" s="292">
        <v>30</v>
      </c>
      <c r="B89" s="292">
        <v>484</v>
      </c>
      <c r="C89" s="292">
        <v>2</v>
      </c>
      <c r="D89" s="292">
        <v>48</v>
      </c>
      <c r="E89" s="293"/>
      <c r="F89" s="293">
        <v>0.5</v>
      </c>
      <c r="G89" s="293"/>
      <c r="H89" s="293">
        <v>0.5</v>
      </c>
      <c r="I89" s="56">
        <f t="shared" ref="I89:I107" si="3">IF(A89&lt;&gt;0,(B89-(B88-D88))/(A89-A88),"")</f>
        <v>26.6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45">
      <c r="A90" s="292">
        <v>35</v>
      </c>
      <c r="B90" s="292">
        <v>559</v>
      </c>
      <c r="C90" s="292">
        <v>3</v>
      </c>
      <c r="D90" s="292">
        <v>61</v>
      </c>
      <c r="E90" s="293"/>
      <c r="F90" s="293">
        <v>0.5</v>
      </c>
      <c r="G90" s="293"/>
      <c r="H90" s="293">
        <v>0.5</v>
      </c>
      <c r="I90" s="56">
        <f t="shared" si="3"/>
        <v>24.6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45">
      <c r="A91" s="292">
        <v>40</v>
      </c>
      <c r="B91" s="292">
        <v>608</v>
      </c>
      <c r="C91" s="292">
        <v>4</v>
      </c>
      <c r="D91" s="292">
        <v>65</v>
      </c>
      <c r="E91" s="293">
        <v>0.5</v>
      </c>
      <c r="F91" s="293">
        <v>0.4</v>
      </c>
      <c r="G91" s="293">
        <v>0.1</v>
      </c>
      <c r="H91" s="293"/>
      <c r="I91" s="56">
        <f t="shared" si="3"/>
        <v>22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45">
      <c r="A92" s="292">
        <v>45</v>
      </c>
      <c r="B92" s="292">
        <v>641</v>
      </c>
      <c r="C92" s="292">
        <v>5</v>
      </c>
      <c r="D92" s="292">
        <v>69</v>
      </c>
      <c r="E92" s="293">
        <v>0.5</v>
      </c>
      <c r="F92" s="293">
        <v>0.4</v>
      </c>
      <c r="G92" s="293">
        <v>0.1</v>
      </c>
      <c r="H92" s="293"/>
      <c r="I92" s="56">
        <f t="shared" si="3"/>
        <v>19.600000000000001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45">
      <c r="A93" s="292">
        <v>50</v>
      </c>
      <c r="B93" s="292">
        <v>663</v>
      </c>
      <c r="C93" s="292">
        <v>6</v>
      </c>
      <c r="D93" s="292">
        <v>73</v>
      </c>
      <c r="E93" s="293">
        <v>0.5</v>
      </c>
      <c r="F93" s="293"/>
      <c r="G93" s="293"/>
      <c r="H93" s="293"/>
      <c r="I93" s="56">
        <f t="shared" si="3"/>
        <v>18.2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45">
      <c r="A94" s="292">
        <v>55</v>
      </c>
      <c r="B94" s="292">
        <v>676</v>
      </c>
      <c r="C94" s="292">
        <v>7</v>
      </c>
      <c r="D94" s="292">
        <v>68</v>
      </c>
      <c r="E94" s="293">
        <v>0.5</v>
      </c>
      <c r="F94" s="293"/>
      <c r="G94" s="293"/>
      <c r="H94" s="293"/>
      <c r="I94" s="56">
        <f t="shared" si="3"/>
        <v>17.2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45">
      <c r="A95" s="63">
        <v>60</v>
      </c>
      <c r="B95" s="63">
        <v>687</v>
      </c>
      <c r="C95" s="292">
        <v>8</v>
      </c>
      <c r="D95" s="63">
        <v>61</v>
      </c>
      <c r="E95" s="293">
        <v>0.5</v>
      </c>
      <c r="F95" s="294"/>
      <c r="G95" s="294"/>
      <c r="H95" s="294"/>
      <c r="I95" s="56">
        <f t="shared" si="3"/>
        <v>15.8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45">
      <c r="A96" s="63">
        <v>65</v>
      </c>
      <c r="B96" s="63">
        <v>700</v>
      </c>
      <c r="C96" s="292" t="s">
        <v>324</v>
      </c>
      <c r="D96" s="63">
        <v>646</v>
      </c>
      <c r="E96" s="293">
        <v>1</v>
      </c>
      <c r="F96" s="294"/>
      <c r="G96" s="294"/>
      <c r="H96" s="294"/>
      <c r="I96" s="56">
        <f t="shared" si="3"/>
        <v>14.8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45">
      <c r="A97" s="63"/>
      <c r="B97" s="63"/>
      <c r="C97" s="63"/>
      <c r="D97" s="63"/>
      <c r="E97" s="93"/>
      <c r="F97" s="93"/>
      <c r="G97" s="93"/>
      <c r="H97" s="93"/>
      <c r="I97" s="56" t="str">
        <f t="shared" si="3"/>
        <v/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45">
      <c r="A98" s="63"/>
      <c r="B98" s="63"/>
      <c r="C98" s="63"/>
      <c r="D98" s="63"/>
      <c r="E98" s="93"/>
      <c r="F98" s="93"/>
      <c r="G98" s="93"/>
      <c r="H98" s="93"/>
      <c r="I98" s="56" t="str">
        <f t="shared" si="3"/>
        <v/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45">
      <c r="A99" s="63"/>
      <c r="B99" s="63"/>
      <c r="C99" s="63"/>
      <c r="D99" s="63"/>
      <c r="E99" s="93"/>
      <c r="F99" s="93"/>
      <c r="G99" s="93"/>
      <c r="H99" s="93"/>
      <c r="I99" s="56" t="str">
        <f t="shared" si="3"/>
        <v/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45">
      <c r="A100" s="63"/>
      <c r="B100" s="63"/>
      <c r="C100" s="63"/>
      <c r="D100" s="63"/>
      <c r="E100" s="68"/>
      <c r="F100" s="68"/>
      <c r="G100" s="68"/>
      <c r="H100" s="68"/>
      <c r="I100" s="56" t="str">
        <f t="shared" si="3"/>
        <v/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45">
      <c r="A101" s="63"/>
      <c r="B101" s="63"/>
      <c r="C101" s="63"/>
      <c r="D101" s="63"/>
      <c r="E101" s="68"/>
      <c r="F101" s="68"/>
      <c r="G101" s="68"/>
      <c r="H101" s="68"/>
      <c r="I101" s="56" t="str">
        <f t="shared" si="3"/>
        <v/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45">
      <c r="A102" s="63"/>
      <c r="B102" s="53"/>
      <c r="C102" s="63"/>
      <c r="D102" s="53"/>
      <c r="E102" s="57"/>
      <c r="F102" s="57"/>
      <c r="G102" s="57"/>
      <c r="H102" s="57"/>
      <c r="I102" s="56" t="str">
        <f t="shared" si="3"/>
        <v/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45">
      <c r="A103" s="63"/>
      <c r="B103" s="53"/>
      <c r="C103" s="63"/>
      <c r="D103" s="53"/>
      <c r="E103" s="57"/>
      <c r="F103" s="57"/>
      <c r="G103" s="57"/>
      <c r="H103" s="57"/>
      <c r="I103" s="56" t="str">
        <f t="shared" si="3"/>
        <v/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4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4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4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4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4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4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45">
      <c r="A110" s="49" t="s">
        <v>168</v>
      </c>
      <c r="B110" s="55" t="str">
        <f>IF(B12="","",B12)</f>
        <v>Cèdre de l'Atlas</v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4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45">
      <c r="A112" s="5"/>
      <c r="B112" s="91" t="s">
        <v>185</v>
      </c>
      <c r="C112" s="296" t="s">
        <v>186</v>
      </c>
      <c r="D112" s="296"/>
      <c r="E112" s="297" t="s">
        <v>187</v>
      </c>
      <c r="F112" s="298"/>
      <c r="G112" s="298"/>
      <c r="H112" s="299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28.5" x14ac:dyDescent="0.4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45">
      <c r="A114" s="53">
        <v>20</v>
      </c>
      <c r="B114" s="63">
        <v>95.833333330000002</v>
      </c>
      <c r="C114" s="53">
        <v>1</v>
      </c>
      <c r="D114" s="63">
        <v>19.166666670000001</v>
      </c>
      <c r="E114" s="54"/>
      <c r="F114" s="54"/>
      <c r="G114" s="54"/>
      <c r="H114" s="54">
        <v>1</v>
      </c>
      <c r="I114" s="56">
        <f>IFERROR(B114/A114,"")</f>
        <v>4.7916666665000003</v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45">
      <c r="A115" s="53">
        <v>30</v>
      </c>
      <c r="B115" s="63">
        <v>134.0277778</v>
      </c>
      <c r="C115" s="53">
        <v>2</v>
      </c>
      <c r="D115" s="63">
        <v>26.805555559999998</v>
      </c>
      <c r="E115" s="54"/>
      <c r="F115" s="54">
        <v>0.5</v>
      </c>
      <c r="G115" s="54"/>
      <c r="H115" s="54">
        <v>0.5</v>
      </c>
      <c r="I115" s="56">
        <f t="shared" ref="I115:I133" si="4">IF(A115&lt;&gt;0,(B115-(B114-D114))/(A115-A114),"")</f>
        <v>5.736111113999999</v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45">
      <c r="A116" s="53">
        <v>40</v>
      </c>
      <c r="B116" s="63">
        <v>185.99537040000001</v>
      </c>
      <c r="C116" s="53">
        <v>3</v>
      </c>
      <c r="D116" s="63">
        <v>37.199074070000002</v>
      </c>
      <c r="E116" s="54"/>
      <c r="F116" s="54">
        <v>0.5</v>
      </c>
      <c r="G116" s="54"/>
      <c r="H116" s="54">
        <v>0.5</v>
      </c>
      <c r="I116" s="56">
        <f t="shared" si="4"/>
        <v>7.8773148160000019</v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45">
      <c r="A117" s="53">
        <v>50</v>
      </c>
      <c r="B117" s="63">
        <v>235.66743829999999</v>
      </c>
      <c r="C117" s="53">
        <v>4</v>
      </c>
      <c r="D117" s="63">
        <v>47.133487649999999</v>
      </c>
      <c r="E117" s="54"/>
      <c r="F117" s="54">
        <v>0.5</v>
      </c>
      <c r="G117" s="54"/>
      <c r="H117" s="54">
        <v>0.5</v>
      </c>
      <c r="I117" s="56">
        <f t="shared" si="4"/>
        <v>8.6871141969999961</v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45">
      <c r="A118" s="53">
        <v>60</v>
      </c>
      <c r="B118" s="63">
        <v>294.05542700000001</v>
      </c>
      <c r="C118" s="53">
        <v>5</v>
      </c>
      <c r="D118" s="63">
        <v>58.811085390000002</v>
      </c>
      <c r="E118" s="54">
        <v>0.5</v>
      </c>
      <c r="F118" s="54">
        <v>0.5</v>
      </c>
      <c r="G118" s="54"/>
      <c r="H118" s="54"/>
      <c r="I118" s="56">
        <f t="shared" si="4"/>
        <v>10.552147635000003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45">
      <c r="A119" s="53">
        <v>70</v>
      </c>
      <c r="B119" s="63">
        <v>346.8240955</v>
      </c>
      <c r="C119" s="53">
        <v>6</v>
      </c>
      <c r="D119" s="63">
        <v>69.364819100000005</v>
      </c>
      <c r="E119" s="54">
        <v>0.5</v>
      </c>
      <c r="F119" s="54">
        <v>0.5</v>
      </c>
      <c r="G119" s="54"/>
      <c r="H119" s="54"/>
      <c r="I119" s="56">
        <f t="shared" si="4"/>
        <v>11.157975389000001</v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45">
      <c r="A120" s="63">
        <v>80</v>
      </c>
      <c r="B120" s="63">
        <v>402.19598409999998</v>
      </c>
      <c r="C120" s="63">
        <v>7</v>
      </c>
      <c r="D120" s="63">
        <v>80.439196820000006</v>
      </c>
      <c r="E120" s="93">
        <v>0.5</v>
      </c>
      <c r="F120" s="93">
        <v>0.5</v>
      </c>
      <c r="G120" s="93"/>
      <c r="H120" s="93"/>
      <c r="I120" s="56">
        <f t="shared" si="4"/>
        <v>12.473670769999995</v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45">
      <c r="A121" s="63">
        <v>90</v>
      </c>
      <c r="B121" s="63">
        <v>462.1340027</v>
      </c>
      <c r="C121" s="63">
        <v>8</v>
      </c>
      <c r="D121" s="63">
        <v>92.426800529999994</v>
      </c>
      <c r="E121" s="93">
        <v>0.5</v>
      </c>
      <c r="F121" s="93">
        <v>0.5</v>
      </c>
      <c r="G121" s="93"/>
      <c r="H121" s="93"/>
      <c r="I121" s="56">
        <f t="shared" si="4"/>
        <v>14.037721542000003</v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45">
      <c r="A122" s="63">
        <v>100</v>
      </c>
      <c r="B122" s="63">
        <v>521.31099959999995</v>
      </c>
      <c r="C122" s="63">
        <v>9</v>
      </c>
      <c r="D122" s="63">
        <v>104.2621999</v>
      </c>
      <c r="E122" s="93">
        <v>1</v>
      </c>
      <c r="F122" s="93"/>
      <c r="G122" s="93"/>
      <c r="H122" s="93"/>
      <c r="I122" s="56">
        <f t="shared" si="4"/>
        <v>15.160379742999993</v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4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4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4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4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4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4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4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4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4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4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4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4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4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45">
      <c r="A136" s="49" t="s">
        <v>169</v>
      </c>
      <c r="B136" s="55" t="str">
        <f>IF(B13="","",B13)</f>
        <v>Robinier faux-acacia</v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4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45">
      <c r="A138" s="5"/>
      <c r="B138" s="91" t="s">
        <v>185</v>
      </c>
      <c r="C138" s="296" t="s">
        <v>186</v>
      </c>
      <c r="D138" s="296"/>
      <c r="E138" s="297" t="s">
        <v>187</v>
      </c>
      <c r="F138" s="298"/>
      <c r="G138" s="298"/>
      <c r="H138" s="299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28.5" x14ac:dyDescent="0.4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45">
      <c r="A140" s="53">
        <v>5</v>
      </c>
      <c r="B140" s="63">
        <v>34</v>
      </c>
      <c r="C140" s="63">
        <v>1</v>
      </c>
      <c r="D140" s="63">
        <v>6</v>
      </c>
      <c r="E140" s="54"/>
      <c r="F140" s="54"/>
      <c r="G140" s="54"/>
      <c r="H140" s="54">
        <v>1</v>
      </c>
      <c r="I140" s="60">
        <f>IFERROR(B140/A140,"")</f>
        <v>6.8</v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45">
      <c r="A141" s="53">
        <v>10</v>
      </c>
      <c r="B141" s="63">
        <v>99</v>
      </c>
      <c r="C141" s="63">
        <v>2</v>
      </c>
      <c r="D141" s="63">
        <v>28</v>
      </c>
      <c r="E141" s="54"/>
      <c r="F141" s="54">
        <v>0.5</v>
      </c>
      <c r="G141" s="54"/>
      <c r="H141" s="54">
        <v>0.5</v>
      </c>
      <c r="I141" s="60">
        <f t="shared" ref="I141:I159" si="5">IF(A141&lt;&gt;0,(B141-(B140-D140))/(A141-A140),"")</f>
        <v>14.2</v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45">
      <c r="A142" s="53">
        <v>15</v>
      </c>
      <c r="B142" s="63">
        <v>140</v>
      </c>
      <c r="C142" s="63">
        <v>3</v>
      </c>
      <c r="D142" s="63">
        <v>23</v>
      </c>
      <c r="E142" s="54"/>
      <c r="F142" s="54">
        <v>0.5</v>
      </c>
      <c r="G142" s="54"/>
      <c r="H142" s="54">
        <v>0.5</v>
      </c>
      <c r="I142" s="60">
        <f t="shared" si="5"/>
        <v>13.8</v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45">
      <c r="A143" s="53">
        <v>20</v>
      </c>
      <c r="B143" s="63">
        <v>180</v>
      </c>
      <c r="C143" s="63">
        <v>4</v>
      </c>
      <c r="D143" s="63">
        <v>18</v>
      </c>
      <c r="E143" s="54"/>
      <c r="F143" s="54">
        <v>0.5</v>
      </c>
      <c r="G143" s="54"/>
      <c r="H143" s="54">
        <v>0.5</v>
      </c>
      <c r="I143" s="60">
        <f t="shared" si="5"/>
        <v>12.6</v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45">
      <c r="A144" s="53">
        <v>25</v>
      </c>
      <c r="B144" s="63">
        <v>214</v>
      </c>
      <c r="C144" s="63">
        <v>5</v>
      </c>
      <c r="D144" s="63">
        <v>14</v>
      </c>
      <c r="E144" s="54"/>
      <c r="F144" s="54">
        <v>0.5</v>
      </c>
      <c r="G144" s="54"/>
      <c r="H144" s="54">
        <v>0.5</v>
      </c>
      <c r="I144" s="60">
        <f t="shared" si="5"/>
        <v>10.4</v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45">
      <c r="A145" s="53">
        <v>30</v>
      </c>
      <c r="B145" s="63">
        <v>243</v>
      </c>
      <c r="C145" s="63">
        <v>6</v>
      </c>
      <c r="D145" s="63">
        <v>11</v>
      </c>
      <c r="E145" s="54"/>
      <c r="F145" s="54">
        <v>0.5</v>
      </c>
      <c r="G145" s="54"/>
      <c r="H145" s="54">
        <v>0.5</v>
      </c>
      <c r="I145" s="60">
        <f t="shared" si="5"/>
        <v>8.6</v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45">
      <c r="A146" s="53">
        <v>35</v>
      </c>
      <c r="B146" s="63">
        <v>267</v>
      </c>
      <c r="C146" s="63">
        <v>7</v>
      </c>
      <c r="D146" s="63">
        <v>9</v>
      </c>
      <c r="E146" s="54"/>
      <c r="F146" s="54">
        <v>0.5</v>
      </c>
      <c r="G146" s="54"/>
      <c r="H146" s="54">
        <v>0.5</v>
      </c>
      <c r="I146" s="60">
        <f t="shared" si="5"/>
        <v>7</v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45">
      <c r="A147" s="53">
        <v>40</v>
      </c>
      <c r="B147" s="53">
        <v>289</v>
      </c>
      <c r="C147" s="63">
        <v>8</v>
      </c>
      <c r="D147" s="53">
        <v>7</v>
      </c>
      <c r="E147" s="54"/>
      <c r="F147" s="54">
        <v>0.5</v>
      </c>
      <c r="G147" s="54"/>
      <c r="H147" s="54">
        <v>0.5</v>
      </c>
      <c r="I147" s="60">
        <f>IF(A147&lt;&gt;0,(B147-(B146-D146))/(A147-A146),"")</f>
        <v>6.2</v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45">
      <c r="A148" s="53">
        <v>45</v>
      </c>
      <c r="B148" s="53">
        <v>312</v>
      </c>
      <c r="C148" s="63" t="s">
        <v>324</v>
      </c>
      <c r="D148" s="53">
        <v>312</v>
      </c>
      <c r="E148" s="54">
        <v>1</v>
      </c>
      <c r="F148" s="54"/>
      <c r="G148" s="54"/>
      <c r="H148" s="54"/>
      <c r="I148" s="60">
        <f t="shared" si="5"/>
        <v>6</v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45">
      <c r="A149" s="283"/>
      <c r="B149" s="63"/>
      <c r="C149" s="6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45">
      <c r="A150" s="283"/>
      <c r="B150" s="63"/>
      <c r="C150" s="6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45">
      <c r="A151" s="283"/>
      <c r="B151" s="63"/>
      <c r="C151" s="6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45">
      <c r="A152" s="283"/>
      <c r="B152" s="53"/>
      <c r="C152" s="63"/>
      <c r="D152" s="53"/>
      <c r="E152" s="54"/>
      <c r="F152" s="54"/>
      <c r="G152" s="54"/>
      <c r="H152" s="54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45">
      <c r="A153" s="283"/>
      <c r="B153" s="53"/>
      <c r="C153" s="53"/>
      <c r="D153" s="53"/>
      <c r="E153" s="54"/>
      <c r="F153" s="54"/>
      <c r="G153" s="54"/>
      <c r="H153" s="54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4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4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4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4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4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4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4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4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45">
      <c r="A162" s="49" t="s">
        <v>170</v>
      </c>
      <c r="B162" s="55" t="str">
        <f>IF(B14="","",B14)</f>
        <v>Charme</v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4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45">
      <c r="A164" s="5"/>
      <c r="B164" s="91" t="s">
        <v>185</v>
      </c>
      <c r="C164" s="296" t="s">
        <v>186</v>
      </c>
      <c r="D164" s="296"/>
      <c r="E164" s="297" t="s">
        <v>187</v>
      </c>
      <c r="F164" s="298"/>
      <c r="G164" s="298"/>
      <c r="H164" s="299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28.5" x14ac:dyDescent="0.4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45">
      <c r="A166" s="53">
        <v>15</v>
      </c>
      <c r="B166" s="63">
        <v>40</v>
      </c>
      <c r="C166" s="63">
        <v>1</v>
      </c>
      <c r="D166" s="63">
        <v>3</v>
      </c>
      <c r="E166" s="54"/>
      <c r="F166" s="54"/>
      <c r="G166" s="54"/>
      <c r="H166" s="54">
        <v>1</v>
      </c>
      <c r="I166" s="52">
        <f>IFERROR(B166/A166,"")</f>
        <v>2.6666666666666665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45">
      <c r="A167" s="53">
        <v>20</v>
      </c>
      <c r="B167" s="63">
        <v>85</v>
      </c>
      <c r="C167" s="63">
        <v>2</v>
      </c>
      <c r="D167" s="63">
        <v>25</v>
      </c>
      <c r="E167" s="54"/>
      <c r="F167" s="54"/>
      <c r="G167" s="54"/>
      <c r="H167" s="54">
        <v>1</v>
      </c>
      <c r="I167" s="52">
        <f t="shared" ref="I167:I185" si="6">IF(A167&lt;&gt;0,(B167-(B166-D166))/(A167-A166),"")</f>
        <v>9.6</v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45">
      <c r="A168" s="53">
        <v>25</v>
      </c>
      <c r="B168" s="63">
        <v>113</v>
      </c>
      <c r="C168" s="63">
        <v>3</v>
      </c>
      <c r="D168" s="63">
        <v>27</v>
      </c>
      <c r="E168" s="54"/>
      <c r="F168" s="54"/>
      <c r="G168" s="54"/>
      <c r="H168" s="54">
        <v>1</v>
      </c>
      <c r="I168" s="52">
        <f t="shared" si="6"/>
        <v>10.6</v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45">
      <c r="A169" s="53">
        <v>31</v>
      </c>
      <c r="B169" s="63">
        <v>155</v>
      </c>
      <c r="C169" s="63">
        <v>4</v>
      </c>
      <c r="D169" s="63">
        <v>36</v>
      </c>
      <c r="E169" s="54"/>
      <c r="F169" s="54"/>
      <c r="G169" s="54"/>
      <c r="H169" s="54">
        <v>1</v>
      </c>
      <c r="I169" s="52">
        <f t="shared" si="6"/>
        <v>11.5</v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45">
      <c r="A170" s="53">
        <v>37</v>
      </c>
      <c r="B170" s="63">
        <v>188</v>
      </c>
      <c r="C170" s="63">
        <v>5</v>
      </c>
      <c r="D170" s="63">
        <v>36</v>
      </c>
      <c r="E170" s="54"/>
      <c r="F170" s="54"/>
      <c r="G170" s="54"/>
      <c r="H170" s="54">
        <v>1</v>
      </c>
      <c r="I170" s="52">
        <f t="shared" si="6"/>
        <v>11.5</v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45">
      <c r="A171" s="53">
        <v>44</v>
      </c>
      <c r="B171" s="63">
        <v>230</v>
      </c>
      <c r="C171" s="63">
        <v>6</v>
      </c>
      <c r="D171" s="63">
        <v>43</v>
      </c>
      <c r="E171" s="54"/>
      <c r="F171" s="54"/>
      <c r="G171" s="54"/>
      <c r="H171" s="54">
        <v>1</v>
      </c>
      <c r="I171" s="52">
        <f t="shared" si="6"/>
        <v>11.142857142857142</v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45">
      <c r="A172" s="53">
        <v>52</v>
      </c>
      <c r="B172" s="63">
        <v>270</v>
      </c>
      <c r="C172" s="63">
        <v>7</v>
      </c>
      <c r="D172" s="63">
        <v>48</v>
      </c>
      <c r="E172" s="54">
        <v>0.5</v>
      </c>
      <c r="F172" s="54"/>
      <c r="G172" s="54"/>
      <c r="H172" s="54">
        <v>1</v>
      </c>
      <c r="I172" s="52">
        <f t="shared" si="6"/>
        <v>10.375</v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45">
      <c r="A173" s="53">
        <v>60</v>
      </c>
      <c r="B173" s="53">
        <v>297</v>
      </c>
      <c r="C173" s="63">
        <v>8</v>
      </c>
      <c r="D173" s="53">
        <v>47</v>
      </c>
      <c r="E173" s="54">
        <v>0.5</v>
      </c>
      <c r="F173" s="54"/>
      <c r="G173" s="54"/>
      <c r="H173" s="54">
        <v>1</v>
      </c>
      <c r="I173" s="52">
        <f t="shared" si="6"/>
        <v>9.375</v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45">
      <c r="A174" s="53">
        <v>69</v>
      </c>
      <c r="B174" s="53">
        <v>328</v>
      </c>
      <c r="C174" s="63" t="s">
        <v>324</v>
      </c>
      <c r="D174" s="53">
        <v>328</v>
      </c>
      <c r="E174" s="54">
        <v>1</v>
      </c>
      <c r="F174" s="54"/>
      <c r="G174" s="54"/>
      <c r="H174" s="54"/>
      <c r="I174" s="52">
        <f t="shared" si="6"/>
        <v>8.6666666666666661</v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4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4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4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4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4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4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4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4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4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4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4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4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4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45">
      <c r="A188" s="49" t="s">
        <v>171</v>
      </c>
      <c r="B188" s="55" t="str">
        <f>IF(B15="","",B15)</f>
        <v>Châtaignier</v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4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45">
      <c r="A190" s="5"/>
      <c r="B190" s="91" t="s">
        <v>185</v>
      </c>
      <c r="C190" s="296" t="s">
        <v>186</v>
      </c>
      <c r="D190" s="296"/>
      <c r="E190" s="297" t="s">
        <v>187</v>
      </c>
      <c r="F190" s="298"/>
      <c r="G190" s="298"/>
      <c r="H190" s="299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28.5" x14ac:dyDescent="0.4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45">
      <c r="A192" s="53">
        <v>15</v>
      </c>
      <c r="B192" s="63">
        <v>40</v>
      </c>
      <c r="C192" s="63">
        <v>1</v>
      </c>
      <c r="D192" s="63">
        <v>3</v>
      </c>
      <c r="E192" s="54"/>
      <c r="F192" s="54"/>
      <c r="G192" s="54"/>
      <c r="H192" s="54">
        <v>1</v>
      </c>
      <c r="I192" s="52">
        <f>IFERROR(B192/A192,"")</f>
        <v>2.6666666666666665</v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45">
      <c r="A193" s="53">
        <v>20</v>
      </c>
      <c r="B193" s="63">
        <v>85</v>
      </c>
      <c r="C193" s="63">
        <v>2</v>
      </c>
      <c r="D193" s="63">
        <v>25</v>
      </c>
      <c r="E193" s="54"/>
      <c r="F193" s="54"/>
      <c r="G193" s="54"/>
      <c r="H193" s="54">
        <v>1</v>
      </c>
      <c r="I193" s="52">
        <f t="shared" ref="I193:I211" si="7">IF(A193&lt;&gt;0,(B193-(B192-D192))/(A193-A192),"")</f>
        <v>9.6</v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45">
      <c r="A194" s="53">
        <v>25</v>
      </c>
      <c r="B194" s="63">
        <v>113</v>
      </c>
      <c r="C194" s="63">
        <v>3</v>
      </c>
      <c r="D194" s="63">
        <v>27</v>
      </c>
      <c r="E194" s="54"/>
      <c r="F194" s="54"/>
      <c r="G194" s="54"/>
      <c r="H194" s="54">
        <v>1</v>
      </c>
      <c r="I194" s="52">
        <f t="shared" si="7"/>
        <v>10.6</v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45">
      <c r="A195" s="53">
        <v>31</v>
      </c>
      <c r="B195" s="63">
        <v>155</v>
      </c>
      <c r="C195" s="63">
        <v>4</v>
      </c>
      <c r="D195" s="63">
        <v>36</v>
      </c>
      <c r="E195" s="54"/>
      <c r="F195" s="54"/>
      <c r="G195" s="54"/>
      <c r="H195" s="54">
        <v>1</v>
      </c>
      <c r="I195" s="52">
        <f t="shared" si="7"/>
        <v>11.5</v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45">
      <c r="A196" s="53">
        <v>37</v>
      </c>
      <c r="B196" s="63">
        <v>188</v>
      </c>
      <c r="C196" s="63">
        <v>5</v>
      </c>
      <c r="D196" s="63">
        <v>36</v>
      </c>
      <c r="E196" s="54"/>
      <c r="F196" s="54"/>
      <c r="G196" s="54"/>
      <c r="H196" s="54">
        <v>1</v>
      </c>
      <c r="I196" s="52">
        <f t="shared" si="7"/>
        <v>11.5</v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45">
      <c r="A197" s="53">
        <v>44</v>
      </c>
      <c r="B197" s="63">
        <v>230</v>
      </c>
      <c r="C197" s="63">
        <v>6</v>
      </c>
      <c r="D197" s="63">
        <v>43</v>
      </c>
      <c r="E197" s="54"/>
      <c r="F197" s="54"/>
      <c r="G197" s="54"/>
      <c r="H197" s="54">
        <v>1</v>
      </c>
      <c r="I197" s="52">
        <f t="shared" si="7"/>
        <v>11.142857142857142</v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45">
      <c r="A198" s="53">
        <v>52</v>
      </c>
      <c r="B198" s="63">
        <v>270</v>
      </c>
      <c r="C198" s="63">
        <v>7</v>
      </c>
      <c r="D198" s="63">
        <v>48</v>
      </c>
      <c r="E198" s="54">
        <v>0.5</v>
      </c>
      <c r="F198" s="54"/>
      <c r="G198" s="54"/>
      <c r="H198" s="54">
        <v>1</v>
      </c>
      <c r="I198" s="52">
        <f t="shared" si="7"/>
        <v>10.375</v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45">
      <c r="A199" s="53">
        <v>60</v>
      </c>
      <c r="B199" s="53">
        <v>297</v>
      </c>
      <c r="C199" s="63">
        <v>8</v>
      </c>
      <c r="D199" s="53">
        <v>47</v>
      </c>
      <c r="E199" s="54">
        <v>0.5</v>
      </c>
      <c r="F199" s="54"/>
      <c r="G199" s="54"/>
      <c r="H199" s="54">
        <v>1</v>
      </c>
      <c r="I199" s="52">
        <f t="shared" si="7"/>
        <v>9.375</v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45">
      <c r="A200" s="53">
        <v>69</v>
      </c>
      <c r="B200" s="53">
        <v>328</v>
      </c>
      <c r="C200" s="63" t="s">
        <v>324</v>
      </c>
      <c r="D200" s="53">
        <v>328</v>
      </c>
      <c r="E200" s="54">
        <v>1</v>
      </c>
      <c r="F200" s="54"/>
      <c r="G200" s="54"/>
      <c r="H200" s="54"/>
      <c r="I200" s="52">
        <f t="shared" si="7"/>
        <v>8.6666666666666661</v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4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4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4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4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4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4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4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4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4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4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4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4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4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45">
      <c r="A214" s="49" t="s">
        <v>172</v>
      </c>
      <c r="B214" s="55" t="str">
        <f>IF(B16="","",B16)</f>
        <v>Alisier torminal</v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4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45">
      <c r="A216" s="5"/>
      <c r="B216" s="91" t="s">
        <v>185</v>
      </c>
      <c r="C216" s="296" t="s">
        <v>186</v>
      </c>
      <c r="D216" s="296"/>
      <c r="E216" s="297" t="s">
        <v>187</v>
      </c>
      <c r="F216" s="298"/>
      <c r="G216" s="298"/>
      <c r="H216" s="299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28.5" x14ac:dyDescent="0.4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45">
      <c r="A218" s="53">
        <v>15</v>
      </c>
      <c r="B218" s="63">
        <v>40</v>
      </c>
      <c r="C218" s="63">
        <v>1</v>
      </c>
      <c r="D218" s="63">
        <v>3</v>
      </c>
      <c r="E218" s="54"/>
      <c r="F218" s="54"/>
      <c r="G218" s="54"/>
      <c r="H218" s="54">
        <v>1</v>
      </c>
      <c r="I218" s="56">
        <f>IFERROR(B218/A218,"")</f>
        <v>2.6666666666666665</v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45">
      <c r="A219" s="53">
        <v>20</v>
      </c>
      <c r="B219" s="63">
        <v>85</v>
      </c>
      <c r="C219" s="63">
        <v>2</v>
      </c>
      <c r="D219" s="63">
        <v>25</v>
      </c>
      <c r="E219" s="54"/>
      <c r="F219" s="54"/>
      <c r="G219" s="54"/>
      <c r="H219" s="54">
        <v>1</v>
      </c>
      <c r="I219" s="56">
        <f t="shared" ref="I219:I237" si="8">IF(A219&lt;&gt;0,(B219-(B218-D218))/(A219-A218),"")</f>
        <v>9.6</v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45">
      <c r="A220" s="53">
        <v>25</v>
      </c>
      <c r="B220" s="63">
        <v>113</v>
      </c>
      <c r="C220" s="63">
        <v>3</v>
      </c>
      <c r="D220" s="63">
        <v>27</v>
      </c>
      <c r="E220" s="54"/>
      <c r="F220" s="54"/>
      <c r="G220" s="54"/>
      <c r="H220" s="54">
        <v>1</v>
      </c>
      <c r="I220" s="56">
        <f t="shared" si="8"/>
        <v>10.6</v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45">
      <c r="A221" s="53">
        <v>31</v>
      </c>
      <c r="B221" s="63">
        <v>155</v>
      </c>
      <c r="C221" s="63">
        <v>4</v>
      </c>
      <c r="D221" s="63">
        <v>36</v>
      </c>
      <c r="E221" s="54"/>
      <c r="F221" s="54"/>
      <c r="G221" s="54"/>
      <c r="H221" s="54">
        <v>1</v>
      </c>
      <c r="I221" s="56">
        <f t="shared" si="8"/>
        <v>11.5</v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45">
      <c r="A222" s="53">
        <v>37</v>
      </c>
      <c r="B222" s="63">
        <v>188</v>
      </c>
      <c r="C222" s="63">
        <v>5</v>
      </c>
      <c r="D222" s="63">
        <v>36</v>
      </c>
      <c r="E222" s="54"/>
      <c r="F222" s="54"/>
      <c r="G222" s="54"/>
      <c r="H222" s="54">
        <v>1</v>
      </c>
      <c r="I222" s="56">
        <f t="shared" si="8"/>
        <v>11.5</v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45">
      <c r="A223" s="53">
        <v>44</v>
      </c>
      <c r="B223" s="63">
        <v>230</v>
      </c>
      <c r="C223" s="63">
        <v>6</v>
      </c>
      <c r="D223" s="63">
        <v>43</v>
      </c>
      <c r="E223" s="54"/>
      <c r="F223" s="54"/>
      <c r="G223" s="54"/>
      <c r="H223" s="54">
        <v>1</v>
      </c>
      <c r="I223" s="56">
        <f t="shared" si="8"/>
        <v>11.142857142857142</v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45">
      <c r="A224" s="53">
        <v>52</v>
      </c>
      <c r="B224" s="63">
        <v>270</v>
      </c>
      <c r="C224" s="63">
        <v>7</v>
      </c>
      <c r="D224" s="63">
        <v>48</v>
      </c>
      <c r="E224" s="54">
        <v>0.5</v>
      </c>
      <c r="F224" s="54"/>
      <c r="G224" s="54"/>
      <c r="H224" s="54">
        <v>1</v>
      </c>
      <c r="I224" s="56">
        <f t="shared" si="8"/>
        <v>10.375</v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45">
      <c r="A225" s="53">
        <v>60</v>
      </c>
      <c r="B225" s="53">
        <v>297</v>
      </c>
      <c r="C225" s="63">
        <v>8</v>
      </c>
      <c r="D225" s="53">
        <v>47</v>
      </c>
      <c r="E225" s="54">
        <v>0.5</v>
      </c>
      <c r="F225" s="54"/>
      <c r="G225" s="54"/>
      <c r="H225" s="54">
        <v>1</v>
      </c>
      <c r="I225" s="56">
        <f t="shared" si="8"/>
        <v>9.375</v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45">
      <c r="A226" s="53">
        <v>69</v>
      </c>
      <c r="B226" s="53">
        <v>328</v>
      </c>
      <c r="C226" s="63" t="s">
        <v>324</v>
      </c>
      <c r="D226" s="53">
        <v>328</v>
      </c>
      <c r="E226" s="54">
        <v>1</v>
      </c>
      <c r="F226" s="54"/>
      <c r="G226" s="54"/>
      <c r="H226" s="54"/>
      <c r="I226" s="56">
        <f t="shared" si="8"/>
        <v>8.6666666666666661</v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4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4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4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4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4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4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4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4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4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4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4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4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4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45">
      <c r="A240" s="49" t="s">
        <v>173</v>
      </c>
      <c r="B240" s="55" t="str">
        <f>IF(B17="","",B17)</f>
        <v>Cormier</v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4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45">
      <c r="A242" s="5"/>
      <c r="B242" s="91" t="s">
        <v>185</v>
      </c>
      <c r="C242" s="296" t="s">
        <v>186</v>
      </c>
      <c r="D242" s="296"/>
      <c r="E242" s="297" t="s">
        <v>187</v>
      </c>
      <c r="F242" s="298"/>
      <c r="G242" s="298"/>
      <c r="H242" s="299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28.5" x14ac:dyDescent="0.4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45">
      <c r="A244" s="53">
        <v>15</v>
      </c>
      <c r="B244" s="63">
        <v>40</v>
      </c>
      <c r="C244" s="63">
        <v>1</v>
      </c>
      <c r="D244" s="63">
        <v>3</v>
      </c>
      <c r="E244" s="54"/>
      <c r="F244" s="54"/>
      <c r="G244" s="54"/>
      <c r="H244" s="54">
        <v>1</v>
      </c>
      <c r="I244" s="56">
        <f>IFERROR(B244/A244,"")</f>
        <v>2.6666666666666665</v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45">
      <c r="A245" s="53">
        <v>20</v>
      </c>
      <c r="B245" s="63">
        <v>85</v>
      </c>
      <c r="C245" s="63">
        <v>2</v>
      </c>
      <c r="D245" s="63">
        <v>25</v>
      </c>
      <c r="E245" s="54"/>
      <c r="F245" s="54"/>
      <c r="G245" s="54"/>
      <c r="H245" s="54">
        <v>1</v>
      </c>
      <c r="I245" s="56">
        <f>IF(A245&lt;&gt;0,(B245-(B244-D244))/(A245-A244),"")</f>
        <v>9.6</v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45">
      <c r="A246" s="53">
        <v>25</v>
      </c>
      <c r="B246" s="63">
        <v>113</v>
      </c>
      <c r="C246" s="63">
        <v>3</v>
      </c>
      <c r="D246" s="63">
        <v>27</v>
      </c>
      <c r="E246" s="54"/>
      <c r="F246" s="54"/>
      <c r="G246" s="54"/>
      <c r="H246" s="54">
        <v>1</v>
      </c>
      <c r="I246" s="56">
        <f>IF(A246&lt;&gt;0,(B246-(B245-D245))/(A246-A245),"")</f>
        <v>10.6</v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45">
      <c r="A247" s="53">
        <v>31</v>
      </c>
      <c r="B247" s="63">
        <v>155</v>
      </c>
      <c r="C247" s="63">
        <v>4</v>
      </c>
      <c r="D247" s="63">
        <v>36</v>
      </c>
      <c r="E247" s="54"/>
      <c r="F247" s="54"/>
      <c r="G247" s="54"/>
      <c r="H247" s="54">
        <v>1</v>
      </c>
      <c r="I247" s="56">
        <f t="shared" ref="I247:I263" si="9">IF(A247&lt;&gt;0,(B247-(B246-D246))/(A247-A246),"")</f>
        <v>11.5</v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45">
      <c r="A248" s="53">
        <v>37</v>
      </c>
      <c r="B248" s="63">
        <v>188</v>
      </c>
      <c r="C248" s="63">
        <v>5</v>
      </c>
      <c r="D248" s="63">
        <v>36</v>
      </c>
      <c r="E248" s="54"/>
      <c r="F248" s="54"/>
      <c r="G248" s="54"/>
      <c r="H248" s="54">
        <v>1</v>
      </c>
      <c r="I248" s="56">
        <f t="shared" si="9"/>
        <v>11.5</v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45">
      <c r="A249" s="53">
        <v>44</v>
      </c>
      <c r="B249" s="63">
        <v>230</v>
      </c>
      <c r="C249" s="63">
        <v>6</v>
      </c>
      <c r="D249" s="63">
        <v>43</v>
      </c>
      <c r="E249" s="54"/>
      <c r="F249" s="54"/>
      <c r="G249" s="54"/>
      <c r="H249" s="54">
        <v>1</v>
      </c>
      <c r="I249" s="56">
        <f t="shared" si="9"/>
        <v>11.142857142857142</v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45">
      <c r="A250" s="53">
        <v>52</v>
      </c>
      <c r="B250" s="63">
        <v>270</v>
      </c>
      <c r="C250" s="63">
        <v>7</v>
      </c>
      <c r="D250" s="63">
        <v>48</v>
      </c>
      <c r="E250" s="54">
        <v>0.5</v>
      </c>
      <c r="F250" s="54"/>
      <c r="G250" s="54"/>
      <c r="H250" s="54">
        <v>1</v>
      </c>
      <c r="I250" s="56">
        <f t="shared" si="9"/>
        <v>10.375</v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45">
      <c r="A251" s="53">
        <v>60</v>
      </c>
      <c r="B251" s="53">
        <v>297</v>
      </c>
      <c r="C251" s="63">
        <v>8</v>
      </c>
      <c r="D251" s="53">
        <v>47</v>
      </c>
      <c r="E251" s="54">
        <v>0.5</v>
      </c>
      <c r="F251" s="54"/>
      <c r="G251" s="54"/>
      <c r="H251" s="54">
        <v>1</v>
      </c>
      <c r="I251" s="56">
        <f t="shared" si="9"/>
        <v>9.375</v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45">
      <c r="A252" s="53">
        <v>69</v>
      </c>
      <c r="B252" s="53">
        <v>328</v>
      </c>
      <c r="C252" s="63" t="s">
        <v>324</v>
      </c>
      <c r="D252" s="53">
        <v>328</v>
      </c>
      <c r="E252" s="54">
        <v>1</v>
      </c>
      <c r="F252" s="54"/>
      <c r="G252" s="54"/>
      <c r="H252" s="54"/>
      <c r="I252" s="56">
        <f t="shared" si="9"/>
        <v>8.6666666666666661</v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4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4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4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4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4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4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4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4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4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4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4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4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4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45">
      <c r="A266" s="49" t="s">
        <v>174</v>
      </c>
      <c r="B266" s="55" t="str">
        <f>IF(B18="","",B18)</f>
        <v>Tilleul</v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4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45">
      <c r="A268" s="5"/>
      <c r="B268" s="91" t="s">
        <v>185</v>
      </c>
      <c r="C268" s="296" t="s">
        <v>186</v>
      </c>
      <c r="D268" s="296"/>
      <c r="E268" s="297" t="s">
        <v>187</v>
      </c>
      <c r="F268" s="298"/>
      <c r="G268" s="298"/>
      <c r="H268" s="299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28.5" x14ac:dyDescent="0.4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45">
      <c r="A270" s="53">
        <v>15</v>
      </c>
      <c r="B270" s="63">
        <v>40</v>
      </c>
      <c r="C270" s="63">
        <v>1</v>
      </c>
      <c r="D270" s="63">
        <v>3</v>
      </c>
      <c r="E270" s="54"/>
      <c r="F270" s="54"/>
      <c r="G270" s="54"/>
      <c r="H270" s="54">
        <v>1</v>
      </c>
      <c r="I270" s="56">
        <f>IFERROR(B270/A270,"")</f>
        <v>2.6666666666666665</v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45">
      <c r="A271" s="53">
        <v>20</v>
      </c>
      <c r="B271" s="63">
        <v>85</v>
      </c>
      <c r="C271" s="63">
        <v>2</v>
      </c>
      <c r="D271" s="63">
        <v>25</v>
      </c>
      <c r="E271" s="54"/>
      <c r="F271" s="54"/>
      <c r="G271" s="54"/>
      <c r="H271" s="54">
        <v>1</v>
      </c>
      <c r="I271" s="56">
        <f>IF(A271&lt;&gt;0,(B271-(B270-D270))/(A271-A270),"")</f>
        <v>9.6</v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45">
      <c r="A272" s="53">
        <v>25</v>
      </c>
      <c r="B272" s="63">
        <v>113</v>
      </c>
      <c r="C272" s="63">
        <v>3</v>
      </c>
      <c r="D272" s="63">
        <v>27</v>
      </c>
      <c r="E272" s="54"/>
      <c r="F272" s="54"/>
      <c r="G272" s="54"/>
      <c r="H272" s="54">
        <v>1</v>
      </c>
      <c r="I272" s="56">
        <f t="shared" ref="I272:I289" si="10">IF(A272&lt;&gt;0,(B272-(B271-D271))/(A272-A271),"")</f>
        <v>10.6</v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45">
      <c r="A273" s="53">
        <v>31</v>
      </c>
      <c r="B273" s="63">
        <v>155</v>
      </c>
      <c r="C273" s="63">
        <v>4</v>
      </c>
      <c r="D273" s="63">
        <v>36</v>
      </c>
      <c r="E273" s="54"/>
      <c r="F273" s="54"/>
      <c r="G273" s="54"/>
      <c r="H273" s="54">
        <v>1</v>
      </c>
      <c r="I273" s="56">
        <f t="shared" si="10"/>
        <v>11.5</v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45">
      <c r="A274" s="53">
        <v>37</v>
      </c>
      <c r="B274" s="63">
        <v>188</v>
      </c>
      <c r="C274" s="63">
        <v>5</v>
      </c>
      <c r="D274" s="63">
        <v>36</v>
      </c>
      <c r="E274" s="54"/>
      <c r="F274" s="54"/>
      <c r="G274" s="54"/>
      <c r="H274" s="54">
        <v>1</v>
      </c>
      <c r="I274" s="56">
        <f t="shared" si="10"/>
        <v>11.5</v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45">
      <c r="A275" s="53">
        <v>44</v>
      </c>
      <c r="B275" s="63">
        <v>230</v>
      </c>
      <c r="C275" s="63">
        <v>6</v>
      </c>
      <c r="D275" s="63">
        <v>43</v>
      </c>
      <c r="E275" s="54"/>
      <c r="F275" s="54"/>
      <c r="G275" s="54"/>
      <c r="H275" s="54">
        <v>1</v>
      </c>
      <c r="I275" s="56">
        <f t="shared" si="10"/>
        <v>11.142857142857142</v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45">
      <c r="A276" s="53">
        <v>52</v>
      </c>
      <c r="B276" s="63">
        <v>270</v>
      </c>
      <c r="C276" s="63">
        <v>7</v>
      </c>
      <c r="D276" s="63">
        <v>48</v>
      </c>
      <c r="E276" s="54">
        <v>0.5</v>
      </c>
      <c r="F276" s="54"/>
      <c r="G276" s="54"/>
      <c r="H276" s="54">
        <v>1</v>
      </c>
      <c r="I276" s="56">
        <f t="shared" si="10"/>
        <v>10.375</v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45">
      <c r="A277" s="53">
        <v>60</v>
      </c>
      <c r="B277" s="53">
        <v>297</v>
      </c>
      <c r="C277" s="63">
        <v>8</v>
      </c>
      <c r="D277" s="53">
        <v>47</v>
      </c>
      <c r="E277" s="54">
        <v>0.5</v>
      </c>
      <c r="F277" s="54"/>
      <c r="G277" s="54"/>
      <c r="H277" s="54">
        <v>1</v>
      </c>
      <c r="I277" s="56">
        <f t="shared" si="10"/>
        <v>9.375</v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45">
      <c r="A278" s="53">
        <v>69</v>
      </c>
      <c r="B278" s="53">
        <v>328</v>
      </c>
      <c r="C278" s="63" t="s">
        <v>324</v>
      </c>
      <c r="D278" s="53">
        <v>328</v>
      </c>
      <c r="E278" s="54">
        <v>1</v>
      </c>
      <c r="F278" s="54"/>
      <c r="G278" s="54"/>
      <c r="H278" s="54"/>
      <c r="I278" s="56">
        <f t="shared" si="10"/>
        <v>8.6666666666666661</v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4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4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4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4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4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4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4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4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4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4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4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4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4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4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4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4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4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4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4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4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4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4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4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4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4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4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4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4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4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4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4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4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4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4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4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4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4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4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4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4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4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4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4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4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4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4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4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4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4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4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4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4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4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4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4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4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4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4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4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4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4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4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4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4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4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4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4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4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4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4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4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4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4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4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4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4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4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4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4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4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4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4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4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4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4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4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4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4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4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4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4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4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4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4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4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4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4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4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4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4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4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4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4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4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4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4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4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4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4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4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4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4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4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4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4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4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4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4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4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4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4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4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4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4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4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4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4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4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4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4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4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4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4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4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4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4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4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4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4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4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4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4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4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4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4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4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4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4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4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topLeftCell="A4" zoomScale="115" zoomScaleNormal="115" workbookViewId="0">
      <selection activeCell="B17" sqref="B17"/>
    </sheetView>
  </sheetViews>
  <sheetFormatPr baseColWidth="10" defaultColWidth="11.3984375" defaultRowHeight="14.25" x14ac:dyDescent="0.45"/>
  <cols>
    <col min="1" max="1" width="5.86328125" style="1" customWidth="1"/>
    <col min="2" max="2" width="14.1328125" style="1" customWidth="1"/>
    <col min="3" max="3" width="62.1328125" style="1" customWidth="1"/>
    <col min="4" max="5" width="4.265625" style="1" customWidth="1"/>
    <col min="6" max="6" width="14.265625" style="1" customWidth="1"/>
    <col min="7" max="7" width="73.265625" style="1" bestFit="1" customWidth="1"/>
    <col min="8" max="10" width="11.3984375" style="1"/>
    <col min="11" max="11" width="12.59765625" style="1" customWidth="1"/>
    <col min="12" max="16384" width="11.3984375" style="1"/>
  </cols>
  <sheetData>
    <row r="1" spans="1:38" ht="14.65" thickBot="1" x14ac:dyDescent="0.5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5.9" thickBot="1" x14ac:dyDescent="0.8">
      <c r="A2" s="5"/>
      <c r="B2" s="311" t="s">
        <v>191</v>
      </c>
      <c r="C2" s="312"/>
      <c r="D2" s="312"/>
      <c r="E2" s="312"/>
      <c r="F2" s="312"/>
      <c r="G2" s="313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4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45">
      <c r="A4" s="5"/>
      <c r="B4" s="310"/>
      <c r="C4" s="310"/>
      <c r="D4" s="310"/>
      <c r="E4" s="310"/>
      <c r="F4" s="310"/>
      <c r="G4" s="310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4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4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4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4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4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4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4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4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4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4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4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4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4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4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4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4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4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4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4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4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4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4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4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4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4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4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4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4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4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4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4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4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4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4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4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4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4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4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4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4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4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4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4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4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4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4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4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4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4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4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4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4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4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4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4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4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4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4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4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4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4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4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4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4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4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4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4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4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4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4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4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4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4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4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4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4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4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4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4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4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4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4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4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4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4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4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4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4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4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4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4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4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4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4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4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4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4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4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4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45">
      <c r="C104" s="5"/>
      <c r="F104" s="5"/>
    </row>
    <row r="105" spans="3:35" x14ac:dyDescent="0.45">
      <c r="C105" s="5"/>
      <c r="F105" s="5"/>
    </row>
    <row r="106" spans="3:35" x14ac:dyDescent="0.45">
      <c r="C106" s="5"/>
      <c r="F106" s="5"/>
    </row>
    <row r="107" spans="3:35" x14ac:dyDescent="0.45">
      <c r="C107" s="5"/>
      <c r="F107" s="5"/>
    </row>
    <row r="108" spans="3:35" x14ac:dyDescent="0.45">
      <c r="C108" s="5"/>
      <c r="F108" s="5"/>
    </row>
    <row r="109" spans="3:35" x14ac:dyDescent="0.45">
      <c r="C109" s="5"/>
      <c r="F109" s="5"/>
    </row>
    <row r="110" spans="3:35" x14ac:dyDescent="0.45">
      <c r="C110" s="5"/>
      <c r="F110" s="5"/>
    </row>
    <row r="111" spans="3:35" x14ac:dyDescent="0.45">
      <c r="C111" s="5"/>
      <c r="F111" s="5"/>
    </row>
    <row r="112" spans="3:35" x14ac:dyDescent="0.45">
      <c r="C112" s="5"/>
      <c r="F112" s="5"/>
    </row>
    <row r="113" spans="3:6" x14ac:dyDescent="0.45">
      <c r="C113" s="5"/>
      <c r="F113" s="5"/>
    </row>
    <row r="114" spans="3:6" x14ac:dyDescent="0.45">
      <c r="C114" s="5"/>
      <c r="F114" s="5"/>
    </row>
    <row r="115" spans="3:6" x14ac:dyDescent="0.45">
      <c r="C115" s="5"/>
      <c r="F115" s="5"/>
    </row>
    <row r="116" spans="3:6" x14ac:dyDescent="0.45">
      <c r="C116" s="5"/>
      <c r="F116" s="5"/>
    </row>
    <row r="117" spans="3:6" x14ac:dyDescent="0.45">
      <c r="C117" s="5"/>
      <c r="F117" s="5"/>
    </row>
    <row r="118" spans="3:6" x14ac:dyDescent="0.45">
      <c r="C118" s="5"/>
      <c r="F118" s="5"/>
    </row>
    <row r="119" spans="3:6" x14ac:dyDescent="0.45">
      <c r="C119" s="5"/>
      <c r="F119" s="5"/>
    </row>
    <row r="120" spans="3:6" x14ac:dyDescent="0.45">
      <c r="C120" s="5"/>
      <c r="F120" s="5"/>
    </row>
    <row r="121" spans="3:6" x14ac:dyDescent="0.45">
      <c r="C121" s="5"/>
      <c r="F121" s="5"/>
    </row>
    <row r="122" spans="3:6" x14ac:dyDescent="0.45">
      <c r="C122" s="5"/>
      <c r="F122" s="5"/>
    </row>
    <row r="123" spans="3:6" x14ac:dyDescent="0.45">
      <c r="C123" s="5"/>
      <c r="F123" s="5"/>
    </row>
    <row r="124" spans="3:6" x14ac:dyDescent="0.45">
      <c r="C124" s="5"/>
      <c r="F124" s="5"/>
    </row>
    <row r="125" spans="3:6" x14ac:dyDescent="0.45">
      <c r="C125" s="5"/>
      <c r="F125" s="5"/>
    </row>
    <row r="126" spans="3:6" x14ac:dyDescent="0.45">
      <c r="C126" s="5"/>
      <c r="F126" s="5"/>
    </row>
    <row r="127" spans="3:6" x14ac:dyDescent="0.45">
      <c r="C127" s="5"/>
      <c r="F127" s="5"/>
    </row>
    <row r="128" spans="3:6" x14ac:dyDescent="0.45">
      <c r="C128" s="5"/>
      <c r="F128" s="5"/>
    </row>
    <row r="129" spans="3:6" x14ac:dyDescent="0.45">
      <c r="C129" s="5"/>
      <c r="F129" s="5"/>
    </row>
    <row r="130" spans="3:6" x14ac:dyDescent="0.45">
      <c r="C130" s="5"/>
      <c r="F130" s="5"/>
    </row>
    <row r="131" spans="3:6" x14ac:dyDescent="0.45">
      <c r="C131" s="5"/>
      <c r="F131" s="5"/>
    </row>
    <row r="132" spans="3:6" x14ac:dyDescent="0.45">
      <c r="F132" s="5"/>
    </row>
    <row r="133" spans="3:6" x14ac:dyDescent="0.45">
      <c r="F133" s="5"/>
    </row>
    <row r="134" spans="3:6" x14ac:dyDescent="0.45">
      <c r="F134" s="5"/>
    </row>
    <row r="135" spans="3:6" x14ac:dyDescent="0.45">
      <c r="F135" s="5"/>
    </row>
    <row r="136" spans="3:6" x14ac:dyDescent="0.45">
      <c r="F136" s="5"/>
    </row>
    <row r="137" spans="3:6" x14ac:dyDescent="0.45">
      <c r="F137" s="5"/>
    </row>
    <row r="138" spans="3:6" x14ac:dyDescent="0.45">
      <c r="F138" s="5"/>
    </row>
    <row r="139" spans="3:6" x14ac:dyDescent="0.45">
      <c r="F139" s="5"/>
    </row>
    <row r="140" spans="3:6" x14ac:dyDescent="0.45">
      <c r="F140" s="5"/>
    </row>
    <row r="141" spans="3:6" x14ac:dyDescent="0.45">
      <c r="F141" s="5"/>
    </row>
    <row r="142" spans="3:6" x14ac:dyDescent="0.45">
      <c r="F142" s="5"/>
    </row>
    <row r="143" spans="3:6" x14ac:dyDescent="0.45">
      <c r="F143" s="5"/>
    </row>
    <row r="144" spans="3:6" x14ac:dyDescent="0.45">
      <c r="F144" s="5"/>
    </row>
    <row r="145" spans="6:6" x14ac:dyDescent="0.45">
      <c r="F145" s="5"/>
    </row>
    <row r="146" spans="6:6" x14ac:dyDescent="0.45">
      <c r="F146" s="5"/>
    </row>
    <row r="147" spans="6:6" x14ac:dyDescent="0.45">
      <c r="F147" s="5"/>
    </row>
    <row r="148" spans="6:6" x14ac:dyDescent="0.45">
      <c r="F148" s="5"/>
    </row>
    <row r="149" spans="6:6" x14ac:dyDescent="0.45">
      <c r="F149" s="5"/>
    </row>
    <row r="150" spans="6:6" x14ac:dyDescent="0.45">
      <c r="F150" s="5"/>
    </row>
    <row r="151" spans="6:6" x14ac:dyDescent="0.45">
      <c r="F151" s="5"/>
    </row>
    <row r="152" spans="6:6" x14ac:dyDescent="0.45">
      <c r="F152" s="5"/>
    </row>
    <row r="153" spans="6:6" x14ac:dyDescent="0.45">
      <c r="F153" s="5"/>
    </row>
    <row r="154" spans="6:6" x14ac:dyDescent="0.45">
      <c r="F154" s="5"/>
    </row>
    <row r="155" spans="6:6" x14ac:dyDescent="0.45">
      <c r="F155" s="5"/>
    </row>
    <row r="156" spans="6:6" x14ac:dyDescent="0.45">
      <c r="F156" s="5"/>
    </row>
    <row r="157" spans="6:6" x14ac:dyDescent="0.45">
      <c r="F157" s="5"/>
    </row>
    <row r="158" spans="6:6" x14ac:dyDescent="0.45">
      <c r="F158" s="5"/>
    </row>
    <row r="159" spans="6:6" x14ac:dyDescent="0.45">
      <c r="F159" s="5"/>
    </row>
    <row r="160" spans="6:6" x14ac:dyDescent="0.45">
      <c r="F160" s="5"/>
    </row>
    <row r="161" spans="6:6" x14ac:dyDescent="0.45">
      <c r="F161" s="5"/>
    </row>
    <row r="162" spans="6:6" x14ac:dyDescent="0.45">
      <c r="F162" s="5"/>
    </row>
    <row r="163" spans="6:6" x14ac:dyDescent="0.4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3984375" defaultRowHeight="14.25" x14ac:dyDescent="0.45"/>
  <cols>
    <col min="1" max="1" width="6.86328125" style="71" bestFit="1" customWidth="1"/>
    <col min="2" max="4" width="11.3984375" style="71"/>
    <col min="5" max="5" width="9.59765625" style="71" customWidth="1"/>
    <col min="6" max="7" width="11.3984375" style="71"/>
    <col min="8" max="8" width="10.73046875" style="71" customWidth="1"/>
    <col min="9" max="9" width="9.3984375" style="71" customWidth="1"/>
    <col min="10" max="11" width="10.59765625" style="71" bestFit="1" customWidth="1"/>
    <col min="12" max="12" width="14" style="71" bestFit="1" customWidth="1"/>
    <col min="13" max="13" width="14" style="71" customWidth="1"/>
    <col min="14" max="23" width="11.3984375" style="71"/>
    <col min="24" max="24" width="11.73046875" style="71" bestFit="1" customWidth="1"/>
    <col min="25" max="25" width="14.59765625" style="71" bestFit="1" customWidth="1"/>
    <col min="26" max="26" width="12.3984375" style="71" bestFit="1" customWidth="1"/>
    <col min="27" max="27" width="9.73046875" style="71" bestFit="1" customWidth="1"/>
    <col min="28" max="28" width="11" style="71" bestFit="1" customWidth="1"/>
    <col min="29" max="29" width="9.3984375" style="71" bestFit="1" customWidth="1"/>
    <col min="30" max="31" width="9.3984375" style="71" customWidth="1"/>
    <col min="32" max="32" width="11.3984375" style="71"/>
    <col min="33" max="34" width="14" style="71" bestFit="1" customWidth="1"/>
    <col min="35" max="35" width="10.59765625" style="71" bestFit="1" customWidth="1"/>
    <col min="36" max="36" width="9.3984375" style="71" bestFit="1" customWidth="1"/>
    <col min="37" max="38" width="10.59765625" style="71" bestFit="1" customWidth="1"/>
    <col min="39" max="41" width="10.59765625" style="71" customWidth="1"/>
    <col min="42" max="42" width="9" style="71" bestFit="1" customWidth="1"/>
    <col min="43" max="43" width="10.59765625" style="71" bestFit="1" customWidth="1"/>
    <col min="44" max="44" width="9.265625" style="71" bestFit="1" customWidth="1"/>
    <col min="45" max="45" width="11.73046875" style="71" bestFit="1" customWidth="1"/>
    <col min="46" max="46" width="8.3984375" style="71" bestFit="1" customWidth="1"/>
    <col min="47" max="47" width="9.3984375" style="71" bestFit="1" customWidth="1"/>
    <col min="48" max="48" width="9.73046875" style="71" bestFit="1" customWidth="1"/>
    <col min="49" max="49" width="11" style="71" bestFit="1" customWidth="1"/>
    <col min="50" max="50" width="9.3984375" style="71" bestFit="1" customWidth="1"/>
    <col min="51" max="52" width="9.3984375" style="71" customWidth="1"/>
    <col min="53" max="53" width="10.59765625" style="71" bestFit="1" customWidth="1"/>
    <col min="54" max="54" width="14.265625" style="71" customWidth="1"/>
    <col min="55" max="55" width="14" style="71" customWidth="1"/>
    <col min="56" max="56" width="10.59765625" style="71" bestFit="1" customWidth="1"/>
    <col min="57" max="57" width="9.3984375" style="71" bestFit="1" customWidth="1"/>
    <col min="58" max="59" width="10.59765625" style="71" bestFit="1" customWidth="1"/>
    <col min="60" max="62" width="10.59765625" style="71" customWidth="1"/>
    <col min="63" max="63" width="9" style="71" bestFit="1" customWidth="1"/>
    <col min="64" max="64" width="10.59765625" style="71" bestFit="1" customWidth="1"/>
    <col min="65" max="65" width="9.265625" style="71" bestFit="1" customWidth="1"/>
    <col min="66" max="66" width="11.73046875" style="71" bestFit="1" customWidth="1"/>
    <col min="67" max="67" width="8.3984375" style="71" bestFit="1" customWidth="1"/>
    <col min="68" max="68" width="9.3984375" style="71" bestFit="1" customWidth="1"/>
    <col min="69" max="69" width="9.73046875" style="71" bestFit="1" customWidth="1"/>
    <col min="70" max="70" width="11" style="71" bestFit="1" customWidth="1"/>
    <col min="71" max="71" width="9.3984375" style="71" bestFit="1" customWidth="1"/>
    <col min="72" max="73" width="9.3984375" style="71" customWidth="1"/>
    <col min="74" max="74" width="10.59765625" style="71" bestFit="1" customWidth="1"/>
    <col min="75" max="75" width="14" style="71" bestFit="1" customWidth="1"/>
    <col min="76" max="76" width="13.86328125" style="71" customWidth="1"/>
    <col min="77" max="77" width="10.59765625" style="71" bestFit="1" customWidth="1"/>
    <col min="78" max="78" width="9.3984375" style="71" bestFit="1" customWidth="1"/>
    <col min="79" max="80" width="10.59765625" style="71" bestFit="1" customWidth="1"/>
    <col min="81" max="83" width="10.59765625" style="71" customWidth="1"/>
    <col min="84" max="84" width="11.3984375" style="71"/>
    <col min="85" max="85" width="10.59765625" style="71" bestFit="1" customWidth="1"/>
    <col min="86" max="86" width="9.265625" style="71" bestFit="1" customWidth="1"/>
    <col min="87" max="87" width="11.73046875" style="71" bestFit="1" customWidth="1"/>
    <col min="88" max="88" width="8.3984375" style="71" bestFit="1" customWidth="1"/>
    <col min="89" max="89" width="9.3984375" style="71" bestFit="1" customWidth="1"/>
    <col min="90" max="90" width="9.73046875" style="71" bestFit="1" customWidth="1"/>
    <col min="91" max="91" width="11" style="71" bestFit="1" customWidth="1"/>
    <col min="92" max="92" width="9.3984375" style="71" bestFit="1" customWidth="1"/>
    <col min="93" max="94" width="9.3984375" style="71" customWidth="1"/>
    <col min="95" max="95" width="11.3984375" style="71"/>
    <col min="96" max="97" width="14" style="71" customWidth="1"/>
    <col min="98" max="98" width="10.59765625" style="71" bestFit="1" customWidth="1"/>
    <col min="99" max="99" width="9.3984375" style="71" bestFit="1" customWidth="1"/>
    <col min="100" max="101" width="10.59765625" style="71" bestFit="1" customWidth="1"/>
    <col min="102" max="104" width="10.59765625" style="71" customWidth="1"/>
    <col min="105" max="105" width="9" style="71" bestFit="1" customWidth="1"/>
    <col min="106" max="106" width="10.59765625" style="71" bestFit="1" customWidth="1"/>
    <col min="107" max="107" width="9.265625" style="71" bestFit="1" customWidth="1"/>
    <col min="108" max="108" width="11.73046875" style="71" bestFit="1" customWidth="1"/>
    <col min="109" max="109" width="8.3984375" style="71" bestFit="1" customWidth="1"/>
    <col min="110" max="110" width="9.3984375" style="71" bestFit="1" customWidth="1"/>
    <col min="111" max="111" width="9.73046875" style="71" bestFit="1" customWidth="1"/>
    <col min="112" max="112" width="11" style="71" bestFit="1" customWidth="1"/>
    <col min="113" max="113" width="9.3984375" style="71" bestFit="1" customWidth="1"/>
    <col min="114" max="115" width="9.3984375" style="71" customWidth="1"/>
    <col min="116" max="116" width="10.59765625" style="71" bestFit="1" customWidth="1"/>
    <col min="117" max="117" width="14.265625" style="71" customWidth="1"/>
    <col min="118" max="118" width="14" style="71" bestFit="1" customWidth="1"/>
    <col min="119" max="119" width="10.59765625" style="71" bestFit="1" customWidth="1"/>
    <col min="120" max="120" width="9.3984375" style="71" bestFit="1" customWidth="1"/>
    <col min="121" max="122" width="10.59765625" style="71" bestFit="1" customWidth="1"/>
    <col min="123" max="125" width="10.59765625" style="71" customWidth="1"/>
    <col min="126" max="126" width="9" style="71" bestFit="1" customWidth="1"/>
    <col min="127" max="127" width="10.59765625" style="71" bestFit="1" customWidth="1"/>
    <col min="128" max="128" width="9.265625" style="71" bestFit="1" customWidth="1"/>
    <col min="129" max="129" width="11.73046875" style="71" bestFit="1" customWidth="1"/>
    <col min="130" max="130" width="8.3984375" style="71" bestFit="1" customWidth="1"/>
    <col min="131" max="131" width="9.3984375" style="71" bestFit="1" customWidth="1"/>
    <col min="132" max="132" width="9.73046875" style="71" bestFit="1" customWidth="1"/>
    <col min="133" max="133" width="11" style="71" bestFit="1" customWidth="1"/>
    <col min="134" max="134" width="9.3984375" style="71" bestFit="1" customWidth="1"/>
    <col min="135" max="136" width="9.3984375" style="71" customWidth="1"/>
    <col min="137" max="137" width="10.59765625" style="71" bestFit="1" customWidth="1"/>
    <col min="138" max="139" width="14" style="71" customWidth="1"/>
    <col min="140" max="140" width="10.59765625" style="71" bestFit="1" customWidth="1"/>
    <col min="141" max="141" width="9.3984375" style="71" bestFit="1" customWidth="1"/>
    <col min="142" max="143" width="10.59765625" style="71" bestFit="1" customWidth="1"/>
    <col min="144" max="146" width="10.59765625" style="71" customWidth="1"/>
    <col min="147" max="147" width="9" style="71" bestFit="1" customWidth="1"/>
    <col min="148" max="148" width="10.59765625" style="71" bestFit="1" customWidth="1"/>
    <col min="149" max="149" width="9.265625" style="71" bestFit="1" customWidth="1"/>
    <col min="150" max="150" width="11.73046875" style="71" bestFit="1" customWidth="1"/>
    <col min="151" max="151" width="8.3984375" style="71" bestFit="1" customWidth="1"/>
    <col min="152" max="152" width="9.3984375" style="71" bestFit="1" customWidth="1"/>
    <col min="153" max="153" width="9.73046875" style="71" bestFit="1" customWidth="1"/>
    <col min="154" max="154" width="11" style="71" bestFit="1" customWidth="1"/>
    <col min="155" max="155" width="9.3984375" style="71" bestFit="1" customWidth="1"/>
    <col min="156" max="157" width="9.3984375" style="71" customWidth="1"/>
    <col min="158" max="158" width="11.3984375" style="71"/>
    <col min="159" max="160" width="14" style="71" bestFit="1" customWidth="1"/>
    <col min="161" max="161" width="10.59765625" style="71" bestFit="1" customWidth="1"/>
    <col min="162" max="162" width="9.3984375" style="71" bestFit="1" customWidth="1"/>
    <col min="163" max="164" width="10.59765625" style="71" bestFit="1" customWidth="1"/>
    <col min="165" max="167" width="10.59765625" style="71" customWidth="1"/>
    <col min="168" max="168" width="9" style="71" bestFit="1" customWidth="1"/>
    <col min="169" max="169" width="10.59765625" style="71" bestFit="1" customWidth="1"/>
    <col min="170" max="170" width="9.265625" style="71" bestFit="1" customWidth="1"/>
    <col min="171" max="171" width="11.73046875" style="71" bestFit="1" customWidth="1"/>
    <col min="172" max="172" width="8.1328125" style="71" bestFit="1" customWidth="1"/>
    <col min="173" max="173" width="9.3984375" style="71" bestFit="1" customWidth="1"/>
    <col min="174" max="174" width="9.73046875" style="71" bestFit="1" customWidth="1"/>
    <col min="175" max="175" width="11" style="71" bestFit="1" customWidth="1"/>
    <col min="176" max="176" width="9.3984375" style="71" bestFit="1" customWidth="1"/>
    <col min="177" max="178" width="9.3984375" style="71" customWidth="1"/>
    <col min="179" max="179" width="10.59765625" style="71" bestFit="1" customWidth="1"/>
    <col min="180" max="181" width="14" style="71" bestFit="1" customWidth="1"/>
    <col min="182" max="182" width="10.59765625" style="71" bestFit="1" customWidth="1"/>
    <col min="183" max="183" width="9.3984375" style="71" bestFit="1" customWidth="1"/>
    <col min="184" max="185" width="10.59765625" style="71" bestFit="1" customWidth="1"/>
    <col min="186" max="188" width="10.59765625" style="71" customWidth="1"/>
    <col min="189" max="189" width="9" style="71" bestFit="1" customWidth="1"/>
    <col min="190" max="190" width="10.59765625" style="71" bestFit="1" customWidth="1"/>
    <col min="191" max="191" width="9.265625" style="71" bestFit="1" customWidth="1"/>
    <col min="192" max="192" width="11.3984375" style="71"/>
    <col min="193" max="193" width="8.3984375" style="71" bestFit="1" customWidth="1"/>
    <col min="194" max="194" width="9.3984375" style="71" bestFit="1" customWidth="1"/>
    <col min="195" max="195" width="9.73046875" style="71" bestFit="1" customWidth="1"/>
    <col min="196" max="196" width="11" style="71" bestFit="1" customWidth="1"/>
    <col min="197" max="197" width="9.3984375" style="71" bestFit="1" customWidth="1"/>
    <col min="198" max="199" width="9.3984375" style="71" customWidth="1"/>
    <col min="200" max="200" width="10.59765625" style="71" bestFit="1" customWidth="1"/>
    <col min="201" max="201" width="14" style="71" customWidth="1"/>
    <col min="202" max="202" width="14.265625" style="71" customWidth="1"/>
    <col min="203" max="203" width="10.59765625" style="71" bestFit="1" customWidth="1"/>
    <col min="204" max="204" width="9.3984375" style="71" bestFit="1" customWidth="1"/>
    <col min="205" max="206" width="10.59765625" style="71" bestFit="1" customWidth="1"/>
    <col min="207" max="209" width="10.59765625" style="71" customWidth="1"/>
    <col min="210" max="210" width="9" style="71" bestFit="1" customWidth="1"/>
    <col min="211" max="211" width="10.59765625" style="71" bestFit="1" customWidth="1"/>
    <col min="212" max="212" width="9.265625" style="71" bestFit="1" customWidth="1"/>
    <col min="213" max="213" width="11.73046875" style="71" bestFit="1" customWidth="1"/>
    <col min="214" max="214" width="8.3984375" style="71" bestFit="1" customWidth="1"/>
    <col min="215" max="215" width="9.3984375" style="71" bestFit="1" customWidth="1"/>
    <col min="216" max="216" width="9.73046875" style="71" bestFit="1" customWidth="1"/>
    <col min="217" max="217" width="11" style="71" bestFit="1" customWidth="1"/>
    <col min="218" max="218" width="9.3984375" style="71" bestFit="1" customWidth="1"/>
    <col min="219" max="16384" width="11.3984375" style="71"/>
  </cols>
  <sheetData>
    <row r="1" spans="1:218" s="5" customFormat="1" ht="25.9" thickBot="1" x14ac:dyDescent="0.8">
      <c r="B1" s="317" t="s">
        <v>176</v>
      </c>
      <c r="C1" s="318"/>
      <c r="D1" s="318"/>
      <c r="E1" s="318"/>
      <c r="F1" s="318"/>
      <c r="G1" s="318"/>
      <c r="H1" s="319"/>
      <c r="I1" s="314" t="str">
        <f>IF('Données projet'!$B$9="","",'Données projet'!$B$9)</f>
        <v>Chêne sessile</v>
      </c>
      <c r="J1" s="315"/>
      <c r="K1" s="315"/>
      <c r="L1" s="315"/>
      <c r="M1" s="315"/>
      <c r="N1" s="315"/>
      <c r="O1" s="315"/>
      <c r="P1" s="315"/>
      <c r="Q1" s="315"/>
      <c r="R1" s="315"/>
      <c r="S1" s="315"/>
      <c r="T1" s="315"/>
      <c r="U1" s="315"/>
      <c r="V1" s="315"/>
      <c r="W1" s="315"/>
      <c r="X1" s="315"/>
      <c r="Y1" s="315"/>
      <c r="Z1" s="315"/>
      <c r="AA1" s="315"/>
      <c r="AB1" s="315"/>
      <c r="AC1" s="316"/>
      <c r="AD1" s="315" t="str">
        <f>IF('Données projet'!$B$10="","",'Données projet'!$B$10)</f>
        <v>Séquoia toujours vert</v>
      </c>
      <c r="AE1" s="315"/>
      <c r="AF1" s="315"/>
      <c r="AG1" s="315"/>
      <c r="AH1" s="315"/>
      <c r="AI1" s="315"/>
      <c r="AJ1" s="315"/>
      <c r="AK1" s="315"/>
      <c r="AL1" s="315"/>
      <c r="AM1" s="315"/>
      <c r="AN1" s="315"/>
      <c r="AO1" s="315"/>
      <c r="AP1" s="315"/>
      <c r="AQ1" s="315"/>
      <c r="AR1" s="315"/>
      <c r="AS1" s="315"/>
      <c r="AT1" s="315"/>
      <c r="AU1" s="315"/>
      <c r="AV1" s="315"/>
      <c r="AW1" s="315"/>
      <c r="AX1" s="316"/>
      <c r="AY1" s="314" t="str">
        <f>IF('Données projet'!$B$11="","",'Données projet'!$B$11)</f>
        <v>Douglas</v>
      </c>
      <c r="AZ1" s="315"/>
      <c r="BA1" s="315"/>
      <c r="BB1" s="315"/>
      <c r="BC1" s="315"/>
      <c r="BD1" s="315"/>
      <c r="BE1" s="315"/>
      <c r="BF1" s="315"/>
      <c r="BG1" s="315"/>
      <c r="BH1" s="315"/>
      <c r="BI1" s="315"/>
      <c r="BJ1" s="315"/>
      <c r="BK1" s="315"/>
      <c r="BL1" s="315"/>
      <c r="BM1" s="315"/>
      <c r="BN1" s="315"/>
      <c r="BO1" s="315"/>
      <c r="BP1" s="315"/>
      <c r="BQ1" s="315"/>
      <c r="BR1" s="315"/>
      <c r="BS1" s="316"/>
      <c r="BT1" s="314" t="str">
        <f>IF('Données projet'!$B$12="","",'Données projet'!$B$12)</f>
        <v>Cèdre de l'Atlas</v>
      </c>
      <c r="BU1" s="315"/>
      <c r="BV1" s="315"/>
      <c r="BW1" s="315"/>
      <c r="BX1" s="315"/>
      <c r="BY1" s="315"/>
      <c r="BZ1" s="315"/>
      <c r="CA1" s="315"/>
      <c r="CB1" s="315"/>
      <c r="CC1" s="315"/>
      <c r="CD1" s="315"/>
      <c r="CE1" s="315"/>
      <c r="CF1" s="315"/>
      <c r="CG1" s="315"/>
      <c r="CH1" s="315"/>
      <c r="CI1" s="315"/>
      <c r="CJ1" s="315"/>
      <c r="CK1" s="315"/>
      <c r="CL1" s="315"/>
      <c r="CM1" s="315"/>
      <c r="CN1" s="316"/>
      <c r="CO1" s="314" t="str">
        <f>IF('Données projet'!$B$13="","",'Données projet'!$B$13)</f>
        <v>Robinier faux-acacia</v>
      </c>
      <c r="CP1" s="315"/>
      <c r="CQ1" s="315"/>
      <c r="CR1" s="315"/>
      <c r="CS1" s="315"/>
      <c r="CT1" s="315"/>
      <c r="CU1" s="315"/>
      <c r="CV1" s="315"/>
      <c r="CW1" s="315"/>
      <c r="CX1" s="315"/>
      <c r="CY1" s="315"/>
      <c r="CZ1" s="315"/>
      <c r="DA1" s="315"/>
      <c r="DB1" s="315"/>
      <c r="DC1" s="315"/>
      <c r="DD1" s="315"/>
      <c r="DE1" s="315"/>
      <c r="DF1" s="315"/>
      <c r="DG1" s="315"/>
      <c r="DH1" s="315"/>
      <c r="DI1" s="316"/>
      <c r="DJ1" s="314" t="str">
        <f>IF('Données projet'!$B$14="","",'Données projet'!$B$14)</f>
        <v>Charme</v>
      </c>
      <c r="DK1" s="315"/>
      <c r="DL1" s="315"/>
      <c r="DM1" s="315"/>
      <c r="DN1" s="315"/>
      <c r="DO1" s="315"/>
      <c r="DP1" s="315"/>
      <c r="DQ1" s="315"/>
      <c r="DR1" s="315"/>
      <c r="DS1" s="315"/>
      <c r="DT1" s="315"/>
      <c r="DU1" s="315"/>
      <c r="DV1" s="315"/>
      <c r="DW1" s="315"/>
      <c r="DX1" s="315"/>
      <c r="DY1" s="315"/>
      <c r="DZ1" s="315"/>
      <c r="EA1" s="315"/>
      <c r="EB1" s="315"/>
      <c r="EC1" s="315"/>
      <c r="ED1" s="316"/>
      <c r="EE1" s="314" t="str">
        <f>IF('Données projet'!$B$15="","",'Données projet'!$B$15)</f>
        <v>Châtaignier</v>
      </c>
      <c r="EF1" s="315"/>
      <c r="EG1" s="315"/>
      <c r="EH1" s="315"/>
      <c r="EI1" s="315"/>
      <c r="EJ1" s="315"/>
      <c r="EK1" s="315"/>
      <c r="EL1" s="315"/>
      <c r="EM1" s="315"/>
      <c r="EN1" s="315"/>
      <c r="EO1" s="315"/>
      <c r="EP1" s="315"/>
      <c r="EQ1" s="315"/>
      <c r="ER1" s="315"/>
      <c r="ES1" s="315"/>
      <c r="ET1" s="315"/>
      <c r="EU1" s="315"/>
      <c r="EV1" s="315"/>
      <c r="EW1" s="315"/>
      <c r="EX1" s="315"/>
      <c r="EY1" s="316"/>
      <c r="EZ1" s="314" t="str">
        <f>IF('Données projet'!$B$16="","",'Données projet'!$B$16)</f>
        <v>Alisier torminal</v>
      </c>
      <c r="FA1" s="315"/>
      <c r="FB1" s="315"/>
      <c r="FC1" s="315"/>
      <c r="FD1" s="315"/>
      <c r="FE1" s="315"/>
      <c r="FF1" s="315"/>
      <c r="FG1" s="315"/>
      <c r="FH1" s="315"/>
      <c r="FI1" s="315"/>
      <c r="FJ1" s="315"/>
      <c r="FK1" s="315"/>
      <c r="FL1" s="315"/>
      <c r="FM1" s="315"/>
      <c r="FN1" s="315"/>
      <c r="FO1" s="315"/>
      <c r="FP1" s="315"/>
      <c r="FQ1" s="315"/>
      <c r="FR1" s="315"/>
      <c r="FS1" s="315"/>
      <c r="FT1" s="316"/>
      <c r="FU1" s="314" t="str">
        <f>IF('Données projet'!$B$17="","",'Données projet'!$B$17)</f>
        <v>Cormier</v>
      </c>
      <c r="FV1" s="315"/>
      <c r="FW1" s="315"/>
      <c r="FX1" s="315"/>
      <c r="FY1" s="315"/>
      <c r="FZ1" s="315"/>
      <c r="GA1" s="315"/>
      <c r="GB1" s="315"/>
      <c r="GC1" s="315"/>
      <c r="GD1" s="315"/>
      <c r="GE1" s="315"/>
      <c r="GF1" s="315"/>
      <c r="GG1" s="315"/>
      <c r="GH1" s="315"/>
      <c r="GI1" s="315"/>
      <c r="GJ1" s="315"/>
      <c r="GK1" s="315"/>
      <c r="GL1" s="315"/>
      <c r="GM1" s="315"/>
      <c r="GN1" s="315"/>
      <c r="GO1" s="316"/>
      <c r="GP1" s="314" t="str">
        <f>IF('Données projet'!$B$18="","",'Données projet'!$B$18)</f>
        <v>Tilleul</v>
      </c>
      <c r="GQ1" s="315"/>
      <c r="GR1" s="315"/>
      <c r="GS1" s="315"/>
      <c r="GT1" s="315"/>
      <c r="GU1" s="315"/>
      <c r="GV1" s="315"/>
      <c r="GW1" s="315"/>
      <c r="GX1" s="315"/>
      <c r="GY1" s="315"/>
      <c r="GZ1" s="315"/>
      <c r="HA1" s="315"/>
      <c r="HB1" s="315"/>
      <c r="HC1" s="315"/>
      <c r="HD1" s="315"/>
      <c r="HE1" s="315"/>
      <c r="HF1" s="315"/>
      <c r="HG1" s="315"/>
      <c r="HH1" s="315"/>
      <c r="HI1" s="315"/>
      <c r="HJ1" s="316"/>
    </row>
    <row r="2" spans="1:218" s="5" customFormat="1" ht="57.4" thickBot="1" x14ac:dyDescent="0.5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4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432.80275651765203</v>
      </c>
      <c r="T3" s="62">
        <f>IF('Données projet'!E9&gt;30,$R$33-$H$33,LOOKUP('Données projet'!$E$9,$A$3:$A$203,R3:R203)-LOOKUP('Données projet'!$E$9,$A$3:$A$203,$H$3:$H$203))</f>
        <v>203.89279893419919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413.08876898406481</v>
      </c>
      <c r="AO3" s="62">
        <f>IF('Données projet'!E10&gt;30,$AM$33-$H$33,LOOKUP('Données projet'!$E$10,$A$3:$A$203,AM3:AM203)-LOOKUP('Données projet'!$E$10,$A$3:$A$203,$H$3:$H$203))</f>
        <v>520.31320932826566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507.66185230065889</v>
      </c>
      <c r="BJ3" s="62">
        <f>IF('Données projet'!E11&gt;30,$BH$33-$H$33,LOOKUP('Données projet'!$E$11,$A$3:$A$203,BH3:BH203)-LOOKUP('Données projet'!$E$11,$A$3:$A$203,$H$3:$H$203))</f>
        <v>640.14375617778342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>
        <f>BY3*VLOOKUP('Données projet'!$B$12,Paramètres!$A$1:$I$89,3,0)*VLOOKUP('Données projet'!$B$12,Paramètres!$A$1:$I$89,5,0)</f>
        <v>0</v>
      </c>
      <c r="CA3" s="13">
        <v>0</v>
      </c>
      <c r="CB3" s="15">
        <f>(BZ3+CA3)*0.475*44/12</f>
        <v>0</v>
      </c>
      <c r="CC3" s="62">
        <f>CB3+(BT3+BU3)*44/12</f>
        <v>165</v>
      </c>
      <c r="CD3" s="62">
        <f ca="1">AVERAGE(OFFSET($CC$3,0,0,'Données projet'!$E$12+1,1))-AVERAGE(OFFSET($H$3,0,0,'Données projet'!$E$12+1,1))</f>
        <v>289.21044803824958</v>
      </c>
      <c r="CE3" s="62">
        <f>IF('Données projet'!E12&gt;30,$CC$33-$H$33,LOOKUP('Données projet'!$E$12,$A$3:$A$203,CC3:CC203)-LOOKUP('Données projet'!$E$12,$A$3:$A$203,$H$3:$H$203))</f>
        <v>196.11836398299445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>
        <f>CT3*VLOOKUP('Données projet'!$B$13,Paramètres!$A$1:$I$89,3,0)*VLOOKUP('Données projet'!$B$13,Paramètres!$A$1:$I$89,5,0)</f>
        <v>0</v>
      </c>
      <c r="CV3" s="13">
        <v>0</v>
      </c>
      <c r="CW3" s="15">
        <f>(CU3+CV3)*0.475*44/12</f>
        <v>0</v>
      </c>
      <c r="CX3" s="62">
        <f>CW3+(CO3+CP3)*44/12</f>
        <v>165</v>
      </c>
      <c r="CY3" s="62">
        <f ca="1">AVERAGE(OFFSET($CX$3,0,0,'Données projet'!$E$13+1,1))-AVERAGE(OFFSET($H$3,0,0,'Données projet'!$E$13+1,1))</f>
        <v>376.68007030857598</v>
      </c>
      <c r="CZ3" s="62">
        <f>IF('Données projet'!E13&gt;30,$CX$33-$H$33,LOOKUP('Données projet'!$E$13,$A$3:$A$203,CX3:CX203)-LOOKUP('Données projet'!$E$13,$A$3:$A$203,$H$3:$H$203))</f>
        <v>532.90758914457626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>
        <f>DO3*VLOOKUP('Données projet'!$B$14,Paramètres!$A$1:$I$89,3,0)*VLOOKUP('Données projet'!$B$14,Paramètres!$A$1:$I$89,5,0)</f>
        <v>0</v>
      </c>
      <c r="DQ3" s="13">
        <v>0</v>
      </c>
      <c r="DR3" s="15">
        <f>(DP3+DQ3)*0.475*44/12</f>
        <v>0</v>
      </c>
      <c r="DS3" s="62">
        <f>DR3+(DJ3+DK3)*44/12</f>
        <v>165</v>
      </c>
      <c r="DT3" s="62">
        <f ca="1">AVERAGE(OFFSET($DS$3,0,0,'Données projet'!$E$14+1,1))-AVERAGE(OFFSET($H$3,0,0,'Données projet'!$E$14+1,1))</f>
        <v>364.63161066507769</v>
      </c>
      <c r="DU3" s="62">
        <f>IF('Données projet'!E14&gt;30,$DS$33-$H$33,LOOKUP('Données projet'!$E$14,$A$3:$A$203,DS3:DS203)-LOOKUP('Données projet'!$E$14,$A$3:$A$203,$H$3:$H$203))</f>
        <v>355.44729904860708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>
        <f>EJ3*VLOOKUP('Données projet'!$B$15,Paramètres!$A$1:$I$89,3,0)*VLOOKUP('Données projet'!$B$15,Paramètres!$A$1:$I$89,5,0)</f>
        <v>0</v>
      </c>
      <c r="EL3" s="13">
        <v>0</v>
      </c>
      <c r="EM3" s="15">
        <f>(EK3+EL3)*0.475*44/12</f>
        <v>0</v>
      </c>
      <c r="EN3" s="62">
        <f>EM3+(EE3+EF3)*44/12</f>
        <v>165</v>
      </c>
      <c r="EO3" s="62">
        <f ca="1">AVERAGE(OFFSET($EN$3,0,0,'Données projet'!$E$15+1,1))-AVERAGE(OFFSET($H$3,0,0,'Données projet'!$E$15+1,1))</f>
        <v>293.59366973965774</v>
      </c>
      <c r="EP3" s="62">
        <f>IF('Données projet'!E15&gt;30,$EN$33-$H$33,LOOKUP('Données projet'!$E$15,$A$3:$A$203,EN3:EN203)-LOOKUP('Données projet'!$E$15,$A$3:$A$203,$H$3:$H$203))</f>
        <v>288.13804536120426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>
        <f>FE3*VLOOKUP('Données projet'!$B$16,Paramètres!$A$1:$I$89,3,0)*VLOOKUP('Données projet'!$B$16,Paramètres!$A$1:$I$89,5,0)</f>
        <v>0</v>
      </c>
      <c r="FG3" s="13">
        <v>0</v>
      </c>
      <c r="FH3" s="15">
        <f>(FF3+FG3)*0.475*44/12</f>
        <v>0</v>
      </c>
      <c r="FI3" s="62">
        <f>FH3+(EZ3+FA3)*44/12</f>
        <v>165</v>
      </c>
      <c r="FJ3" s="62">
        <f ca="1">AVERAGE(OFFSET($FI$3,0,0,'Données projet'!$E$16+1,1))-AVERAGE(OFFSET($H$3,0,0,'Données projet'!$E$16+1,1))</f>
        <v>369.69145521630799</v>
      </c>
      <c r="FK3" s="62">
        <f>IF('Données projet'!E16&gt;30,$FI$33-$H$33,LOOKUP('Données projet'!$E$16,$A$3:$A$203,FI3:FI203)-LOOKUP('Données projet'!$E$16,$A$3:$A$203,$H$3:$H$203))</f>
        <v>360.24112103688719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>
        <f>FZ3*VLOOKUP('Données projet'!$B$17,Paramètres!$A$1:$I$89,3,0)*VLOOKUP('Données projet'!$B$17,Paramètres!$A$1:$I$89,5,0)</f>
        <v>0</v>
      </c>
      <c r="GB3" s="13">
        <v>0</v>
      </c>
      <c r="GC3" s="15">
        <f>(GA3+GB3)*0.475*44/12</f>
        <v>0</v>
      </c>
      <c r="GD3" s="62">
        <f>GC3+(FU3+FV3)*44/12</f>
        <v>165</v>
      </c>
      <c r="GE3" s="62">
        <f ca="1">AVERAGE(OFFSET($GD$3,0,0,'Données projet'!$E$17+1,1))-AVERAGE(OFFSET($H$3,0,0,'Données projet'!$E$17+1,1))</f>
        <v>405.06394904053946</v>
      </c>
      <c r="GF3" s="62">
        <f>IF('Données projet'!E17&gt;30,$GD$33-$H$33,LOOKUP('Données projet'!$E$17,$A$3:$A$203,GD3:GD203)-LOOKUP('Données projet'!$E$17,$A$3:$A$203,$H$3:$H$203))</f>
        <v>393.75247087518198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>
        <f>GU3*VLOOKUP('Données projet'!$B$18,Paramètres!$A$1:$I$89,3,0)*VLOOKUP('Données projet'!$B$18,Paramètres!$A$1:$I$89,5,0)</f>
        <v>0</v>
      </c>
      <c r="GW3" s="13">
        <v>0</v>
      </c>
      <c r="GX3" s="15">
        <f>(GV3+GW3)*0.475*44/12</f>
        <v>0</v>
      </c>
      <c r="GY3" s="62">
        <f>GX3+(GP3+GQ3)*44/12</f>
        <v>165</v>
      </c>
      <c r="GZ3" s="62">
        <f ca="1">AVERAGE(OFFSET($GY$3,0,0,'Données projet'!$E$18+1,1))-AVERAGE(OFFSET($H$3,0,0,'Données projet'!$E$18+1,1))</f>
        <v>273.21861937609918</v>
      </c>
      <c r="HA3" s="62">
        <f>IF('Données projet'!E18&gt;30,$GY$33-$H$33,LOOKUP('Données projet'!$E$18,$A$3:$A$203,GY3:GY203)-LOOKUP('Données projet'!$E$18,$A$3:$A$203,$H$3:$H$203))</f>
        <v>268.83004886965318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4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2.4423076923076925</v>
      </c>
      <c r="N4" s="14">
        <f>IF('Données projet'!$A$36&gt;35,N3+M4-V3,IF(A4&lt;'Données projet'!$A$36,$K$205^A4,IF(A4='Données projet'!$A$36,'Données projet'!$B$36,N3+M4-V3)))</f>
        <v>2.4423076923076925</v>
      </c>
      <c r="O4" s="14">
        <f>N4*VLOOKUP('Données projet'!$B$9,Paramètres!$A$1:$I$89,3,0)*VLOOKUP('Données projet'!$B$9,Paramètres!$A$1:$I$89,5,0)</f>
        <v>2.2098</v>
      </c>
      <c r="P4" s="14">
        <f>EXP(-1.0587+0.8836*LN(O4)+0.284)</f>
        <v>0.92858646361688846</v>
      </c>
      <c r="Q4" s="22">
        <f t="shared" ref="Q4:Q34" si="2">(O4+P4)*0.475*44/12</f>
        <v>5.4660230907994141</v>
      </c>
      <c r="R4" s="62">
        <f t="shared" si="0"/>
        <v>173.27845704372325</v>
      </c>
      <c r="S4" s="62">
        <f ca="1">AVERAGE(OFFSET($R$3,0,0,'Données projet'!$E$9+1,1))-AVERAGE(OFFSET($H$3,0,0,'Données projet'!$E$9+1,1))</f>
        <v>432.80275651765203</v>
      </c>
      <c r="T4" s="62">
        <f>$T$3</f>
        <v>203.89279893419919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14.88</v>
      </c>
      <c r="AI4" s="14">
        <f>IF('Données projet'!$A$62&gt;35,AI3+AH4-AQ3,IF(A4&lt;'Données projet'!$A$62,$AF$205^A4,IF(A4='Données projet'!$A$62,'Données projet'!$B$62,AI3+AH4-AQ3)))</f>
        <v>1.2671315883708416</v>
      </c>
      <c r="AJ4" s="14">
        <f>AI4*VLOOKUP('Données projet'!$B$10,Paramètres!$A$1:$I$89,3,0)*VLOOKUP('Données projet'!$B$10,Paramètres!$A$1:$I$89,5,0)</f>
        <v>0.56007216205991206</v>
      </c>
      <c r="AK4" s="14">
        <f>EXP(-1.0587+0.8836*LN(AJ4)+0.284)</f>
        <v>0.2761216448041165</v>
      </c>
      <c r="AL4" s="22">
        <f t="shared" ref="AL4:AL67" si="4">(AJ4+AK4)*0.475*44/12</f>
        <v>1.4563708802881832</v>
      </c>
      <c r="AM4" s="62">
        <f t="shared" ref="AM4:AM67" si="5">AL4+(AD4+AE4)*44/12</f>
        <v>169.26880483321202</v>
      </c>
      <c r="AN4" s="62">
        <f ca="1">AVERAGE(OFFSET($AM$3,0,0,'Données projet'!$E$10+1,1))-AVERAGE(OFFSET($H$3,0,0,'Données projet'!$E$10+1,1))</f>
        <v>413.08876898406481</v>
      </c>
      <c r="AO4" s="62">
        <f>$AO$3</f>
        <v>520.31320932826566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14.88</v>
      </c>
      <c r="BD4" s="13">
        <f>IF('Données projet'!$A$88&gt;35,BD3+BC4-BL3,IF(A4&lt;'Données projet'!$A$88,$BA$205^A4,IF(A4='Données projet'!$A$88,'Données projet'!$B$88,BD3+BC4-BL3)))</f>
        <v>1.2671315883708416</v>
      </c>
      <c r="BE4" s="14">
        <f>BD4*VLOOKUP('Données projet'!$B$11,Paramètres!$A$1:$I$89,3,0)*VLOOKUP('Données projet'!$B$11,Paramètres!$A$1:$I$89,5,0)</f>
        <v>0.70832655789930044</v>
      </c>
      <c r="BF4" s="14">
        <f>EXP(-1.0587+0.8836*LN(BE4)+0.284)</f>
        <v>0.33979611410372723</v>
      </c>
      <c r="BG4" s="22">
        <f t="shared" ref="BG4:BG67" si="7">(BE4+BF4)*0.475*44/12</f>
        <v>1.825480320405273</v>
      </c>
      <c r="BH4" s="62">
        <f t="shared" ref="BH4:BH67" si="8">BG4+(AY4+AZ4)*44/12</f>
        <v>169.6379142733291</v>
      </c>
      <c r="BI4" s="62">
        <f ca="1">AVERAGE(OFFSET($BH$3,0,0,'Données projet'!$E$11+1,1))-AVERAGE(OFFSET($H$3,0,0,'Données projet'!$E$11+1,1))</f>
        <v>507.66185230065889</v>
      </c>
      <c r="BJ4" s="62">
        <f>$BJ$3</f>
        <v>640.14375617778342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4.7916666665000003</v>
      </c>
      <c r="BY4" s="13">
        <f>IF('Données projet'!$A$114&gt;35,BY3+BX4-CG3,IF(A4&lt;'Données projet'!$A$114,$BV$205^A4,IF(A4='Données projet'!$A$114,'Données projet'!$B$114,BY3+BX4-CG3)))</f>
        <v>1.2562492911629928</v>
      </c>
      <c r="BZ4" s="14">
        <f>BY4*VLOOKUP('Données projet'!$B$12,Paramètres!$A$1:$I$89,3,0)*VLOOKUP('Données projet'!$B$12,Paramètres!$A$1:$I$89,5,0)</f>
        <v>0.58792466826428058</v>
      </c>
      <c r="CA4" s="14">
        <f>EXP(-1.0587+0.8836*LN(BZ4)+0.284)</f>
        <v>0.28822039151443235</v>
      </c>
      <c r="CB4" s="22">
        <f t="shared" ref="CB4:CB67" si="10">(BZ4+CA4)*0.475*44/12</f>
        <v>1.5259526457812582</v>
      </c>
      <c r="CC4" s="62">
        <f t="shared" ref="CC4:CC67" si="11">CB4+(BT4+BU4)*44/12</f>
        <v>169.33838659870509</v>
      </c>
      <c r="CD4" s="62">
        <f ca="1">AVERAGE(OFFSET($CC$3,0,0,'Données projet'!$E$12+1,1))-AVERAGE(OFFSET($H$3,0,0,'Données projet'!$E$12+1,1))</f>
        <v>289.21044803824958</v>
      </c>
      <c r="CE4" s="62">
        <f>$CE$3</f>
        <v>196.11836398299445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>
        <f>EXP(-LN(2)/35)*CK3+(1-EXP(-LN(2)/35))/(LN(2)/35)*CG4*CH4*VLOOKUP('Données projet'!$B$12,Paramètres!$A$1:$I$89,3,0)*0.475*44/12</f>
        <v>0</v>
      </c>
      <c r="CL4" s="23">
        <f>EXP(-LN(2)/25)*CL3+(1-EXP(-LN(2)/25))/(LN(2)/25)*Calculateur!CG4*Calculateur!CI4*VLOOKUP('Données projet'!$B$12,Paramètres!$A$1:$I$89,3,0)*0.475*44/12</f>
        <v>0</v>
      </c>
      <c r="CM4" s="23">
        <f>EXP(-LN(2)/2)*CM3+(1-EXP(-LN(2)/2))/(LN(2)/2)*CG4*CJ4*VLOOKUP('Données projet'!$B$12,Paramètres!$A$1:$I$89,3,0)*0.475*44/12</f>
        <v>0</v>
      </c>
      <c r="CN4" s="24">
        <f t="shared" ref="CN4:CN67" si="12">SUM(CK4:CM4)</f>
        <v>0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6.8</v>
      </c>
      <c r="CT4" s="13">
        <f>IF('Données projet'!$A$140&gt;35,CT3+CS4-DB3,IF(A4&lt;'Données projet'!$A$140,$CQ$205^A4,IF(A4='Données projet'!$A$140,'Données projet'!$B$140,CT3+CS4-DB3)))</f>
        <v>2.0243974584998852</v>
      </c>
      <c r="CU4" s="18">
        <f>CT4*VLOOKUP('Données projet'!$B$13,Paramètres!$A$1:$I$89,3,0)*VLOOKUP('Données projet'!$B$13,Paramètres!$A$1:$I$89,5,0)</f>
        <v>1.8316748204506961</v>
      </c>
      <c r="CV4" s="14">
        <f>EXP(-1.0587+0.8836*LN(CU4)+0.284)</f>
        <v>0.78669228172688432</v>
      </c>
      <c r="CW4" s="22">
        <f t="shared" ref="CW4:CW67" si="13">(CU4+CV4)*0.475*44/12</f>
        <v>4.5603227029592857</v>
      </c>
      <c r="CX4" s="62">
        <f t="shared" ref="CX4:CX67" si="14">CW4+(CO4+CP4)*44/12</f>
        <v>172.37275665588314</v>
      </c>
      <c r="CY4" s="62">
        <f ca="1">AVERAGE(OFFSET($CX$3,0,0,'Données projet'!$E$13+1,1))-AVERAGE(OFFSET($H$3,0,0,'Données projet'!$E$13+1,1))</f>
        <v>376.68007030857598</v>
      </c>
      <c r="CZ4" s="62">
        <f>$CZ$3</f>
        <v>532.90758914457626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>
        <f>EXP(-LN(2)/35)*DF3+(1-EXP(-LN(2)/35))/(LN(2)/35)*DB4*DC4*VLOOKUP('Données projet'!$B$13,Paramètres!$A$1:$I$89,3,0)*0.475*44/12</f>
        <v>0</v>
      </c>
      <c r="DG4" s="23">
        <f>EXP(-LN(2)/25)*DG3+(1-EXP(-LN(2)/25))/(LN(2)/25)*Calculateur!DB4*Calculateur!DD4*VLOOKUP('Données projet'!$B$13,Paramètres!$A$1:$I$89,3,0)*0.475*44/12</f>
        <v>0</v>
      </c>
      <c r="DH4" s="23">
        <f>EXP(-LN(2)/2)*DH3+(1-EXP(-LN(2)/2))/(LN(2)/2)*DB4*DE4*VLOOKUP('Données projet'!$B$13,Paramètres!$A$1:$I$89,3,0)*0.475*44/12</f>
        <v>0</v>
      </c>
      <c r="DI4" s="24">
        <f t="shared" ref="DI4:DI67" si="15">SUM(DF4:DH4)</f>
        <v>0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2.6666666666666665</v>
      </c>
      <c r="DO4" s="13">
        <f>IF('Données projet'!$A$166&gt;35,DO3+DN4-DW3,IF(A4&lt;'Données projet'!$A$166,$DL$205^A4,IF(A4='Données projet'!$A$166,'Données projet'!$B$166,DO3+DN4-DW3)))</f>
        <v>1.2788040393997409</v>
      </c>
      <c r="DP4" s="18">
        <f>DO4*VLOOKUP('Données projet'!$B$14,Paramètres!$A$1:$I$89,3,0)*VLOOKUP('Données projet'!$B$14,Paramètres!$A$1:$I$89,5,0)</f>
        <v>1.2169099238927934</v>
      </c>
      <c r="DQ4" s="14">
        <f>EXP(-1.0587+0.8836*LN(DP4)+0.284)</f>
        <v>0.54813358915522359</v>
      </c>
      <c r="DR4" s="22">
        <f t="shared" ref="DR4:DR67" si="16">(DP4+DQ4)*0.475*44/12</f>
        <v>3.0741174518919627</v>
      </c>
      <c r="DS4" s="62">
        <f t="shared" ref="DS4:DS67" si="17">DR4+(DJ4+DK4)*44/12</f>
        <v>170.8865514048158</v>
      </c>
      <c r="DT4" s="62">
        <f ca="1">AVERAGE(OFFSET($DS$3,0,0,'Données projet'!$E$14+1,1))-AVERAGE(OFFSET($H$3,0,0,'Données projet'!$E$14+1,1))</f>
        <v>364.63161066507769</v>
      </c>
      <c r="DU4" s="62">
        <f>$DU$3</f>
        <v>355.44729904860708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>
        <f>EXP(-LN(2)/35)*EA3+(1-EXP(-LN(2)/35))/(LN(2)/35)*DW4*DX4*VLOOKUP('Données projet'!$B$14,Paramètres!$A$1:$I$89,3,0)*0.475*44/12</f>
        <v>0</v>
      </c>
      <c r="EB4" s="23">
        <f>EXP(-LN(2)/25)*EB3+(1-EXP(-LN(2)/25))/(LN(2)/25)*Calculateur!DW4*Calculateur!DY4*VLOOKUP('Données projet'!$B$14,Paramètres!$A$1:$I$89,3,0)*0.475*44/12</f>
        <v>0</v>
      </c>
      <c r="EC4" s="23">
        <f>EXP(-LN(2)/2)*EC3+(1-EXP(-LN(2)/2))/(LN(2)/2)*DW4*DZ4*VLOOKUP('Données projet'!$B$14,Paramètres!$A$1:$I$89,3,0)*0.475*44/12</f>
        <v>0</v>
      </c>
      <c r="ED4" s="24">
        <f t="shared" ref="ED4:ED67" si="18">SUM(EA4:EC4)</f>
        <v>0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2.6666666666666665</v>
      </c>
      <c r="EJ4" s="13">
        <f>IF('Données projet'!$A$192&gt;35,EJ3+EI4-ER3,IF(A4&lt;'Données projet'!$A$192,$EG$205^A4,IF(A4='Données projet'!$A$192,'Données projet'!$B$192,EJ3+EI4-ER3)))</f>
        <v>1.2788040393997409</v>
      </c>
      <c r="EK4" s="18">
        <f>EJ4*VLOOKUP('Données projet'!$B$15,Paramètres!$A$1:$I$89,3,0)*VLOOKUP('Données projet'!$B$15,Paramètres!$A$1:$I$89,5,0)</f>
        <v>0.93761912168788997</v>
      </c>
      <c r="EL4" s="14">
        <f>EXP(-1.0587+0.8836*LN(EK4)+0.284)</f>
        <v>0.4353460828615533</v>
      </c>
      <c r="EM4" s="22">
        <f t="shared" ref="EM4:EM67" si="19">(EK4+EL4)*0.475*44/12</f>
        <v>2.3912477312569469</v>
      </c>
      <c r="EN4" s="62">
        <f t="shared" ref="EN4:EN67" si="20">EM4+(EE4+EF4)*44/12</f>
        <v>170.20368168418079</v>
      </c>
      <c r="EO4" s="62">
        <f ca="1">AVERAGE(OFFSET($EN$3,0,0,'Données projet'!$E$15+1,1))-AVERAGE(OFFSET($H$3,0,0,'Données projet'!$E$15+1,1))</f>
        <v>293.59366973965774</v>
      </c>
      <c r="EP4" s="62">
        <f>$EP$3</f>
        <v>288.13804536120426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>
        <f>EXP(-LN(2)/35)*EV3+(1-EXP(-LN(2)/35))/(LN(2)/35)*ER4*ES4*VLOOKUP('Données projet'!$B$15,Paramètres!$A$1:$I$89,3,0)*0.475*44/12</f>
        <v>0</v>
      </c>
      <c r="EW4" s="23">
        <f>EXP(-LN(2)/25)*EW3+(1-EXP(-LN(2)/25))/(LN(2)/25)*Calculateur!ER4*Calculateur!ET4*VLOOKUP('Données projet'!$B$15,Paramètres!$A$1:$I$89,3,0)*0.475*44/12</f>
        <v>0</v>
      </c>
      <c r="EX4" s="23">
        <f>EXP(-LN(2)/2)*EX3+(1-EXP(-LN(2)/2))/(LN(2)/2)*ER4*EU4*VLOOKUP('Données projet'!$B$15,Paramètres!$A$1:$I$89,3,0)*0.475*44/12</f>
        <v>0</v>
      </c>
      <c r="EY4" s="24">
        <f t="shared" ref="EY4:EY67" si="21">SUM(EV4:EX4)</f>
        <v>0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2.6666666666666665</v>
      </c>
      <c r="FE4" s="13">
        <f>IF('Données projet'!$A$218&gt;35,FE3+FD4-FM3,IF(A4&lt;'Données projet'!$A$218,$FB$205^A4,IF(A4='Données projet'!$A$218,'Données projet'!$B$218,FE3+FD4-FM3)))</f>
        <v>1.2788040393997409</v>
      </c>
      <c r="FF4" s="18">
        <f>FE4*VLOOKUP('Données projet'!$B$16,Paramètres!$A$1:$I$89,3,0)*VLOOKUP('Données projet'!$B$16,Paramètres!$A$1:$I$89,5,0)</f>
        <v>1.2368592669074294</v>
      </c>
      <c r="FG4" s="14">
        <f>EXP(-1.0587+0.8836*LN(FF4)+0.284)</f>
        <v>0.55606590940064793</v>
      </c>
      <c r="FH4" s="22">
        <f t="shared" ref="FH4:FH67" si="22">(FF4+FG4)*0.475*44/12</f>
        <v>3.1226780154032348</v>
      </c>
      <c r="FI4" s="62">
        <f t="shared" ref="FI4:FI67" si="23">FH4+(EZ4+FA4)*44/12</f>
        <v>170.93511196832708</v>
      </c>
      <c r="FJ4" s="62">
        <f ca="1">AVERAGE(OFFSET($FI$3,0,0,'Données projet'!$E$16+1,1))-AVERAGE(OFFSET($H$3,0,0,'Données projet'!$E$16+1,1))</f>
        <v>369.69145521630799</v>
      </c>
      <c r="FK4" s="62">
        <f>$FK$3</f>
        <v>360.24112103688719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>
        <f>EXP(-LN(2)/35)*FQ3+(1-EXP(-LN(2)/35))/(LN(2)/35)*FM4*FN4*VLOOKUP('Données projet'!$B$16,Paramètres!$A$1:$I$89,3,0)*0.475*44/12</f>
        <v>0</v>
      </c>
      <c r="FR4" s="23">
        <f>EXP(-LN(2)/25)*FR3+(1-EXP(-LN(2)/25))/(LN(2)/25)*Calculateur!FM4*Calculateur!FO4*VLOOKUP('Données projet'!$B$16,Paramètres!$A$1:$I$89,3,0)*0.475*44/12</f>
        <v>0</v>
      </c>
      <c r="FS4" s="23">
        <f>EXP(-LN(2)/2)*FS3+(1-EXP(-LN(2)/2))/(LN(2)/2)*FM4*FP4*VLOOKUP('Données projet'!$B$16,Paramètres!$A$1:$I$89,3,0)*0.475*44/12</f>
        <v>0</v>
      </c>
      <c r="FT4" s="24">
        <f t="shared" ref="FT4:FT67" si="24">SUM(FQ4:FS4)</f>
        <v>0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2.6666666666666665</v>
      </c>
      <c r="FZ4" s="13">
        <f>IF('Données projet'!$A$244&gt;35,FZ3+FY4-GH3,IF(A4&lt;'Données projet'!$A$244,$FW$205^A4,IF(A4='Données projet'!$A$244,'Données projet'!$B$244,FZ3+FY4-GH3)))</f>
        <v>1.2788040393997409</v>
      </c>
      <c r="GA4" s="18">
        <f>FZ4*VLOOKUP('Données projet'!$B$17,Paramètres!$A$1:$I$89,3,0)*VLOOKUP('Données projet'!$B$17,Paramètres!$A$1:$I$89,5,0)</f>
        <v>1.3765046680098809</v>
      </c>
      <c r="GB4" s="14">
        <f>EXP(-1.0587+0.8836*LN(GA4)+0.284)</f>
        <v>0.6111897052151255</v>
      </c>
      <c r="GC4" s="22">
        <f t="shared" ref="GC4:GC67" si="25">(GA4+GB4)*0.475*44/12</f>
        <v>3.4619010333668858</v>
      </c>
      <c r="GD4" s="62">
        <f t="shared" ref="GD4:GD67" si="26">GC4+(FU4+FV4)*44/12</f>
        <v>171.27433498629074</v>
      </c>
      <c r="GE4" s="62">
        <f ca="1">AVERAGE(OFFSET($GD$3,0,0,'Données projet'!$E$17+1,1))-AVERAGE(OFFSET($H$3,0,0,'Données projet'!$E$17+1,1))</f>
        <v>405.06394904053946</v>
      </c>
      <c r="GF4" s="62">
        <f>$GF$3</f>
        <v>393.75247087518198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>
        <f>EXP(-LN(2)/35)*GL3+(1-EXP(-LN(2)/35))/(LN(2)/35)*GH4*GI4*VLOOKUP('Données projet'!$B$17,Paramètres!$A$1:$I$89,3,0)*0.475*44/12</f>
        <v>0</v>
      </c>
      <c r="GM4" s="23">
        <f>EXP(-LN(2)/25)*GM3+(1-EXP(-LN(2)/25))/(LN(2)/25)*Calculateur!GH4*Calculateur!GJ4*VLOOKUP('Données projet'!$B$17,Paramètres!$A$1:$I$89,3,0)*0.475*44/12</f>
        <v>0</v>
      </c>
      <c r="GN4" s="23">
        <f>EXP(-LN(2)/2)*GN3+(1-EXP(-LN(2)/2))/(LN(2)/2)*GH4*GK4*VLOOKUP('Données projet'!$B$17,Paramètres!$A$1:$I$89,3,0)*0.475*44/12</f>
        <v>0</v>
      </c>
      <c r="GO4" s="23">
        <f t="shared" ref="GO4:GO67" si="27">SUM(GL4:GN4)</f>
        <v>0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2.6666666666666665</v>
      </c>
      <c r="GU4" s="13">
        <f>IF('Données projet'!$A$270&gt;35,GU3+GT4-HC3,IF(A4&lt;'Données projet'!$A$270,$GR$205^A4,IF(A4='Données projet'!$A$270,'Données projet'!$B$270,GU3+GT4-HC3)))</f>
        <v>1.2788040393997409</v>
      </c>
      <c r="GV4" s="18">
        <f>GU4*VLOOKUP('Données projet'!$B$18,Paramètres!$A$1:$I$89,3,0)*VLOOKUP('Données projet'!$B$18,Paramètres!$A$1:$I$89,5,0)</f>
        <v>0.85782174962934621</v>
      </c>
      <c r="GW4" s="14">
        <f>EXP(-1.0587+0.8836*LN(GV4)+0.284)</f>
        <v>0.40244051974743428</v>
      </c>
      <c r="GX4" s="22">
        <f t="shared" ref="GX4:GX67" si="28">(GV4+GW4)*0.475*44/12</f>
        <v>2.1949567858312258</v>
      </c>
      <c r="GY4" s="62">
        <f t="shared" ref="GY4:GY67" si="29">GX4+(GP4+GQ4)*44/12</f>
        <v>170.00739073875508</v>
      </c>
      <c r="GZ4" s="62">
        <f ca="1">AVERAGE(OFFSET($GY$3,0,0,'Données projet'!$E$18+1,1))-AVERAGE(OFFSET($H$3,0,0,'Données projet'!$E$18+1,1))</f>
        <v>273.21861937609918</v>
      </c>
      <c r="HA4" s="62">
        <f>$HA$3</f>
        <v>268.83004886965318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>
        <f>EXP(-LN(2)/35)*HG3+(1-EXP(-LN(2)/35))/(LN(2)/35)*HC4*HD4*VLOOKUP('Données projet'!$B$18,Paramètres!$A$1:$I$89,3,0)*0.475*44/12</f>
        <v>0</v>
      </c>
      <c r="HH4" s="23">
        <f>EXP(-LN(2)/25)*HH3+(1-EXP(-LN(2)/25))/(LN(2)/25)*Calculateur!HC4*Calculateur!HE4*VLOOKUP('Données projet'!$B$18,Paramètres!$A$1:$I$89,3,0)*0.475*44/12</f>
        <v>0</v>
      </c>
      <c r="HI4" s="23">
        <f>EXP(-LN(2)/2)*HI3+(1-EXP(-LN(2)/2))/(LN(2)/2)*HC4*HF4*VLOOKUP('Données projet'!$B$18,Paramètres!$A$1:$I$89,3,0)*0.475*44/12</f>
        <v>0</v>
      </c>
      <c r="HJ4" s="24">
        <f t="shared" ref="HJ4:HJ67" si="30">SUM(HG4:HI4)</f>
        <v>0</v>
      </c>
    </row>
    <row r="5" spans="1:218" s="5" customFormat="1" x14ac:dyDescent="0.4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2.4423076923076925</v>
      </c>
      <c r="N5" s="14">
        <f>IF('Données projet'!$A$36&gt;35,N4+M5-V4,IF(A5&lt;'Données projet'!$A$36,$K$205^A5,IF(A5='Données projet'!$A$36,'Données projet'!$B$36,N4+M5-V4)))</f>
        <v>4.884615384615385</v>
      </c>
      <c r="O5" s="14">
        <f>N5*VLOOKUP('Données projet'!$B$9,Paramètres!$A$1:$I$89,3,0)*VLOOKUP('Données projet'!$B$9,Paramètres!$A$1:$I$89,5,0)</f>
        <v>4.4196</v>
      </c>
      <c r="P5" s="14">
        <f t="shared" ref="P5:P68" si="33">EXP(-1.0587+0.8836*LN(O5)+0.284)</f>
        <v>1.7132173056110989</v>
      </c>
      <c r="Q5" s="22">
        <f t="shared" si="2"/>
        <v>10.681323473939329</v>
      </c>
      <c r="R5" s="62">
        <f t="shared" si="0"/>
        <v>181.27860476144016</v>
      </c>
      <c r="S5" s="62">
        <f ca="1">AVERAGE(OFFSET($R$3,0,0,'Données projet'!$E$9+1,1))-AVERAGE(OFFSET($H$3,0,0,'Données projet'!$E$9+1,1))</f>
        <v>432.80275651765203</v>
      </c>
      <c r="T5" s="62">
        <f t="shared" ref="T5:T68" si="34">$T$3</f>
        <v>203.89279893419919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14.88</v>
      </c>
      <c r="AI5" s="14">
        <f>IF('Données projet'!$A$62&gt;35,AI4+AH5-AQ4,IF(A5&lt;'Données projet'!$A$62,$AF$205^A5,IF(A5='Données projet'!$A$62,'Données projet'!$B$62,AI4+AH5-AQ4)))</f>
        <v>1.6056224622472119</v>
      </c>
      <c r="AJ5" s="14">
        <f>AI5*VLOOKUP('Données projet'!$B$10,Paramètres!$A$1:$I$89,3,0)*VLOOKUP('Données projet'!$B$10,Paramètres!$A$1:$I$89,5,0)</f>
        <v>0.7096851283132678</v>
      </c>
      <c r="AK5" s="14">
        <f t="shared" ref="AK5:AK68" si="35">EXP(-1.0587+0.8836*LN(AJ5)+0.284)</f>
        <v>0.34037191759644325</v>
      </c>
      <c r="AL5" s="22">
        <f t="shared" si="4"/>
        <v>1.8288493549594131</v>
      </c>
      <c r="AM5" s="62">
        <f t="shared" si="5"/>
        <v>172.42613064246024</v>
      </c>
      <c r="AN5" s="62">
        <f ca="1">AVERAGE(OFFSET($AM$3,0,0,'Données projet'!$E$10+1,1))-AVERAGE(OFFSET($H$3,0,0,'Données projet'!$E$10+1,1))</f>
        <v>413.08876898406481</v>
      </c>
      <c r="AO5" s="62">
        <f t="shared" ref="AO5:AO68" si="36">$AO$3</f>
        <v>520.31320932826566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14.88</v>
      </c>
      <c r="BD5" s="13">
        <f>IF('Données projet'!$A$88&gt;35,BD4+BC5-BL4,IF(A5&lt;'Données projet'!$A$88,$BA$205^A5,IF(A5='Données projet'!$A$88,'Données projet'!$B$88,BD4+BC5-BL4)))</f>
        <v>1.6056224622472119</v>
      </c>
      <c r="BE5" s="14">
        <f>BD5*VLOOKUP('Données projet'!$B$11,Paramètres!$A$1:$I$89,3,0)*VLOOKUP('Données projet'!$B$11,Paramètres!$A$1:$I$89,5,0)</f>
        <v>0.89754295639619153</v>
      </c>
      <c r="BF5" s="14">
        <f t="shared" ref="BF5:BF68" si="37">EXP(-1.0587+0.8836*LN(BE5)+0.284)</f>
        <v>0.4188626901427947</v>
      </c>
      <c r="BG5" s="22">
        <f t="shared" si="7"/>
        <v>2.2927398343887342</v>
      </c>
      <c r="BH5" s="62">
        <f t="shared" si="8"/>
        <v>172.89002112188956</v>
      </c>
      <c r="BI5" s="62">
        <f ca="1">AVERAGE(OFFSET($BH$3,0,0,'Données projet'!$E$11+1,1))-AVERAGE(OFFSET($H$3,0,0,'Données projet'!$E$11+1,1))</f>
        <v>507.66185230065889</v>
      </c>
      <c r="BJ5" s="62">
        <f t="shared" ref="BJ5:BJ68" si="38">$BJ$3</f>
        <v>640.14375617778342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4.7916666665000003</v>
      </c>
      <c r="BY5" s="13">
        <f>IF('Données projet'!$A$114&gt;35,BY4+BX5-CG4,IF(A5&lt;'Données projet'!$A$114,$BV$205^A5,IF(A5='Données projet'!$A$114,'Données projet'!$B$114,BY4+BX5-CG4)))</f>
        <v>1.5781622815475218</v>
      </c>
      <c r="BZ5" s="14">
        <f>BY5*VLOOKUP('Données projet'!$B$12,Paramètres!$A$1:$I$89,3,0)*VLOOKUP('Données projet'!$B$12,Paramètres!$A$1:$I$89,5,0)</f>
        <v>0.73857994776424019</v>
      </c>
      <c r="CA5" s="14">
        <f t="shared" ref="CA5:CA68" si="39">EXP(-1.0587+0.8836*LN(BZ5)+0.284)</f>
        <v>0.35258847047998099</v>
      </c>
      <c r="CB5" s="22">
        <f t="shared" si="10"/>
        <v>1.9004516617753515</v>
      </c>
      <c r="CC5" s="62">
        <f t="shared" si="11"/>
        <v>172.49773294927618</v>
      </c>
      <c r="CD5" s="62">
        <f ca="1">AVERAGE(OFFSET($CC$3,0,0,'Données projet'!$E$12+1,1))-AVERAGE(OFFSET($H$3,0,0,'Données projet'!$E$12+1,1))</f>
        <v>289.21044803824958</v>
      </c>
      <c r="CE5" s="62">
        <f t="shared" ref="CE5:CE68" si="40">$CE$3</f>
        <v>196.11836398299445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>
        <f>EXP(-LN(2)/35)*CK4+(1-EXP(-LN(2)/35))/(LN(2)/35)*CG5*CH5*VLOOKUP('Données projet'!$B$12,Paramètres!$A$1:$I$89,3,0)*0.475*44/12</f>
        <v>0</v>
      </c>
      <c r="CL5" s="23">
        <f>EXP(-LN(2)/25)*CL4+(1-EXP(-LN(2)/25))/(LN(2)/25)*Calculateur!CG5*Calculateur!CI5*VLOOKUP('Données projet'!$B$12,Paramètres!$A$1:$I$89,3,0)*0.475*44/12</f>
        <v>0</v>
      </c>
      <c r="CM5" s="23">
        <f>EXP(-LN(2)/2)*CM4+(1-EXP(-LN(2)/2))/(LN(2)/2)*CG5*CJ5*VLOOKUP('Données projet'!$B$12,Paramètres!$A$1:$I$89,3,0)*0.475*44/12</f>
        <v>0</v>
      </c>
      <c r="CN5" s="24">
        <f t="shared" si="12"/>
        <v>0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6.8</v>
      </c>
      <c r="CT5" s="13">
        <f>IF('Données projet'!$A$140&gt;35,CT4+CS5-DB4,IF(A5&lt;'Données projet'!$A$140,$CQ$205^A5,IF(A5='Données projet'!$A$140,'Données projet'!$B$140,CT4+CS5-DB4)))</f>
        <v>4.0981850699807945</v>
      </c>
      <c r="CU5" s="18">
        <f>CT5*VLOOKUP('Données projet'!$B$13,Paramètres!$A$1:$I$89,3,0)*VLOOKUP('Données projet'!$B$13,Paramètres!$A$1:$I$89,5,0)</f>
        <v>3.7080378513186227</v>
      </c>
      <c r="CV5" s="14">
        <f t="shared" ref="CV5:CV68" si="41">EXP(-1.0587+0.8836*LN(CU5)+0.284)</f>
        <v>1.4670598901857457</v>
      </c>
      <c r="CW5" s="22">
        <f t="shared" si="13"/>
        <v>9.0132952331201093</v>
      </c>
      <c r="CX5" s="62">
        <f t="shared" si="14"/>
        <v>179.61057652062095</v>
      </c>
      <c r="CY5" s="62">
        <f ca="1">AVERAGE(OFFSET($CX$3,0,0,'Données projet'!$E$13+1,1))-AVERAGE(OFFSET($H$3,0,0,'Données projet'!$E$13+1,1))</f>
        <v>376.68007030857598</v>
      </c>
      <c r="CZ5" s="62">
        <f t="shared" ref="CZ5:CZ68" si="42">$CZ$3</f>
        <v>532.90758914457626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>
        <f>EXP(-LN(2)/35)*DF4+(1-EXP(-LN(2)/35))/(LN(2)/35)*DB5*DC5*VLOOKUP('Données projet'!$B$13,Paramètres!$A$1:$I$89,3,0)*0.475*44/12</f>
        <v>0</v>
      </c>
      <c r="DG5" s="23">
        <f>EXP(-LN(2)/25)*DG4+(1-EXP(-LN(2)/25))/(LN(2)/25)*Calculateur!DB5*Calculateur!DD5*VLOOKUP('Données projet'!$B$13,Paramètres!$A$1:$I$89,3,0)*0.475*44/12</f>
        <v>0</v>
      </c>
      <c r="DH5" s="23">
        <f>EXP(-LN(2)/2)*DH4+(1-EXP(-LN(2)/2))/(LN(2)/2)*DB5*DE5*VLOOKUP('Données projet'!$B$13,Paramètres!$A$1:$I$89,3,0)*0.475*44/12</f>
        <v>0</v>
      </c>
      <c r="DI5" s="24">
        <f t="shared" si="15"/>
        <v>0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2.6666666666666665</v>
      </c>
      <c r="DO5" s="13">
        <f>IF('Données projet'!$A$166&gt;35,DO4+DN5-DW4,IF(A5&lt;'Données projet'!$A$166,$DL$205^A5,IF(A5='Données projet'!$A$166,'Données projet'!$B$166,DO4+DN5-DW4)))</f>
        <v>1.6353397711850939</v>
      </c>
      <c r="DP5" s="18">
        <f>DO5*VLOOKUP('Données projet'!$B$14,Paramètres!$A$1:$I$89,3,0)*VLOOKUP('Données projet'!$B$14,Paramètres!$A$1:$I$89,5,0)</f>
        <v>1.5561893262597355</v>
      </c>
      <c r="DQ5" s="14">
        <f t="shared" ref="DQ5:DQ68" si="43">EXP(-1.0587+0.8836*LN(DP5)+0.284)</f>
        <v>0.68117457581435858</v>
      </c>
      <c r="DR5" s="22">
        <f t="shared" si="16"/>
        <v>3.8967421294457139</v>
      </c>
      <c r="DS5" s="62">
        <f t="shared" si="17"/>
        <v>174.49402341694656</v>
      </c>
      <c r="DT5" s="62">
        <f ca="1">AVERAGE(OFFSET($DS$3,0,0,'Données projet'!$E$14+1,1))-AVERAGE(OFFSET($H$3,0,0,'Données projet'!$E$14+1,1))</f>
        <v>364.63161066507769</v>
      </c>
      <c r="DU5" s="62">
        <f t="shared" ref="DU5:DU68" si="44">$DU$3</f>
        <v>355.44729904860708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>
        <f>EXP(-LN(2)/35)*EA4+(1-EXP(-LN(2)/35))/(LN(2)/35)*DW5*DX5*VLOOKUP('Données projet'!$B$14,Paramètres!$A$1:$I$89,3,0)*0.475*44/12</f>
        <v>0</v>
      </c>
      <c r="EB5" s="23">
        <f>EXP(-LN(2)/25)*EB4+(1-EXP(-LN(2)/25))/(LN(2)/25)*Calculateur!DW5*Calculateur!DY5*VLOOKUP('Données projet'!$B$14,Paramètres!$A$1:$I$89,3,0)*0.475*44/12</f>
        <v>0</v>
      </c>
      <c r="EC5" s="23">
        <f>EXP(-LN(2)/2)*EC4+(1-EXP(-LN(2)/2))/(LN(2)/2)*DW5*DZ5*VLOOKUP('Données projet'!$B$14,Paramètres!$A$1:$I$89,3,0)*0.475*44/12</f>
        <v>0</v>
      </c>
      <c r="ED5" s="24">
        <f t="shared" si="18"/>
        <v>0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2.6666666666666665</v>
      </c>
      <c r="EJ5" s="13">
        <f>IF('Données projet'!$A$192&gt;35,EJ4+EI5-ER4,IF(A5&lt;'Données projet'!$A$192,$EG$205^A5,IF(A5='Données projet'!$A$192,'Données projet'!$B$192,EJ4+EI5-ER4)))</f>
        <v>1.6353397711850939</v>
      </c>
      <c r="EK5" s="18">
        <f>EJ5*VLOOKUP('Données projet'!$B$15,Paramètres!$A$1:$I$89,3,0)*VLOOKUP('Données projet'!$B$15,Paramètres!$A$1:$I$89,5,0)</f>
        <v>1.1990311202329107</v>
      </c>
      <c r="EL5" s="14">
        <f t="shared" ref="EL5:EL68" si="45">EXP(-1.0587+0.8836*LN(EK5)+0.284)</f>
        <v>0.54101169713517283</v>
      </c>
      <c r="EM5" s="22">
        <f t="shared" si="19"/>
        <v>3.0305745735827454</v>
      </c>
      <c r="EN5" s="62">
        <f t="shared" si="20"/>
        <v>173.62785586108359</v>
      </c>
      <c r="EO5" s="62">
        <f ca="1">AVERAGE(OFFSET($EN$3,0,0,'Données projet'!$E$15+1,1))-AVERAGE(OFFSET($H$3,0,0,'Données projet'!$E$15+1,1))</f>
        <v>293.59366973965774</v>
      </c>
      <c r="EP5" s="62">
        <f t="shared" ref="EP5:EP68" si="46">$EP$3</f>
        <v>288.13804536120426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>
        <f>EXP(-LN(2)/35)*EV4+(1-EXP(-LN(2)/35))/(LN(2)/35)*ER5*ES5*VLOOKUP('Données projet'!$B$15,Paramètres!$A$1:$I$89,3,0)*0.475*44/12</f>
        <v>0</v>
      </c>
      <c r="EW5" s="23">
        <f>EXP(-LN(2)/25)*EW4+(1-EXP(-LN(2)/25))/(LN(2)/25)*Calculateur!ER5*Calculateur!ET5*VLOOKUP('Données projet'!$B$15,Paramètres!$A$1:$I$89,3,0)*0.475*44/12</f>
        <v>0</v>
      </c>
      <c r="EX5" s="23">
        <f>EXP(-LN(2)/2)*EX4+(1-EXP(-LN(2)/2))/(LN(2)/2)*ER5*EU5*VLOOKUP('Données projet'!$B$15,Paramètres!$A$1:$I$89,3,0)*0.475*44/12</f>
        <v>0</v>
      </c>
      <c r="EY5" s="24">
        <f t="shared" si="21"/>
        <v>0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2.6666666666666665</v>
      </c>
      <c r="FE5" s="13">
        <f>IF('Données projet'!$A$218&gt;35,FE4+FD5-FM4,IF(A5&lt;'Données projet'!$A$218,$FB$205^A5,IF(A5='Données projet'!$A$218,'Données projet'!$B$218,FE4+FD5-FM4)))</f>
        <v>1.6353397711850939</v>
      </c>
      <c r="FF5" s="18">
        <f>FE5*VLOOKUP('Données projet'!$B$16,Paramètres!$A$1:$I$89,3,0)*VLOOKUP('Données projet'!$B$16,Paramètres!$A$1:$I$89,5,0)</f>
        <v>1.5817006266902227</v>
      </c>
      <c r="FG5" s="14">
        <f t="shared" ref="FG5:FG68" si="47">EXP(-1.0587+0.8836*LN(FF5)+0.284)</f>
        <v>0.69103219991422093</v>
      </c>
      <c r="FH5" s="22">
        <f t="shared" si="22"/>
        <v>3.9583430063360723</v>
      </c>
      <c r="FI5" s="62">
        <f t="shared" si="23"/>
        <v>174.5556242938369</v>
      </c>
      <c r="FJ5" s="62">
        <f ca="1">AVERAGE(OFFSET($FI$3,0,0,'Données projet'!$E$16+1,1))-AVERAGE(OFFSET($H$3,0,0,'Données projet'!$E$16+1,1))</f>
        <v>369.69145521630799</v>
      </c>
      <c r="FK5" s="62">
        <f t="shared" ref="FK5:FK68" si="48">$FK$3</f>
        <v>360.24112103688719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>
        <f>EXP(-LN(2)/35)*FQ4+(1-EXP(-LN(2)/35))/(LN(2)/35)*FM5*FN5*VLOOKUP('Données projet'!$B$16,Paramètres!$A$1:$I$89,3,0)*0.475*44/12</f>
        <v>0</v>
      </c>
      <c r="FR5" s="23">
        <f>EXP(-LN(2)/25)*FR4+(1-EXP(-LN(2)/25))/(LN(2)/25)*Calculateur!FM5*Calculateur!FO5*VLOOKUP('Données projet'!$B$16,Paramètres!$A$1:$I$89,3,0)*0.475*44/12</f>
        <v>0</v>
      </c>
      <c r="FS5" s="23">
        <f>EXP(-LN(2)/2)*FS4+(1-EXP(-LN(2)/2))/(LN(2)/2)*FM5*FP5*VLOOKUP('Données projet'!$B$16,Paramètres!$A$1:$I$89,3,0)*0.475*44/12</f>
        <v>0</v>
      </c>
      <c r="FT5" s="24">
        <f t="shared" si="24"/>
        <v>0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2.6666666666666665</v>
      </c>
      <c r="FZ5" s="13">
        <f>IF('Données projet'!$A$244&gt;35,FZ4+FY5-GH4,IF(A5&lt;'Données projet'!$A$244,$FW$205^A5,IF(A5='Données projet'!$A$244,'Données projet'!$B$244,FZ4+FY5-GH4)))</f>
        <v>1.6353397711850939</v>
      </c>
      <c r="GA5" s="18">
        <f>FZ5*VLOOKUP('Données projet'!$B$17,Paramètres!$A$1:$I$89,3,0)*VLOOKUP('Données projet'!$B$17,Paramètres!$A$1:$I$89,5,0)</f>
        <v>1.760279729703635</v>
      </c>
      <c r="GB5" s="14">
        <f t="shared" ref="GB5:GB68" si="49">EXP(-1.0587+0.8836*LN(GA5)+0.284)</f>
        <v>0.75953544250709681</v>
      </c>
      <c r="GC5" s="22">
        <f t="shared" si="25"/>
        <v>4.3886780916003572</v>
      </c>
      <c r="GD5" s="62">
        <f t="shared" si="26"/>
        <v>174.98595937910119</v>
      </c>
      <c r="GE5" s="62">
        <f ca="1">AVERAGE(OFFSET($GD$3,0,0,'Données projet'!$E$17+1,1))-AVERAGE(OFFSET($H$3,0,0,'Données projet'!$E$17+1,1))</f>
        <v>405.06394904053946</v>
      </c>
      <c r="GF5" s="62">
        <f t="shared" ref="GF5:GF68" si="50">$GF$3</f>
        <v>393.75247087518198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>
        <f>EXP(-LN(2)/35)*GL4+(1-EXP(-LN(2)/35))/(LN(2)/35)*GH5*GI5*VLOOKUP('Données projet'!$B$17,Paramètres!$A$1:$I$89,3,0)*0.475*44/12</f>
        <v>0</v>
      </c>
      <c r="GM5" s="23">
        <f>EXP(-LN(2)/25)*GM4+(1-EXP(-LN(2)/25))/(LN(2)/25)*Calculateur!GH5*Calculateur!GJ5*VLOOKUP('Données projet'!$B$17,Paramètres!$A$1:$I$89,3,0)*0.475*44/12</f>
        <v>0</v>
      </c>
      <c r="GN5" s="23">
        <f>EXP(-LN(2)/2)*GN4+(1-EXP(-LN(2)/2))/(LN(2)/2)*GH5*GK5*VLOOKUP('Données projet'!$B$17,Paramètres!$A$1:$I$89,3,0)*0.475*44/12</f>
        <v>0</v>
      </c>
      <c r="GO5" s="23">
        <f t="shared" si="27"/>
        <v>0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2.6666666666666665</v>
      </c>
      <c r="GU5" s="13">
        <f>IF('Données projet'!$A$270&gt;35,GU4+GT5-HC4,IF(A5&lt;'Données projet'!$A$270,$GR$205^A5,IF(A5='Données projet'!$A$270,'Données projet'!$B$270,GU4+GT5-HC4)))</f>
        <v>1.6353397711850939</v>
      </c>
      <c r="GV5" s="18">
        <f>GU5*VLOOKUP('Données projet'!$B$18,Paramètres!$A$1:$I$89,3,0)*VLOOKUP('Données projet'!$B$18,Paramètres!$A$1:$I$89,5,0)</f>
        <v>1.0969859185109609</v>
      </c>
      <c r="GW5" s="14">
        <f t="shared" ref="GW5:GW68" si="51">EXP(-1.0587+0.8836*LN(GV5)+0.284)</f>
        <v>0.50011941569199869</v>
      </c>
      <c r="GX5" s="22">
        <f t="shared" si="28"/>
        <v>2.7816251237368212</v>
      </c>
      <c r="GY5" s="62">
        <f t="shared" si="29"/>
        <v>173.37890641123766</v>
      </c>
      <c r="GZ5" s="62">
        <f ca="1">AVERAGE(OFFSET($GY$3,0,0,'Données projet'!$E$18+1,1))-AVERAGE(OFFSET($H$3,0,0,'Données projet'!$E$18+1,1))</f>
        <v>273.21861937609918</v>
      </c>
      <c r="HA5" s="62">
        <f t="shared" ref="HA5:HA68" si="52">$HA$3</f>
        <v>268.83004886965318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>
        <f>EXP(-LN(2)/35)*HG4+(1-EXP(-LN(2)/35))/(LN(2)/35)*HC5*HD5*VLOOKUP('Données projet'!$B$18,Paramètres!$A$1:$I$89,3,0)*0.475*44/12</f>
        <v>0</v>
      </c>
      <c r="HH5" s="23">
        <f>EXP(-LN(2)/25)*HH4+(1-EXP(-LN(2)/25))/(LN(2)/25)*Calculateur!HC5*Calculateur!HE5*VLOOKUP('Données projet'!$B$18,Paramètres!$A$1:$I$89,3,0)*0.475*44/12</f>
        <v>0</v>
      </c>
      <c r="HI5" s="23">
        <f>EXP(-LN(2)/2)*HI4+(1-EXP(-LN(2)/2))/(LN(2)/2)*HC5*HF5*VLOOKUP('Données projet'!$B$18,Paramètres!$A$1:$I$89,3,0)*0.475*44/12</f>
        <v>0</v>
      </c>
      <c r="HJ5" s="24">
        <f t="shared" si="30"/>
        <v>0</v>
      </c>
    </row>
    <row r="6" spans="1:218" s="5" customFormat="1" x14ac:dyDescent="0.4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2.4423076923076925</v>
      </c>
      <c r="N6" s="14">
        <f>IF('Données projet'!$A$36&gt;35,N5+M6-V5,IF(A6&lt;'Données projet'!$A$36,$K$205^A6,IF(A6='Données projet'!$A$36,'Données projet'!$B$36,N5+M6-V5)))</f>
        <v>7.3269230769230775</v>
      </c>
      <c r="O6" s="14">
        <f>N6*VLOOKUP('Données projet'!$B$9,Paramètres!$A$1:$I$89,3,0)*VLOOKUP('Données projet'!$B$9,Paramètres!$A$1:$I$89,5,0)</f>
        <v>6.6293999999999995</v>
      </c>
      <c r="P6" s="14">
        <f t="shared" si="33"/>
        <v>2.4513577079413515</v>
      </c>
      <c r="Q6" s="22">
        <f t="shared" si="2"/>
        <v>15.815653007997854</v>
      </c>
      <c r="R6" s="62">
        <f t="shared" si="0"/>
        <v>189.17067357788275</v>
      </c>
      <c r="S6" s="62">
        <f ca="1">AVERAGE(OFFSET($R$3,0,0,'Données projet'!$E$9+1,1))-AVERAGE(OFFSET($H$3,0,0,'Données projet'!$E$9+1,1))</f>
        <v>432.80275651765203</v>
      </c>
      <c r="T6" s="62">
        <f t="shared" si="34"/>
        <v>203.89279893419919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14.88</v>
      </c>
      <c r="AI6" s="14">
        <f>IF('Données projet'!$A$62&gt;35,AI5+AH6-AQ5,IF(A6&lt;'Données projet'!$A$62,$AF$205^A6,IF(A6='Données projet'!$A$62,'Données projet'!$B$62,AI5+AH6-AQ5)))</f>
        <v>2.0345349409112115</v>
      </c>
      <c r="AJ6" s="14">
        <f>AI6*VLOOKUP('Données projet'!$B$10,Paramètres!$A$1:$I$89,3,0)*VLOOKUP('Données projet'!$B$10,Paramètres!$A$1:$I$89,5,0)</f>
        <v>0.89926444388275562</v>
      </c>
      <c r="AK6" s="14">
        <f t="shared" si="35"/>
        <v>0.41957247636442002</v>
      </c>
      <c r="AL6" s="22">
        <f t="shared" si="4"/>
        <v>2.296974302763831</v>
      </c>
      <c r="AM6" s="62">
        <f t="shared" si="5"/>
        <v>175.65199487264871</v>
      </c>
      <c r="AN6" s="62">
        <f ca="1">AVERAGE(OFFSET($AM$3,0,0,'Données projet'!$E$10+1,1))-AVERAGE(OFFSET($H$3,0,0,'Données projet'!$E$10+1,1))</f>
        <v>413.08876898406481</v>
      </c>
      <c r="AO6" s="62">
        <f t="shared" si="36"/>
        <v>520.31320932826566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14.88</v>
      </c>
      <c r="BD6" s="13">
        <f>IF('Données projet'!$A$88&gt;35,BD5+BC6-BL5,IF(A6&lt;'Données projet'!$A$88,$BA$205^A6,IF(A6='Données projet'!$A$88,'Données projet'!$B$88,BD5+BC6-BL5)))</f>
        <v>2.0345349409112115</v>
      </c>
      <c r="BE6" s="14">
        <f>BD6*VLOOKUP('Données projet'!$B$11,Paramètres!$A$1:$I$89,3,0)*VLOOKUP('Données projet'!$B$11,Paramètres!$A$1:$I$89,5,0)</f>
        <v>1.1373050319693672</v>
      </c>
      <c r="BF6" s="14">
        <f t="shared" si="37"/>
        <v>0.51632713239357908</v>
      </c>
      <c r="BG6" s="22">
        <f t="shared" si="7"/>
        <v>2.880076019598798</v>
      </c>
      <c r="BH6" s="62">
        <f t="shared" si="8"/>
        <v>176.23509658948367</v>
      </c>
      <c r="BI6" s="62">
        <f ca="1">AVERAGE(OFFSET($BH$3,0,0,'Données projet'!$E$11+1,1))-AVERAGE(OFFSET($H$3,0,0,'Données projet'!$E$11+1,1))</f>
        <v>507.66185230065889</v>
      </c>
      <c r="BJ6" s="62">
        <f t="shared" si="38"/>
        <v>640.14375617778342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4.7916666665000003</v>
      </c>
      <c r="BY6" s="13">
        <f>IF('Données projet'!$A$114&gt;35,BY5+BX6-CG5,IF(A6&lt;'Données projet'!$A$114,$BV$205^A6,IF(A6='Données projet'!$A$114,'Données projet'!$B$114,BY5+BX6-CG5)))</f>
        <v>1.9825652475342457</v>
      </c>
      <c r="BZ6" s="14">
        <f>BY6*VLOOKUP('Données projet'!$B$12,Paramètres!$A$1:$I$89,3,0)*VLOOKUP('Données projet'!$B$12,Paramètres!$A$1:$I$89,5,0)</f>
        <v>0.92784053584602699</v>
      </c>
      <c r="CA6" s="14">
        <f t="shared" si="39"/>
        <v>0.43133183208235032</v>
      </c>
      <c r="CB6" s="22">
        <f t="shared" si="10"/>
        <v>2.3672252074752573</v>
      </c>
      <c r="CC6" s="62">
        <f t="shared" si="11"/>
        <v>175.72224577736014</v>
      </c>
      <c r="CD6" s="62">
        <f ca="1">AVERAGE(OFFSET($CC$3,0,0,'Données projet'!$E$12+1,1))-AVERAGE(OFFSET($H$3,0,0,'Données projet'!$E$12+1,1))</f>
        <v>289.21044803824958</v>
      </c>
      <c r="CE6" s="62">
        <f t="shared" si="40"/>
        <v>196.11836398299445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>
        <f>EXP(-LN(2)/35)*CK5+(1-EXP(-LN(2)/35))/(LN(2)/35)*CG6*CH6*VLOOKUP('Données projet'!$B$12,Paramètres!$A$1:$I$89,3,0)*0.475*44/12</f>
        <v>0</v>
      </c>
      <c r="CL6" s="23">
        <f>EXP(-LN(2)/25)*CL5+(1-EXP(-LN(2)/25))/(LN(2)/25)*Calculateur!CG6*Calculateur!CI6*VLOOKUP('Données projet'!$B$12,Paramètres!$A$1:$I$89,3,0)*0.475*44/12</f>
        <v>0</v>
      </c>
      <c r="CM6" s="23">
        <f>EXP(-LN(2)/2)*CM5+(1-EXP(-LN(2)/2))/(LN(2)/2)*CG6*CJ6*VLOOKUP('Données projet'!$B$12,Paramètres!$A$1:$I$89,3,0)*0.475*44/12</f>
        <v>0</v>
      </c>
      <c r="CN6" s="24">
        <f t="shared" si="12"/>
        <v>0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6.8</v>
      </c>
      <c r="CT6" s="13">
        <f>IF('Données projet'!$A$140&gt;35,CT5+CS6-DB5,IF(A6&lt;'Données projet'!$A$140,$CQ$205^A6,IF(A6='Données projet'!$A$140,'Données projet'!$B$140,CT5+CS6-DB5)))</f>
        <v>8.2963554401312951</v>
      </c>
      <c r="CU6" s="18">
        <f>CT6*VLOOKUP('Données projet'!$B$13,Paramètres!$A$1:$I$89,3,0)*VLOOKUP('Données projet'!$B$13,Paramètres!$A$1:$I$89,5,0)</f>
        <v>7.5065424022307949</v>
      </c>
      <c r="CV6" s="14">
        <f t="shared" si="41"/>
        <v>2.7358406474604431</v>
      </c>
      <c r="CW6" s="22">
        <f t="shared" si="13"/>
        <v>17.838817144878906</v>
      </c>
      <c r="CX6" s="62">
        <f t="shared" si="14"/>
        <v>191.19383771476379</v>
      </c>
      <c r="CY6" s="62">
        <f ca="1">AVERAGE(OFFSET($CX$3,0,0,'Données projet'!$E$13+1,1))-AVERAGE(OFFSET($H$3,0,0,'Données projet'!$E$13+1,1))</f>
        <v>376.68007030857598</v>
      </c>
      <c r="CZ6" s="62">
        <f t="shared" si="42"/>
        <v>532.90758914457626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>
        <f>EXP(-LN(2)/35)*DF5+(1-EXP(-LN(2)/35))/(LN(2)/35)*DB6*DC6*VLOOKUP('Données projet'!$B$13,Paramètres!$A$1:$I$89,3,0)*0.475*44/12</f>
        <v>0</v>
      </c>
      <c r="DG6" s="23">
        <f>EXP(-LN(2)/25)*DG5+(1-EXP(-LN(2)/25))/(LN(2)/25)*Calculateur!DB6*Calculateur!DD6*VLOOKUP('Données projet'!$B$13,Paramètres!$A$1:$I$89,3,0)*0.475*44/12</f>
        <v>0</v>
      </c>
      <c r="DH6" s="23">
        <f>EXP(-LN(2)/2)*DH5+(1-EXP(-LN(2)/2))/(LN(2)/2)*DB6*DE6*VLOOKUP('Données projet'!$B$13,Paramètres!$A$1:$I$89,3,0)*0.475*44/12</f>
        <v>0</v>
      </c>
      <c r="DI6" s="24">
        <f t="shared" si="15"/>
        <v>0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2.6666666666666665</v>
      </c>
      <c r="DO6" s="13">
        <f>IF('Données projet'!$A$166&gt;35,DO5+DN6-DW5,IF(A6&lt;'Données projet'!$A$166,$DL$205^A6,IF(A6='Données projet'!$A$166,'Données projet'!$B$166,DO5+DN6-DW5)))</f>
        <v>2.0912791051825459</v>
      </c>
      <c r="DP6" s="18">
        <f>DO6*VLOOKUP('Données projet'!$B$14,Paramètres!$A$1:$I$89,3,0)*VLOOKUP('Données projet'!$B$14,Paramètres!$A$1:$I$89,5,0)</f>
        <v>1.9900611964917108</v>
      </c>
      <c r="DQ6" s="14">
        <f t="shared" si="43"/>
        <v>0.84650678578369964</v>
      </c>
      <c r="DR6" s="22">
        <f t="shared" si="16"/>
        <v>4.9403559024630059</v>
      </c>
      <c r="DS6" s="62">
        <f t="shared" si="17"/>
        <v>178.2953764723479</v>
      </c>
      <c r="DT6" s="62">
        <f ca="1">AVERAGE(OFFSET($DS$3,0,0,'Données projet'!$E$14+1,1))-AVERAGE(OFFSET($H$3,0,0,'Données projet'!$E$14+1,1))</f>
        <v>364.63161066507769</v>
      </c>
      <c r="DU6" s="62">
        <f t="shared" si="44"/>
        <v>355.44729904860708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>
        <f>EXP(-LN(2)/35)*EA5+(1-EXP(-LN(2)/35))/(LN(2)/35)*DW6*DX6*VLOOKUP('Données projet'!$B$14,Paramètres!$A$1:$I$89,3,0)*0.475*44/12</f>
        <v>0</v>
      </c>
      <c r="EB6" s="23">
        <f>EXP(-LN(2)/25)*EB5+(1-EXP(-LN(2)/25))/(LN(2)/25)*Calculateur!DW6*Calculateur!DY6*VLOOKUP('Données projet'!$B$14,Paramètres!$A$1:$I$89,3,0)*0.475*44/12</f>
        <v>0</v>
      </c>
      <c r="EC6" s="23">
        <f>EXP(-LN(2)/2)*EC5+(1-EXP(-LN(2)/2))/(LN(2)/2)*DW6*DZ6*VLOOKUP('Données projet'!$B$14,Paramètres!$A$1:$I$89,3,0)*0.475*44/12</f>
        <v>0</v>
      </c>
      <c r="ED6" s="24">
        <f t="shared" si="18"/>
        <v>0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2.6666666666666665</v>
      </c>
      <c r="EJ6" s="13">
        <f>IF('Données projet'!$A$192&gt;35,EJ5+EI6-ER5,IF(A6&lt;'Données projet'!$A$192,$EG$205^A6,IF(A6='Données projet'!$A$192,'Données projet'!$B$192,EJ5+EI6-ER5)))</f>
        <v>2.0912791051825459</v>
      </c>
      <c r="EK6" s="18">
        <f>EJ6*VLOOKUP('Données projet'!$B$15,Paramètres!$A$1:$I$89,3,0)*VLOOKUP('Données projet'!$B$15,Paramètres!$A$1:$I$89,5,0)</f>
        <v>1.5333258399198426</v>
      </c>
      <c r="EL6" s="14">
        <f t="shared" si="45"/>
        <v>0.67232408412449463</v>
      </c>
      <c r="EM6" s="22">
        <f t="shared" si="19"/>
        <v>3.8415069510438875</v>
      </c>
      <c r="EN6" s="62">
        <f t="shared" si="20"/>
        <v>177.19652752092878</v>
      </c>
      <c r="EO6" s="62">
        <f ca="1">AVERAGE(OFFSET($EN$3,0,0,'Données projet'!$E$15+1,1))-AVERAGE(OFFSET($H$3,0,0,'Données projet'!$E$15+1,1))</f>
        <v>293.59366973965774</v>
      </c>
      <c r="EP6" s="62">
        <f t="shared" si="46"/>
        <v>288.13804536120426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>
        <f>EXP(-LN(2)/35)*EV5+(1-EXP(-LN(2)/35))/(LN(2)/35)*ER6*ES6*VLOOKUP('Données projet'!$B$15,Paramètres!$A$1:$I$89,3,0)*0.475*44/12</f>
        <v>0</v>
      </c>
      <c r="EW6" s="23">
        <f>EXP(-LN(2)/25)*EW5+(1-EXP(-LN(2)/25))/(LN(2)/25)*Calculateur!ER6*Calculateur!ET6*VLOOKUP('Données projet'!$B$15,Paramètres!$A$1:$I$89,3,0)*0.475*44/12</f>
        <v>0</v>
      </c>
      <c r="EX6" s="23">
        <f>EXP(-LN(2)/2)*EX5+(1-EXP(-LN(2)/2))/(LN(2)/2)*ER6*EU6*VLOOKUP('Données projet'!$B$15,Paramètres!$A$1:$I$89,3,0)*0.475*44/12</f>
        <v>0</v>
      </c>
      <c r="EY6" s="24">
        <f t="shared" si="21"/>
        <v>0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2.6666666666666665</v>
      </c>
      <c r="FE6" s="13">
        <f>IF('Données projet'!$A$218&gt;35,FE5+FD6-FM5,IF(A6&lt;'Données projet'!$A$218,$FB$205^A6,IF(A6='Données projet'!$A$218,'Données projet'!$B$218,FE5+FD6-FM5)))</f>
        <v>2.0912791051825459</v>
      </c>
      <c r="FF6" s="18">
        <f>FE6*VLOOKUP('Données projet'!$B$16,Paramètres!$A$1:$I$89,3,0)*VLOOKUP('Données projet'!$B$16,Paramètres!$A$1:$I$89,5,0)</f>
        <v>2.0226851505325585</v>
      </c>
      <c r="FG6" s="14">
        <f t="shared" si="47"/>
        <v>0.858757016471277</v>
      </c>
      <c r="FH6" s="22">
        <f t="shared" si="22"/>
        <v>5.0185117741983465</v>
      </c>
      <c r="FI6" s="62">
        <f t="shared" si="23"/>
        <v>178.37353234408323</v>
      </c>
      <c r="FJ6" s="62">
        <f ca="1">AVERAGE(OFFSET($FI$3,0,0,'Données projet'!$E$16+1,1))-AVERAGE(OFFSET($H$3,0,0,'Données projet'!$E$16+1,1))</f>
        <v>369.69145521630799</v>
      </c>
      <c r="FK6" s="62">
        <f t="shared" si="48"/>
        <v>360.24112103688719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>
        <f>EXP(-LN(2)/35)*FQ5+(1-EXP(-LN(2)/35))/(LN(2)/35)*FM6*FN6*VLOOKUP('Données projet'!$B$16,Paramètres!$A$1:$I$89,3,0)*0.475*44/12</f>
        <v>0</v>
      </c>
      <c r="FR6" s="23">
        <f>EXP(-LN(2)/25)*FR5+(1-EXP(-LN(2)/25))/(LN(2)/25)*Calculateur!FM6*Calculateur!FO6*VLOOKUP('Données projet'!$B$16,Paramètres!$A$1:$I$89,3,0)*0.475*44/12</f>
        <v>0</v>
      </c>
      <c r="FS6" s="23">
        <f>EXP(-LN(2)/2)*FS5+(1-EXP(-LN(2)/2))/(LN(2)/2)*FM6*FP6*VLOOKUP('Données projet'!$B$16,Paramètres!$A$1:$I$89,3,0)*0.475*44/12</f>
        <v>0</v>
      </c>
      <c r="FT6" s="24">
        <f t="shared" si="24"/>
        <v>0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2.6666666666666665</v>
      </c>
      <c r="FZ6" s="13">
        <f>IF('Données projet'!$A$244&gt;35,FZ5+FY6-GH5,IF(A6&lt;'Données projet'!$A$244,$FW$205^A6,IF(A6='Données projet'!$A$244,'Données projet'!$B$244,FZ5+FY6-GH5)))</f>
        <v>2.0912791051825459</v>
      </c>
      <c r="GA6" s="18">
        <f>FZ6*VLOOKUP('Données projet'!$B$17,Paramètres!$A$1:$I$89,3,0)*VLOOKUP('Données projet'!$B$17,Paramètres!$A$1:$I$89,5,0)</f>
        <v>2.2510528288184921</v>
      </c>
      <c r="GB6" s="14">
        <f t="shared" si="49"/>
        <v>0.94388711639276912</v>
      </c>
      <c r="GC6" s="22">
        <f t="shared" si="25"/>
        <v>5.5645204045762791</v>
      </c>
      <c r="GD6" s="62">
        <f t="shared" si="26"/>
        <v>178.91954097446117</v>
      </c>
      <c r="GE6" s="62">
        <f ca="1">AVERAGE(OFFSET($GD$3,0,0,'Données projet'!$E$17+1,1))-AVERAGE(OFFSET($H$3,0,0,'Données projet'!$E$17+1,1))</f>
        <v>405.06394904053946</v>
      </c>
      <c r="GF6" s="62">
        <f t="shared" si="50"/>
        <v>393.75247087518198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>
        <f>EXP(-LN(2)/35)*GL5+(1-EXP(-LN(2)/35))/(LN(2)/35)*GH6*GI6*VLOOKUP('Données projet'!$B$17,Paramètres!$A$1:$I$89,3,0)*0.475*44/12</f>
        <v>0</v>
      </c>
      <c r="GM6" s="23">
        <f>EXP(-LN(2)/25)*GM5+(1-EXP(-LN(2)/25))/(LN(2)/25)*Calculateur!GH6*Calculateur!GJ6*VLOOKUP('Données projet'!$B$17,Paramètres!$A$1:$I$89,3,0)*0.475*44/12</f>
        <v>0</v>
      </c>
      <c r="GN6" s="23">
        <f>EXP(-LN(2)/2)*GN5+(1-EXP(-LN(2)/2))/(LN(2)/2)*GH6*GK6*VLOOKUP('Données projet'!$B$17,Paramètres!$A$1:$I$89,3,0)*0.475*44/12</f>
        <v>0</v>
      </c>
      <c r="GO6" s="23">
        <f t="shared" si="27"/>
        <v>0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2.6666666666666665</v>
      </c>
      <c r="GU6" s="13">
        <f>IF('Données projet'!$A$270&gt;35,GU5+GT6-HC5,IF(A6&lt;'Données projet'!$A$270,$GR$205^A6,IF(A6='Données projet'!$A$270,'Données projet'!$B$270,GU5+GT6-HC5)))</f>
        <v>2.0912791051825459</v>
      </c>
      <c r="GV6" s="18">
        <f>GU6*VLOOKUP('Données projet'!$B$18,Paramètres!$A$1:$I$89,3,0)*VLOOKUP('Données projet'!$B$18,Paramètres!$A$1:$I$89,5,0)</f>
        <v>1.4028300237564517</v>
      </c>
      <c r="GW6" s="14">
        <f t="shared" si="51"/>
        <v>0.62150657719326441</v>
      </c>
      <c r="GX6" s="22">
        <f t="shared" si="28"/>
        <v>3.5257195799874221</v>
      </c>
      <c r="GY6" s="62">
        <f t="shared" si="29"/>
        <v>176.88074014987231</v>
      </c>
      <c r="GZ6" s="62">
        <f ca="1">AVERAGE(OFFSET($GY$3,0,0,'Données projet'!$E$18+1,1))-AVERAGE(OFFSET($H$3,0,0,'Données projet'!$E$18+1,1))</f>
        <v>273.21861937609918</v>
      </c>
      <c r="HA6" s="62">
        <f t="shared" si="52"/>
        <v>268.83004886965318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>
        <f>EXP(-LN(2)/35)*HG5+(1-EXP(-LN(2)/35))/(LN(2)/35)*HC6*HD6*VLOOKUP('Données projet'!$B$18,Paramètres!$A$1:$I$89,3,0)*0.475*44/12</f>
        <v>0</v>
      </c>
      <c r="HH6" s="23">
        <f>EXP(-LN(2)/25)*HH5+(1-EXP(-LN(2)/25))/(LN(2)/25)*Calculateur!HC6*Calculateur!HE6*VLOOKUP('Données projet'!$B$18,Paramètres!$A$1:$I$89,3,0)*0.475*44/12</f>
        <v>0</v>
      </c>
      <c r="HI6" s="23">
        <f>EXP(-LN(2)/2)*HI5+(1-EXP(-LN(2)/2))/(LN(2)/2)*HC6*HF6*VLOOKUP('Données projet'!$B$18,Paramètres!$A$1:$I$89,3,0)*0.475*44/12</f>
        <v>0</v>
      </c>
      <c r="HJ6" s="24">
        <f t="shared" si="30"/>
        <v>0</v>
      </c>
    </row>
    <row r="7" spans="1:218" s="5" customFormat="1" x14ac:dyDescent="0.4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2.4423076923076925</v>
      </c>
      <c r="N7" s="14">
        <f>IF('Données projet'!$A$36&gt;35,N6+M7-V6,IF(A7&lt;'Données projet'!$A$36,$K$205^A7,IF(A7='Données projet'!$A$36,'Données projet'!$B$36,N6+M7-V6)))</f>
        <v>9.7692307692307701</v>
      </c>
      <c r="O7" s="14">
        <f>N7*VLOOKUP('Données projet'!$B$9,Paramètres!$A$1:$I$89,3,0)*VLOOKUP('Données projet'!$B$9,Paramètres!$A$1:$I$89,5,0)</f>
        <v>8.8391999999999999</v>
      </c>
      <c r="P7" s="14">
        <f t="shared" si="33"/>
        <v>3.1608403215495366</v>
      </c>
      <c r="Q7" s="22">
        <f t="shared" si="2"/>
        <v>20.900070226698777</v>
      </c>
      <c r="R7" s="62">
        <f t="shared" si="0"/>
        <v>196.98619229087572</v>
      </c>
      <c r="S7" s="62">
        <f ca="1">AVERAGE(OFFSET($R$3,0,0,'Données projet'!$E$9+1,1))-AVERAGE(OFFSET($H$3,0,0,'Données projet'!$E$9+1,1))</f>
        <v>432.80275651765203</v>
      </c>
      <c r="T7" s="62">
        <f t="shared" si="34"/>
        <v>203.89279893419919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14.88</v>
      </c>
      <c r="AI7" s="14">
        <f>IF('Données projet'!$A$62&gt;35,AI6+AH7-AQ6,IF(A7&lt;'Données projet'!$A$62,$AF$205^A7,IF(A7='Données projet'!$A$62,'Données projet'!$B$62,AI6+AH7-AQ6)))</f>
        <v>2.5780234912727997</v>
      </c>
      <c r="AJ7" s="14">
        <f>AI7*VLOOKUP('Données projet'!$B$10,Paramètres!$A$1:$I$89,3,0)*VLOOKUP('Données projet'!$B$10,Paramètres!$A$1:$I$89,5,0)</f>
        <v>1.1394863831425774</v>
      </c>
      <c r="AK7" s="14">
        <f t="shared" si="35"/>
        <v>0.51720207755591674</v>
      </c>
      <c r="AL7" s="22">
        <f t="shared" si="4"/>
        <v>2.885399069049877</v>
      </c>
      <c r="AM7" s="62">
        <f t="shared" si="5"/>
        <v>178.97152113322682</v>
      </c>
      <c r="AN7" s="62">
        <f ca="1">AVERAGE(OFFSET($AM$3,0,0,'Données projet'!$E$10+1,1))-AVERAGE(OFFSET($H$3,0,0,'Données projet'!$E$10+1,1))</f>
        <v>413.08876898406481</v>
      </c>
      <c r="AO7" s="62">
        <f t="shared" si="36"/>
        <v>520.31320932826566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14.88</v>
      </c>
      <c r="BD7" s="13">
        <f>IF('Données projet'!$A$88&gt;35,BD6+BC7-BL6,IF(A7&lt;'Données projet'!$A$88,$BA$205^A7,IF(A7='Données projet'!$A$88,'Données projet'!$B$88,BD6+BC7-BL6)))</f>
        <v>2.5780234912727997</v>
      </c>
      <c r="BE7" s="14">
        <f>BD7*VLOOKUP('Données projet'!$B$11,Paramètres!$A$1:$I$89,3,0)*VLOOKUP('Données projet'!$B$11,Paramètres!$A$1:$I$89,5,0)</f>
        <v>1.441115131621495</v>
      </c>
      <c r="BF7" s="14">
        <f t="shared" si="37"/>
        <v>0.63647040884661232</v>
      </c>
      <c r="BG7" s="22">
        <f t="shared" si="7"/>
        <v>3.618461482981953</v>
      </c>
      <c r="BH7" s="62">
        <f t="shared" si="8"/>
        <v>179.7045835471589</v>
      </c>
      <c r="BI7" s="62">
        <f ca="1">AVERAGE(OFFSET($BH$3,0,0,'Données projet'!$E$11+1,1))-AVERAGE(OFFSET($H$3,0,0,'Données projet'!$E$11+1,1))</f>
        <v>507.66185230065889</v>
      </c>
      <c r="BJ7" s="62">
        <f t="shared" si="38"/>
        <v>640.14375617778342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4.7916666665000003</v>
      </c>
      <c r="BY7" s="13">
        <f>IF('Données projet'!$A$114&gt;35,BY6+BX7-CG6,IF(A7&lt;'Données projet'!$A$114,$BV$205^A7,IF(A7='Données projet'!$A$114,'Données projet'!$B$114,BY6+BX7-CG6)))</f>
        <v>2.4905961868992796</v>
      </c>
      <c r="BZ7" s="14">
        <f>BY7*VLOOKUP('Données projet'!$B$12,Paramètres!$A$1:$I$89,3,0)*VLOOKUP('Données projet'!$B$12,Paramètres!$A$1:$I$89,5,0)</f>
        <v>1.1655990154688629</v>
      </c>
      <c r="CA7" s="14">
        <f t="shared" si="39"/>
        <v>0.52766089916170456</v>
      </c>
      <c r="CB7" s="22">
        <f t="shared" si="10"/>
        <v>2.9490943513149053</v>
      </c>
      <c r="CC7" s="62">
        <f t="shared" si="11"/>
        <v>179.03521641549185</v>
      </c>
      <c r="CD7" s="62">
        <f ca="1">AVERAGE(OFFSET($CC$3,0,0,'Données projet'!$E$12+1,1))-AVERAGE(OFFSET($H$3,0,0,'Données projet'!$E$12+1,1))</f>
        <v>289.21044803824958</v>
      </c>
      <c r="CE7" s="62">
        <f t="shared" si="40"/>
        <v>196.11836398299445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>
        <f>EXP(-LN(2)/35)*CK6+(1-EXP(-LN(2)/35))/(LN(2)/35)*CG7*CH7*VLOOKUP('Données projet'!$B$12,Paramètres!$A$1:$I$89,3,0)*0.475*44/12</f>
        <v>0</v>
      </c>
      <c r="CL7" s="23">
        <f>EXP(-LN(2)/25)*CL6+(1-EXP(-LN(2)/25))/(LN(2)/25)*Calculateur!CG7*Calculateur!CI7*VLOOKUP('Données projet'!$B$12,Paramètres!$A$1:$I$89,3,0)*0.475*44/12</f>
        <v>0</v>
      </c>
      <c r="CM7" s="23">
        <f>EXP(-LN(2)/2)*CM6+(1-EXP(-LN(2)/2))/(LN(2)/2)*CG7*CJ7*VLOOKUP('Données projet'!$B$12,Paramètres!$A$1:$I$89,3,0)*0.475*44/12</f>
        <v>0</v>
      </c>
      <c r="CN7" s="24">
        <f t="shared" si="12"/>
        <v>0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6.8</v>
      </c>
      <c r="CT7" s="13">
        <f>IF('Données projet'!$A$140&gt;35,CT6+CS7-DB6,IF(A7&lt;'Données projet'!$A$140,$CQ$205^A7,IF(A7='Données projet'!$A$140,'Données projet'!$B$140,CT6+CS7-DB6)))</f>
        <v>16.795120867813488</v>
      </c>
      <c r="CU7" s="18">
        <f>CT7*VLOOKUP('Données projet'!$B$13,Paramètres!$A$1:$I$89,3,0)*VLOOKUP('Données projet'!$B$13,Paramètres!$A$1:$I$89,5,0)</f>
        <v>15.196225361197643</v>
      </c>
      <c r="CV7" s="14">
        <f t="shared" si="41"/>
        <v>5.1019212633160578</v>
      </c>
      <c r="CW7" s="22">
        <f t="shared" si="13"/>
        <v>35.352605371028027</v>
      </c>
      <c r="CX7" s="62">
        <f t="shared" si="14"/>
        <v>211.43872743520498</v>
      </c>
      <c r="CY7" s="62">
        <f ca="1">AVERAGE(OFFSET($CX$3,0,0,'Données projet'!$E$13+1,1))-AVERAGE(OFFSET($H$3,0,0,'Données projet'!$E$13+1,1))</f>
        <v>376.68007030857598</v>
      </c>
      <c r="CZ7" s="62">
        <f t="shared" si="42"/>
        <v>532.90758914457626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>
        <f>EXP(-LN(2)/35)*DF6+(1-EXP(-LN(2)/35))/(LN(2)/35)*DB7*DC7*VLOOKUP('Données projet'!$B$13,Paramètres!$A$1:$I$89,3,0)*0.475*44/12</f>
        <v>0</v>
      </c>
      <c r="DG7" s="23">
        <f>EXP(-LN(2)/25)*DG6+(1-EXP(-LN(2)/25))/(LN(2)/25)*Calculateur!DB7*Calculateur!DD7*VLOOKUP('Données projet'!$B$13,Paramètres!$A$1:$I$89,3,0)*0.475*44/12</f>
        <v>0</v>
      </c>
      <c r="DH7" s="23">
        <f>EXP(-LN(2)/2)*DH6+(1-EXP(-LN(2)/2))/(LN(2)/2)*DB7*DE7*VLOOKUP('Données projet'!$B$13,Paramètres!$A$1:$I$89,3,0)*0.475*44/12</f>
        <v>0</v>
      </c>
      <c r="DI7" s="24">
        <f t="shared" si="15"/>
        <v>0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2.6666666666666665</v>
      </c>
      <c r="DO7" s="13">
        <f>IF('Données projet'!$A$166&gt;35,DO6+DN7-DW6,IF(A7&lt;'Données projet'!$A$166,$DL$205^A7,IF(A7='Données projet'!$A$166,'Données projet'!$B$166,DO6+DN7-DW6)))</f>
        <v>2.6743361672197152</v>
      </c>
      <c r="DP7" s="18">
        <f>DO7*VLOOKUP('Données projet'!$B$14,Paramètres!$A$1:$I$89,3,0)*VLOOKUP('Données projet'!$B$14,Paramètres!$A$1:$I$89,5,0)</f>
        <v>2.5448982967262808</v>
      </c>
      <c r="DQ7" s="14">
        <f t="shared" si="43"/>
        <v>1.0519678270745372</v>
      </c>
      <c r="DR7" s="22">
        <f t="shared" si="16"/>
        <v>6.264541832286425</v>
      </c>
      <c r="DS7" s="62">
        <f t="shared" si="17"/>
        <v>182.35066389646337</v>
      </c>
      <c r="DT7" s="62">
        <f ca="1">AVERAGE(OFFSET($DS$3,0,0,'Données projet'!$E$14+1,1))-AVERAGE(OFFSET($H$3,0,0,'Données projet'!$E$14+1,1))</f>
        <v>364.63161066507769</v>
      </c>
      <c r="DU7" s="62">
        <f t="shared" si="44"/>
        <v>355.44729904860708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>
        <f>EXP(-LN(2)/35)*EA6+(1-EXP(-LN(2)/35))/(LN(2)/35)*DW7*DX7*VLOOKUP('Données projet'!$B$14,Paramètres!$A$1:$I$89,3,0)*0.475*44/12</f>
        <v>0</v>
      </c>
      <c r="EB7" s="23">
        <f>EXP(-LN(2)/25)*EB6+(1-EXP(-LN(2)/25))/(LN(2)/25)*Calculateur!DW7*Calculateur!DY7*VLOOKUP('Données projet'!$B$14,Paramètres!$A$1:$I$89,3,0)*0.475*44/12</f>
        <v>0</v>
      </c>
      <c r="EC7" s="23">
        <f>EXP(-LN(2)/2)*EC6+(1-EXP(-LN(2)/2))/(LN(2)/2)*DW7*DZ7*VLOOKUP('Données projet'!$B$14,Paramètres!$A$1:$I$89,3,0)*0.475*44/12</f>
        <v>0</v>
      </c>
      <c r="ED7" s="24">
        <f t="shared" si="18"/>
        <v>0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2.6666666666666665</v>
      </c>
      <c r="EJ7" s="13">
        <f>IF('Données projet'!$A$192&gt;35,EJ6+EI7-ER6,IF(A7&lt;'Données projet'!$A$192,$EG$205^A7,IF(A7='Données projet'!$A$192,'Données projet'!$B$192,EJ6+EI7-ER6)))</f>
        <v>2.6743361672197152</v>
      </c>
      <c r="EK7" s="18">
        <f>EJ7*VLOOKUP('Données projet'!$B$15,Paramètres!$A$1:$I$89,3,0)*VLOOKUP('Données projet'!$B$15,Paramètres!$A$1:$I$89,5,0)</f>
        <v>1.960823277805495</v>
      </c>
      <c r="EL7" s="14">
        <f t="shared" si="45"/>
        <v>0.83550813501339571</v>
      </c>
      <c r="EM7" s="22">
        <f t="shared" si="19"/>
        <v>4.8702772106595678</v>
      </c>
      <c r="EN7" s="62">
        <f t="shared" si="20"/>
        <v>180.95639927483651</v>
      </c>
      <c r="EO7" s="62">
        <f ca="1">AVERAGE(OFFSET($EN$3,0,0,'Données projet'!$E$15+1,1))-AVERAGE(OFFSET($H$3,0,0,'Données projet'!$E$15+1,1))</f>
        <v>293.59366973965774</v>
      </c>
      <c r="EP7" s="62">
        <f t="shared" si="46"/>
        <v>288.13804536120426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>
        <f>EXP(-LN(2)/35)*EV6+(1-EXP(-LN(2)/35))/(LN(2)/35)*ER7*ES7*VLOOKUP('Données projet'!$B$15,Paramètres!$A$1:$I$89,3,0)*0.475*44/12</f>
        <v>0</v>
      </c>
      <c r="EW7" s="23">
        <f>EXP(-LN(2)/25)*EW6+(1-EXP(-LN(2)/25))/(LN(2)/25)*Calculateur!ER7*Calculateur!ET7*VLOOKUP('Données projet'!$B$15,Paramètres!$A$1:$I$89,3,0)*0.475*44/12</f>
        <v>0</v>
      </c>
      <c r="EX7" s="23">
        <f>EXP(-LN(2)/2)*EX6+(1-EXP(-LN(2)/2))/(LN(2)/2)*ER7*EU7*VLOOKUP('Données projet'!$B$15,Paramètres!$A$1:$I$89,3,0)*0.475*44/12</f>
        <v>0</v>
      </c>
      <c r="EY7" s="24">
        <f t="shared" si="21"/>
        <v>0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2.6666666666666665</v>
      </c>
      <c r="FE7" s="13">
        <f>IF('Données projet'!$A$218&gt;35,FE6+FD7-FM6,IF(A7&lt;'Données projet'!$A$218,$FB$205^A7,IF(A7='Données projet'!$A$218,'Données projet'!$B$218,FE6+FD7-FM6)))</f>
        <v>2.6743361672197152</v>
      </c>
      <c r="FF7" s="18">
        <f>FE7*VLOOKUP('Données projet'!$B$16,Paramètres!$A$1:$I$89,3,0)*VLOOKUP('Données projet'!$B$16,Paramètres!$A$1:$I$89,5,0)</f>
        <v>2.5866179409349086</v>
      </c>
      <c r="FG7" s="14">
        <f t="shared" si="47"/>
        <v>1.0671913890990778</v>
      </c>
      <c r="FH7" s="22">
        <f t="shared" si="22"/>
        <v>6.3637179164758599</v>
      </c>
      <c r="FI7" s="62">
        <f t="shared" si="23"/>
        <v>182.4498399806528</v>
      </c>
      <c r="FJ7" s="62">
        <f ca="1">AVERAGE(OFFSET($FI$3,0,0,'Données projet'!$E$16+1,1))-AVERAGE(OFFSET($H$3,0,0,'Données projet'!$E$16+1,1))</f>
        <v>369.69145521630799</v>
      </c>
      <c r="FK7" s="62">
        <f t="shared" si="48"/>
        <v>360.24112103688719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>
        <f>EXP(-LN(2)/35)*FQ6+(1-EXP(-LN(2)/35))/(LN(2)/35)*FM7*FN7*VLOOKUP('Données projet'!$B$16,Paramètres!$A$1:$I$89,3,0)*0.475*44/12</f>
        <v>0</v>
      </c>
      <c r="FR7" s="23">
        <f>EXP(-LN(2)/25)*FR6+(1-EXP(-LN(2)/25))/(LN(2)/25)*Calculateur!FM7*Calculateur!FO7*VLOOKUP('Données projet'!$B$16,Paramètres!$A$1:$I$89,3,0)*0.475*44/12</f>
        <v>0</v>
      </c>
      <c r="FS7" s="23">
        <f>EXP(-LN(2)/2)*FS6+(1-EXP(-LN(2)/2))/(LN(2)/2)*FM7*FP7*VLOOKUP('Données projet'!$B$16,Paramètres!$A$1:$I$89,3,0)*0.475*44/12</f>
        <v>0</v>
      </c>
      <c r="FT7" s="24">
        <f t="shared" si="24"/>
        <v>0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2.6666666666666665</v>
      </c>
      <c r="FZ7" s="13">
        <f>IF('Données projet'!$A$244&gt;35,FZ6+FY7-GH6,IF(A7&lt;'Données projet'!$A$244,$FW$205^A7,IF(A7='Données projet'!$A$244,'Données projet'!$B$244,FZ6+FY7-GH6)))</f>
        <v>2.6743361672197152</v>
      </c>
      <c r="GA7" s="18">
        <f>FZ7*VLOOKUP('Données projet'!$B$17,Paramètres!$A$1:$I$89,3,0)*VLOOKUP('Données projet'!$B$17,Paramètres!$A$1:$I$89,5,0)</f>
        <v>2.8786554503953012</v>
      </c>
      <c r="GB7" s="14">
        <f t="shared" si="49"/>
        <v>1.1729839565504312</v>
      </c>
      <c r="GC7" s="22">
        <f t="shared" si="25"/>
        <v>7.0566053004304825</v>
      </c>
      <c r="GD7" s="62">
        <f t="shared" si="26"/>
        <v>183.14272736460742</v>
      </c>
      <c r="GE7" s="62">
        <f ca="1">AVERAGE(OFFSET($GD$3,0,0,'Données projet'!$E$17+1,1))-AVERAGE(OFFSET($H$3,0,0,'Données projet'!$E$17+1,1))</f>
        <v>405.06394904053946</v>
      </c>
      <c r="GF7" s="62">
        <f t="shared" si="50"/>
        <v>393.75247087518198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>
        <f>EXP(-LN(2)/35)*GL6+(1-EXP(-LN(2)/35))/(LN(2)/35)*GH7*GI7*VLOOKUP('Données projet'!$B$17,Paramètres!$A$1:$I$89,3,0)*0.475*44/12</f>
        <v>0</v>
      </c>
      <c r="GM7" s="23">
        <f>EXP(-LN(2)/25)*GM6+(1-EXP(-LN(2)/25))/(LN(2)/25)*Calculateur!GH7*Calculateur!GJ7*VLOOKUP('Données projet'!$B$17,Paramètres!$A$1:$I$89,3,0)*0.475*44/12</f>
        <v>0</v>
      </c>
      <c r="GN7" s="23">
        <f>EXP(-LN(2)/2)*GN6+(1-EXP(-LN(2)/2))/(LN(2)/2)*GH7*GK7*VLOOKUP('Données projet'!$B$17,Paramètres!$A$1:$I$89,3,0)*0.475*44/12</f>
        <v>0</v>
      </c>
      <c r="GO7" s="23">
        <f t="shared" si="27"/>
        <v>0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2.6666666666666665</v>
      </c>
      <c r="GU7" s="13">
        <f>IF('Données projet'!$A$270&gt;35,GU6+GT7-HC6,IF(A7&lt;'Données projet'!$A$270,$GR$205^A7,IF(A7='Données projet'!$A$270,'Données projet'!$B$270,GU6+GT7-HC6)))</f>
        <v>2.6743361672197152</v>
      </c>
      <c r="GV7" s="18">
        <f>GU7*VLOOKUP('Données projet'!$B$18,Paramètres!$A$1:$I$89,3,0)*VLOOKUP('Données projet'!$B$18,Paramètres!$A$1:$I$89,5,0)</f>
        <v>1.7939447009709848</v>
      </c>
      <c r="GW7" s="14">
        <f t="shared" si="51"/>
        <v>0.77235638804387863</v>
      </c>
      <c r="GX7" s="22">
        <f t="shared" si="28"/>
        <v>4.4696410633675532</v>
      </c>
      <c r="GY7" s="62">
        <f t="shared" si="29"/>
        <v>180.55576312754451</v>
      </c>
      <c r="GZ7" s="62">
        <f ca="1">AVERAGE(OFFSET($GY$3,0,0,'Données projet'!$E$18+1,1))-AVERAGE(OFFSET($H$3,0,0,'Données projet'!$E$18+1,1))</f>
        <v>273.21861937609918</v>
      </c>
      <c r="HA7" s="62">
        <f t="shared" si="52"/>
        <v>268.83004886965318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>
        <f>EXP(-LN(2)/35)*HG6+(1-EXP(-LN(2)/35))/(LN(2)/35)*HC7*HD7*VLOOKUP('Données projet'!$B$18,Paramètres!$A$1:$I$89,3,0)*0.475*44/12</f>
        <v>0</v>
      </c>
      <c r="HH7" s="23">
        <f>EXP(-LN(2)/25)*HH6+(1-EXP(-LN(2)/25))/(LN(2)/25)*Calculateur!HC7*Calculateur!HE7*VLOOKUP('Données projet'!$B$18,Paramètres!$A$1:$I$89,3,0)*0.475*44/12</f>
        <v>0</v>
      </c>
      <c r="HI7" s="23">
        <f>EXP(-LN(2)/2)*HI6+(1-EXP(-LN(2)/2))/(LN(2)/2)*HC7*HF7*VLOOKUP('Données projet'!$B$18,Paramètres!$A$1:$I$89,3,0)*0.475*44/12</f>
        <v>0</v>
      </c>
      <c r="HJ7" s="24">
        <f t="shared" si="30"/>
        <v>0</v>
      </c>
    </row>
    <row r="8" spans="1:218" s="5" customFormat="1" x14ac:dyDescent="0.4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2.4423076923076925</v>
      </c>
      <c r="N8" s="14">
        <f>IF('Données projet'!$A$36&gt;35,N7+M8-V7,IF(A8&lt;'Données projet'!$A$36,$K$205^A8,IF(A8='Données projet'!$A$36,'Données projet'!$B$36,N7+M8-V7)))</f>
        <v>12.211538461538463</v>
      </c>
      <c r="O8" s="14">
        <f>N8*VLOOKUP('Données projet'!$B$9,Paramètres!$A$1:$I$89,3,0)*VLOOKUP('Données projet'!$B$9,Paramètres!$A$1:$I$89,5,0)</f>
        <v>11.049000000000001</v>
      </c>
      <c r="P8" s="14">
        <f t="shared" si="33"/>
        <v>3.8497474884354701</v>
      </c>
      <c r="Q8" s="22">
        <f t="shared" si="2"/>
        <v>25.94865187569178</v>
      </c>
      <c r="R8" s="62">
        <f t="shared" si="0"/>
        <v>204.73969975213913</v>
      </c>
      <c r="S8" s="62">
        <f ca="1">AVERAGE(OFFSET($R$3,0,0,'Données projet'!$E$9+1,1))-AVERAGE(OFFSET($H$3,0,0,'Données projet'!$E$9+1,1))</f>
        <v>432.80275651765203</v>
      </c>
      <c r="T8" s="62">
        <f t="shared" si="34"/>
        <v>203.89279893419919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14.88</v>
      </c>
      <c r="AI8" s="14">
        <f>IF('Données projet'!$A$62&gt;35,AI7+AH8-AQ7,IF(A8&lt;'Données projet'!$A$62,$AF$205^A8,IF(A8='Données projet'!$A$62,'Données projet'!$B$62,AI7+AH8-AQ7)))</f>
        <v>3.2666950013538454</v>
      </c>
      <c r="AJ8" s="14">
        <f>AI8*VLOOKUP('Données projet'!$B$10,Paramètres!$A$1:$I$89,3,0)*VLOOKUP('Données projet'!$B$10,Paramètres!$A$1:$I$89,5,0)</f>
        <v>1.4438791905983999</v>
      </c>
      <c r="AK8" s="14">
        <f t="shared" si="35"/>
        <v>0.63754894350081504</v>
      </c>
      <c r="AL8" s="22">
        <f t="shared" si="4"/>
        <v>3.6251540002227998</v>
      </c>
      <c r="AM8" s="62">
        <f t="shared" si="5"/>
        <v>182.41620187667016</v>
      </c>
      <c r="AN8" s="62">
        <f ca="1">AVERAGE(OFFSET($AM$3,0,0,'Données projet'!$E$10+1,1))-AVERAGE(OFFSET($H$3,0,0,'Données projet'!$E$10+1,1))</f>
        <v>413.08876898406481</v>
      </c>
      <c r="AO8" s="62">
        <f t="shared" si="36"/>
        <v>520.31320932826566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14.88</v>
      </c>
      <c r="BD8" s="13">
        <f>IF('Données projet'!$A$88&gt;35,BD7+BC8-BL7,IF(A8&lt;'Données projet'!$A$88,$BA$205^A8,IF(A8='Données projet'!$A$88,'Données projet'!$B$88,BD7+BC8-BL7)))</f>
        <v>3.2666950013538454</v>
      </c>
      <c r="BE8" s="14">
        <f>BD8*VLOOKUP('Données projet'!$B$11,Paramètres!$A$1:$I$89,3,0)*VLOOKUP('Données projet'!$B$11,Paramètres!$A$1:$I$89,5,0)</f>
        <v>1.8260825057567995</v>
      </c>
      <c r="BF8" s="14">
        <f t="shared" si="37"/>
        <v>0.78456961860486496</v>
      </c>
      <c r="BG8" s="22">
        <f t="shared" si="7"/>
        <v>4.5468857832632326</v>
      </c>
      <c r="BH8" s="62">
        <f t="shared" si="8"/>
        <v>183.33793365971059</v>
      </c>
      <c r="BI8" s="62">
        <f ca="1">AVERAGE(OFFSET($BH$3,0,0,'Données projet'!$E$11+1,1))-AVERAGE(OFFSET($H$3,0,0,'Données projet'!$E$11+1,1))</f>
        <v>507.66185230065889</v>
      </c>
      <c r="BJ8" s="62">
        <f t="shared" si="38"/>
        <v>640.14375617778342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4.7916666665000003</v>
      </c>
      <c r="BY8" s="13">
        <f>IF('Données projet'!$A$114&gt;35,BY7+BX8-CG7,IF(A8&lt;'Données projet'!$A$114,$BV$205^A8,IF(A8='Données projet'!$A$114,'Données projet'!$B$114,BY7+BX8-CG7)))</f>
        <v>3.1288096943654726</v>
      </c>
      <c r="BZ8" s="14">
        <f>BY8*VLOOKUP('Données projet'!$B$12,Paramètres!$A$1:$I$89,3,0)*VLOOKUP('Données projet'!$B$12,Paramètres!$A$1:$I$89,5,0)</f>
        <v>1.464282936963041</v>
      </c>
      <c r="CA8" s="14">
        <f t="shared" si="39"/>
        <v>0.64550307627418768</v>
      </c>
      <c r="CB8" s="22">
        <f t="shared" si="10"/>
        <v>3.6745439730548402</v>
      </c>
      <c r="CC8" s="62">
        <f t="shared" si="11"/>
        <v>182.4655918495022</v>
      </c>
      <c r="CD8" s="62">
        <f ca="1">AVERAGE(OFFSET($CC$3,0,0,'Données projet'!$E$12+1,1))-AVERAGE(OFFSET($H$3,0,0,'Données projet'!$E$12+1,1))</f>
        <v>289.21044803824958</v>
      </c>
      <c r="CE8" s="62">
        <f t="shared" si="40"/>
        <v>196.11836398299445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>
        <f>EXP(-LN(2)/35)*CK7+(1-EXP(-LN(2)/35))/(LN(2)/35)*CG8*CH8*VLOOKUP('Données projet'!$B$12,Paramètres!$A$1:$I$89,3,0)*0.475*44/12</f>
        <v>0</v>
      </c>
      <c r="CL8" s="23">
        <f>EXP(-LN(2)/25)*CL7+(1-EXP(-LN(2)/25))/(LN(2)/25)*Calculateur!CG8*Calculateur!CI8*VLOOKUP('Données projet'!$B$12,Paramètres!$A$1:$I$89,3,0)*0.475*44/12</f>
        <v>0</v>
      </c>
      <c r="CM8" s="23">
        <f>EXP(-LN(2)/2)*CM7+(1-EXP(-LN(2)/2))/(LN(2)/2)*CG8*CJ8*VLOOKUP('Données projet'!$B$12,Paramètres!$A$1:$I$89,3,0)*0.475*44/12</f>
        <v>0</v>
      </c>
      <c r="CN8" s="24">
        <f t="shared" si="12"/>
        <v>0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>
        <f>VLOOKUP(A8,'Données projet'!$A$139:$I$159,2,0)</f>
        <v>34</v>
      </c>
      <c r="CR8" s="13">
        <f>VLOOKUP(A8,'Données projet'!$A$139:$I$159,9,0)</f>
        <v>6.8</v>
      </c>
      <c r="CS8" s="13">
        <f t="array" ref="CS8">INDEX(CR:CR,MIN(IF(ISNUMBER(CR8:CR204),ROW(CR8:CR204),"")))</f>
        <v>6.8</v>
      </c>
      <c r="CT8" s="13">
        <f>IF('Données projet'!$A$140&gt;35,CT7+CS8-DB7,IF(A8&lt;'Données projet'!$A$140,$CQ$205^A8,IF(A8='Données projet'!$A$140,'Données projet'!$B$140,CT7+CS8-DB7)))</f>
        <v>34</v>
      </c>
      <c r="CU8" s="18">
        <f>CT8*VLOOKUP('Données projet'!$B$13,Paramètres!$A$1:$I$89,3,0)*VLOOKUP('Données projet'!$B$13,Paramètres!$A$1:$I$89,5,0)</f>
        <v>30.763199999999998</v>
      </c>
      <c r="CV8" s="14">
        <f t="shared" si="41"/>
        <v>9.5142970411082253</v>
      </c>
      <c r="CW8" s="22">
        <f t="shared" si="13"/>
        <v>70.149974013263474</v>
      </c>
      <c r="CX8" s="62">
        <f t="shared" si="14"/>
        <v>248.94102188971084</v>
      </c>
      <c r="CY8" s="62">
        <f ca="1">AVERAGE(OFFSET($CX$3,0,0,'Données projet'!$E$13+1,1))-AVERAGE(OFFSET($H$3,0,0,'Données projet'!$E$13+1,1))</f>
        <v>376.68007030857598</v>
      </c>
      <c r="CZ8" s="62">
        <f t="shared" si="42"/>
        <v>532.90758914457626</v>
      </c>
      <c r="DA8" s="16">
        <f>IF(ISNA(VLOOKUP(A8,'Données projet'!$A$139:$I$159,3,0)),0,VLOOKUP(A8,'Données projet'!$A$139:$I$159,3,0))</f>
        <v>1</v>
      </c>
      <c r="DB8" s="16">
        <f>IF(ISNA(VLOOKUP(A8,'Données projet'!$A$139:$I$159,4,0)),0,VLOOKUP(A8,'Données projet'!$A$139:$I$159,4,0))</f>
        <v>6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>
        <f>EXP(-LN(2)/35)*DF7+(1-EXP(-LN(2)/35))/(LN(2)/35)*DB8*DC8*VLOOKUP('Données projet'!$B$13,Paramètres!$A$1:$I$89,3,0)*0.475*44/12</f>
        <v>0</v>
      </c>
      <c r="DG8" s="23">
        <f>EXP(-LN(2)/25)*DG7+(1-EXP(-LN(2)/25))/(LN(2)/25)*Calculateur!DB8*Calculateur!DD8*VLOOKUP('Données projet'!$B$13,Paramètres!$A$1:$I$89,3,0)*0.475*44/12</f>
        <v>0</v>
      </c>
      <c r="DH8" s="23">
        <f>EXP(-LN(2)/2)*DH7+(1-EXP(-LN(2)/2))/(LN(2)/2)*DB8*DE8*VLOOKUP('Données projet'!$B$13,Paramètres!$A$1:$I$89,3,0)*0.475*44/12</f>
        <v>0</v>
      </c>
      <c r="DI8" s="24">
        <f t="shared" si="15"/>
        <v>0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2.6666666666666665</v>
      </c>
      <c r="DO8" s="13">
        <f>IF('Données projet'!$A$166&gt;35,DO7+DN8-DW7,IF(A8&lt;'Données projet'!$A$166,$DL$205^A8,IF(A8='Données projet'!$A$166,'Données projet'!$B$166,DO7+DN8-DW7)))</f>
        <v>3.4199518933533928</v>
      </c>
      <c r="DP8" s="18">
        <f>DO8*VLOOKUP('Données projet'!$B$14,Paramètres!$A$1:$I$89,3,0)*VLOOKUP('Données projet'!$B$14,Paramètres!$A$1:$I$89,5,0)</f>
        <v>3.2544262217150886</v>
      </c>
      <c r="DQ8" s="14">
        <f t="shared" si="43"/>
        <v>1.3072976233443836</v>
      </c>
      <c r="DR8" s="22">
        <f t="shared" si="16"/>
        <v>7.9450023634785794</v>
      </c>
      <c r="DS8" s="62">
        <f t="shared" si="17"/>
        <v>186.73605023992593</v>
      </c>
      <c r="DT8" s="62">
        <f ca="1">AVERAGE(OFFSET($DS$3,0,0,'Données projet'!$E$14+1,1))-AVERAGE(OFFSET($H$3,0,0,'Données projet'!$E$14+1,1))</f>
        <v>364.63161066507769</v>
      </c>
      <c r="DU8" s="62">
        <f t="shared" si="44"/>
        <v>355.44729904860708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>
        <f>EXP(-LN(2)/35)*EA7+(1-EXP(-LN(2)/35))/(LN(2)/35)*DW8*DX8*VLOOKUP('Données projet'!$B$14,Paramètres!$A$1:$I$89,3,0)*0.475*44/12</f>
        <v>0</v>
      </c>
      <c r="EB8" s="23">
        <f>EXP(-LN(2)/25)*EB7+(1-EXP(-LN(2)/25))/(LN(2)/25)*Calculateur!DW8*Calculateur!DY8*VLOOKUP('Données projet'!$B$14,Paramètres!$A$1:$I$89,3,0)*0.475*44/12</f>
        <v>0</v>
      </c>
      <c r="EC8" s="23">
        <f>EXP(-LN(2)/2)*EC7+(1-EXP(-LN(2)/2))/(LN(2)/2)*DW8*DZ8*VLOOKUP('Données projet'!$B$14,Paramètres!$A$1:$I$89,3,0)*0.475*44/12</f>
        <v>0</v>
      </c>
      <c r="ED8" s="24">
        <f t="shared" si="18"/>
        <v>0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2.6666666666666665</v>
      </c>
      <c r="EJ8" s="13">
        <f>IF('Données projet'!$A$192&gt;35,EJ7+EI8-ER7,IF(A8&lt;'Données projet'!$A$192,$EG$205^A8,IF(A8='Données projet'!$A$192,'Données projet'!$B$192,EJ7+EI8-ER7)))</f>
        <v>3.4199518933533928</v>
      </c>
      <c r="EK8" s="18">
        <f>EJ8*VLOOKUP('Données projet'!$B$15,Paramètres!$A$1:$I$89,3,0)*VLOOKUP('Données projet'!$B$15,Paramètres!$A$1:$I$89,5,0)</f>
        <v>2.5075087282067074</v>
      </c>
      <c r="EL8" s="14">
        <f t="shared" si="45"/>
        <v>1.0382996238824311</v>
      </c>
      <c r="EM8" s="22">
        <f t="shared" si="19"/>
        <v>6.1756162132219155</v>
      </c>
      <c r="EN8" s="62">
        <f t="shared" si="20"/>
        <v>184.96666408966928</v>
      </c>
      <c r="EO8" s="62">
        <f ca="1">AVERAGE(OFFSET($EN$3,0,0,'Données projet'!$E$15+1,1))-AVERAGE(OFFSET($H$3,0,0,'Données projet'!$E$15+1,1))</f>
        <v>293.59366973965774</v>
      </c>
      <c r="EP8" s="62">
        <f t="shared" si="46"/>
        <v>288.13804536120426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>
        <f>EXP(-LN(2)/35)*EV7+(1-EXP(-LN(2)/35))/(LN(2)/35)*ER8*ES8*VLOOKUP('Données projet'!$B$15,Paramètres!$A$1:$I$89,3,0)*0.475*44/12</f>
        <v>0</v>
      </c>
      <c r="EW8" s="23">
        <f>EXP(-LN(2)/25)*EW7+(1-EXP(-LN(2)/25))/(LN(2)/25)*Calculateur!ER8*Calculateur!ET8*VLOOKUP('Données projet'!$B$15,Paramètres!$A$1:$I$89,3,0)*0.475*44/12</f>
        <v>0</v>
      </c>
      <c r="EX8" s="23">
        <f>EXP(-LN(2)/2)*EX7+(1-EXP(-LN(2)/2))/(LN(2)/2)*ER8*EU8*VLOOKUP('Données projet'!$B$15,Paramètres!$A$1:$I$89,3,0)*0.475*44/12</f>
        <v>0</v>
      </c>
      <c r="EY8" s="24">
        <f t="shared" si="21"/>
        <v>0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2.6666666666666665</v>
      </c>
      <c r="FE8" s="13">
        <f>IF('Données projet'!$A$218&gt;35,FE7+FD8-FM7,IF(A8&lt;'Données projet'!$A$218,$FB$205^A8,IF(A8='Données projet'!$A$218,'Données projet'!$B$218,FE7+FD8-FM7)))</f>
        <v>3.4199518933533928</v>
      </c>
      <c r="FF8" s="18">
        <f>FE8*VLOOKUP('Données projet'!$B$16,Paramètres!$A$1:$I$89,3,0)*VLOOKUP('Données projet'!$B$16,Paramètres!$A$1:$I$89,5,0)</f>
        <v>3.3077774712514016</v>
      </c>
      <c r="FG8" s="14">
        <f t="shared" si="47"/>
        <v>1.3262161928493683</v>
      </c>
      <c r="FH8" s="22">
        <f t="shared" si="22"/>
        <v>8.0708722983088403</v>
      </c>
      <c r="FI8" s="62">
        <f t="shared" si="23"/>
        <v>186.86192017475619</v>
      </c>
      <c r="FJ8" s="62">
        <f ca="1">AVERAGE(OFFSET($FI$3,0,0,'Données projet'!$E$16+1,1))-AVERAGE(OFFSET($H$3,0,0,'Données projet'!$E$16+1,1))</f>
        <v>369.69145521630799</v>
      </c>
      <c r="FK8" s="62">
        <f t="shared" si="48"/>
        <v>360.24112103688719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>
        <f>EXP(-LN(2)/35)*FQ7+(1-EXP(-LN(2)/35))/(LN(2)/35)*FM8*FN8*VLOOKUP('Données projet'!$B$16,Paramètres!$A$1:$I$89,3,0)*0.475*44/12</f>
        <v>0</v>
      </c>
      <c r="FR8" s="23">
        <f>EXP(-LN(2)/25)*FR7+(1-EXP(-LN(2)/25))/(LN(2)/25)*Calculateur!FM8*Calculateur!FO8*VLOOKUP('Données projet'!$B$16,Paramètres!$A$1:$I$89,3,0)*0.475*44/12</f>
        <v>0</v>
      </c>
      <c r="FS8" s="23">
        <f>EXP(-LN(2)/2)*FS7+(1-EXP(-LN(2)/2))/(LN(2)/2)*FM8*FP8*VLOOKUP('Données projet'!$B$16,Paramètres!$A$1:$I$89,3,0)*0.475*44/12</f>
        <v>0</v>
      </c>
      <c r="FT8" s="24">
        <f t="shared" si="24"/>
        <v>0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2.6666666666666665</v>
      </c>
      <c r="FZ8" s="13">
        <f>IF('Données projet'!$A$244&gt;35,FZ7+FY8-GH7,IF(A8&lt;'Données projet'!$A$244,$FW$205^A8,IF(A8='Données projet'!$A$244,'Données projet'!$B$244,FZ7+FY8-GH7)))</f>
        <v>3.4199518933533928</v>
      </c>
      <c r="GA8" s="18">
        <f>FZ8*VLOOKUP('Données projet'!$B$17,Paramètres!$A$1:$I$89,3,0)*VLOOKUP('Données projet'!$B$17,Paramètres!$A$1:$I$89,5,0)</f>
        <v>3.6812362180055915</v>
      </c>
      <c r="GB8" s="14">
        <f t="shared" si="49"/>
        <v>1.4576863466289429</v>
      </c>
      <c r="GC8" s="22">
        <f t="shared" si="25"/>
        <v>8.950290133405149</v>
      </c>
      <c r="GD8" s="62">
        <f t="shared" si="26"/>
        <v>187.74133800985251</v>
      </c>
      <c r="GE8" s="62">
        <f ca="1">AVERAGE(OFFSET($GD$3,0,0,'Données projet'!$E$17+1,1))-AVERAGE(OFFSET($H$3,0,0,'Données projet'!$E$17+1,1))</f>
        <v>405.06394904053946</v>
      </c>
      <c r="GF8" s="62">
        <f t="shared" si="50"/>
        <v>393.75247087518198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>
        <f>EXP(-LN(2)/35)*GL7+(1-EXP(-LN(2)/35))/(LN(2)/35)*GH8*GI8*VLOOKUP('Données projet'!$B$17,Paramètres!$A$1:$I$89,3,0)*0.475*44/12</f>
        <v>0</v>
      </c>
      <c r="GM8" s="23">
        <f>EXP(-LN(2)/25)*GM7+(1-EXP(-LN(2)/25))/(LN(2)/25)*Calculateur!GH8*Calculateur!GJ8*VLOOKUP('Données projet'!$B$17,Paramètres!$A$1:$I$89,3,0)*0.475*44/12</f>
        <v>0</v>
      </c>
      <c r="GN8" s="23">
        <f>EXP(-LN(2)/2)*GN7+(1-EXP(-LN(2)/2))/(LN(2)/2)*GH8*GK8*VLOOKUP('Données projet'!$B$17,Paramètres!$A$1:$I$89,3,0)*0.475*44/12</f>
        <v>0</v>
      </c>
      <c r="GO8" s="23">
        <f t="shared" si="27"/>
        <v>0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2.6666666666666665</v>
      </c>
      <c r="GU8" s="13">
        <f>IF('Données projet'!$A$270&gt;35,GU7+GT8-HC7,IF(A8&lt;'Données projet'!$A$270,$GR$205^A8,IF(A8='Données projet'!$A$270,'Données projet'!$B$270,GU7+GT8-HC7)))</f>
        <v>3.4199518933533928</v>
      </c>
      <c r="GV8" s="18">
        <f>GU8*VLOOKUP('Données projet'!$B$18,Paramètres!$A$1:$I$89,3,0)*VLOOKUP('Données projet'!$B$18,Paramètres!$A$1:$I$89,5,0)</f>
        <v>2.294103730061456</v>
      </c>
      <c r="GW8" s="14">
        <f t="shared" si="51"/>
        <v>0.95981991509429754</v>
      </c>
      <c r="GX8" s="22">
        <f t="shared" si="28"/>
        <v>5.6672503486462702</v>
      </c>
      <c r="GY8" s="62">
        <f t="shared" si="29"/>
        <v>184.45829822509361</v>
      </c>
      <c r="GZ8" s="62">
        <f ca="1">AVERAGE(OFFSET($GY$3,0,0,'Données projet'!$E$18+1,1))-AVERAGE(OFFSET($H$3,0,0,'Données projet'!$E$18+1,1))</f>
        <v>273.21861937609918</v>
      </c>
      <c r="HA8" s="62">
        <f t="shared" si="52"/>
        <v>268.83004886965318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>
        <f>EXP(-LN(2)/35)*HG7+(1-EXP(-LN(2)/35))/(LN(2)/35)*HC8*HD8*VLOOKUP('Données projet'!$B$18,Paramètres!$A$1:$I$89,3,0)*0.475*44/12</f>
        <v>0</v>
      </c>
      <c r="HH8" s="23">
        <f>EXP(-LN(2)/25)*HH7+(1-EXP(-LN(2)/25))/(LN(2)/25)*Calculateur!HC8*Calculateur!HE8*VLOOKUP('Données projet'!$B$18,Paramètres!$A$1:$I$89,3,0)*0.475*44/12</f>
        <v>0</v>
      </c>
      <c r="HI8" s="23">
        <f>EXP(-LN(2)/2)*HI7+(1-EXP(-LN(2)/2))/(LN(2)/2)*HC8*HF8*VLOOKUP('Données projet'!$B$18,Paramètres!$A$1:$I$89,3,0)*0.475*44/12</f>
        <v>0</v>
      </c>
      <c r="HJ8" s="24">
        <f t="shared" si="30"/>
        <v>0</v>
      </c>
    </row>
    <row r="9" spans="1:218" s="5" customFormat="1" x14ac:dyDescent="0.4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2.4423076923076925</v>
      </c>
      <c r="N9" s="14">
        <f>IF('Données projet'!$A$36&gt;35,N8+M9-V8,IF(A9&lt;'Données projet'!$A$36,$K$205^A9,IF(A9='Données projet'!$A$36,'Données projet'!$B$36,N8+M9-V8)))</f>
        <v>14.653846153846157</v>
      </c>
      <c r="O9" s="14">
        <f>N9*VLOOKUP('Données projet'!$B$9,Paramètres!$A$1:$I$89,3,0)*VLOOKUP('Données projet'!$B$9,Paramètres!$A$1:$I$89,5,0)</f>
        <v>13.258800000000003</v>
      </c>
      <c r="P9" s="14">
        <f t="shared" si="33"/>
        <v>4.5226897139230511</v>
      </c>
      <c r="Q9" s="22">
        <f t="shared" si="2"/>
        <v>30.969427918415988</v>
      </c>
      <c r="R9" s="62">
        <f t="shared" si="0"/>
        <v>212.43968001467496</v>
      </c>
      <c r="S9" s="62">
        <f ca="1">AVERAGE(OFFSET($R$3,0,0,'Données projet'!$E$9+1,1))-AVERAGE(OFFSET($H$3,0,0,'Données projet'!$E$9+1,1))</f>
        <v>432.80275651765203</v>
      </c>
      <c r="T9" s="62">
        <f t="shared" si="34"/>
        <v>203.89279893419919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14.88</v>
      </c>
      <c r="AI9" s="14">
        <f>IF('Données projet'!$A$62&gt;35,AI8+AH9-AQ8,IF(A9&lt;'Données projet'!$A$62,$AF$205^A9,IF(A9='Données projet'!$A$62,'Données projet'!$B$62,AI8+AH9-AQ8)))</f>
        <v>4.1393324257885862</v>
      </c>
      <c r="AJ9" s="14">
        <f>AI9*VLOOKUP('Données projet'!$B$10,Paramètres!$A$1:$I$89,3,0)*VLOOKUP('Données projet'!$B$10,Paramètres!$A$1:$I$89,5,0)</f>
        <v>1.8295849321985551</v>
      </c>
      <c r="AK9" s="14">
        <f t="shared" si="35"/>
        <v>0.78589911564123671</v>
      </c>
      <c r="AL9" s="22">
        <f t="shared" si="4"/>
        <v>4.5553013833209715</v>
      </c>
      <c r="AM9" s="62">
        <f t="shared" si="5"/>
        <v>186.02555347957994</v>
      </c>
      <c r="AN9" s="62">
        <f ca="1">AVERAGE(OFFSET($AM$3,0,0,'Données projet'!$E$10+1,1))-AVERAGE(OFFSET($H$3,0,0,'Données projet'!$E$10+1,1))</f>
        <v>413.08876898406481</v>
      </c>
      <c r="AO9" s="62">
        <f t="shared" si="36"/>
        <v>520.31320932826566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14.88</v>
      </c>
      <c r="BD9" s="13">
        <f>IF('Données projet'!$A$88&gt;35,BD8+BC9-BL8,IF(A9&lt;'Données projet'!$A$88,$BA$205^A9,IF(A9='Données projet'!$A$88,'Données projet'!$B$88,BD8+BC9-BL8)))</f>
        <v>4.1393324257885862</v>
      </c>
      <c r="BE9" s="14">
        <f>BD9*VLOOKUP('Données projet'!$B$11,Paramètres!$A$1:$I$89,3,0)*VLOOKUP('Données projet'!$B$11,Paramètres!$A$1:$I$89,5,0)</f>
        <v>2.3138868260158199</v>
      </c>
      <c r="BF9" s="14">
        <f t="shared" si="37"/>
        <v>0.96712977992686078</v>
      </c>
      <c r="BG9" s="22">
        <f t="shared" si="7"/>
        <v>5.7144372553501688</v>
      </c>
      <c r="BH9" s="62">
        <f t="shared" si="8"/>
        <v>187.18468935160914</v>
      </c>
      <c r="BI9" s="62">
        <f ca="1">AVERAGE(OFFSET($BH$3,0,0,'Données projet'!$E$11+1,1))-AVERAGE(OFFSET($H$3,0,0,'Données projet'!$E$11+1,1))</f>
        <v>507.66185230065889</v>
      </c>
      <c r="BJ9" s="62">
        <f t="shared" si="38"/>
        <v>640.14375617778342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4.7916666665000003</v>
      </c>
      <c r="BY9" s="13">
        <f>IF('Données projet'!$A$114&gt;35,BY8+BX9-CG8,IF(A9&lt;'Données projet'!$A$114,$BV$205^A9,IF(A9='Données projet'!$A$114,'Données projet'!$B$114,BY8+BX9-CG8)))</f>
        <v>3.9305649607305253</v>
      </c>
      <c r="BZ9" s="14">
        <f>BY9*VLOOKUP('Données projet'!$B$12,Paramètres!$A$1:$I$89,3,0)*VLOOKUP('Données projet'!$B$12,Paramètres!$A$1:$I$89,5,0)</f>
        <v>1.839504401621886</v>
      </c>
      <c r="CA9" s="14">
        <f t="shared" si="39"/>
        <v>0.78966287276811797</v>
      </c>
      <c r="CB9" s="22">
        <f t="shared" si="10"/>
        <v>4.5791330028959232</v>
      </c>
      <c r="CC9" s="62">
        <f t="shared" si="11"/>
        <v>186.0493850991549</v>
      </c>
      <c r="CD9" s="62">
        <f ca="1">AVERAGE(OFFSET($CC$3,0,0,'Données projet'!$E$12+1,1))-AVERAGE(OFFSET($H$3,0,0,'Données projet'!$E$12+1,1))</f>
        <v>289.21044803824958</v>
      </c>
      <c r="CE9" s="62">
        <f t="shared" si="40"/>
        <v>196.11836398299445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>
        <f>EXP(-LN(2)/35)*CK8+(1-EXP(-LN(2)/35))/(LN(2)/35)*CG9*CH9*VLOOKUP('Données projet'!$B$12,Paramètres!$A$1:$I$89,3,0)*0.475*44/12</f>
        <v>0</v>
      </c>
      <c r="CL9" s="23">
        <f>EXP(-LN(2)/25)*CL8+(1-EXP(-LN(2)/25))/(LN(2)/25)*Calculateur!CG9*Calculateur!CI9*VLOOKUP('Données projet'!$B$12,Paramètres!$A$1:$I$89,3,0)*0.475*44/12</f>
        <v>0</v>
      </c>
      <c r="CM9" s="23">
        <f>EXP(-LN(2)/2)*CM8+(1-EXP(-LN(2)/2))/(LN(2)/2)*CG9*CJ9*VLOOKUP('Données projet'!$B$12,Paramètres!$A$1:$I$89,3,0)*0.475*44/12</f>
        <v>0</v>
      </c>
      <c r="CN9" s="24">
        <f t="shared" si="12"/>
        <v>0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14.2</v>
      </c>
      <c r="CT9" s="13">
        <f>IF('Données projet'!$A$140&gt;35,CT8+CS9-DB8,IF(A9&lt;'Données projet'!$A$140,$CQ$205^A9,IF(A9='Données projet'!$A$140,'Données projet'!$B$140,CT8+CS9-DB8)))</f>
        <v>42.2</v>
      </c>
      <c r="CU9" s="18">
        <f>CT9*VLOOKUP('Données projet'!$B$13,Paramètres!$A$1:$I$89,3,0)*VLOOKUP('Données projet'!$B$13,Paramètres!$A$1:$I$89,5,0)</f>
        <v>38.182560000000002</v>
      </c>
      <c r="CV9" s="14">
        <f t="shared" si="41"/>
        <v>11.515638334288104</v>
      </c>
      <c r="CW9" s="22">
        <f t="shared" si="13"/>
        <v>86.557695432218452</v>
      </c>
      <c r="CX9" s="62">
        <f t="shared" si="14"/>
        <v>268.0279475284774</v>
      </c>
      <c r="CY9" s="62">
        <f ca="1">AVERAGE(OFFSET($CX$3,0,0,'Données projet'!$E$13+1,1))-AVERAGE(OFFSET($H$3,0,0,'Données projet'!$E$13+1,1))</f>
        <v>376.68007030857598</v>
      </c>
      <c r="CZ9" s="62">
        <f t="shared" si="42"/>
        <v>532.90758914457626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>
        <f>EXP(-LN(2)/35)*DF8+(1-EXP(-LN(2)/35))/(LN(2)/35)*DB9*DC9*VLOOKUP('Données projet'!$B$13,Paramètres!$A$1:$I$89,3,0)*0.475*44/12</f>
        <v>0</v>
      </c>
      <c r="DG9" s="23">
        <f>EXP(-LN(2)/25)*DG8+(1-EXP(-LN(2)/25))/(LN(2)/25)*Calculateur!DB9*Calculateur!DD9*VLOOKUP('Données projet'!$B$13,Paramètres!$A$1:$I$89,3,0)*0.475*44/12</f>
        <v>0</v>
      </c>
      <c r="DH9" s="23">
        <f>EXP(-LN(2)/2)*DH8+(1-EXP(-LN(2)/2))/(LN(2)/2)*DB9*DE9*VLOOKUP('Données projet'!$B$13,Paramètres!$A$1:$I$89,3,0)*0.475*44/12</f>
        <v>0</v>
      </c>
      <c r="DI9" s="24">
        <f t="shared" si="15"/>
        <v>0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2.6666666666666665</v>
      </c>
      <c r="DO9" s="13">
        <f>IF('Données projet'!$A$166&gt;35,DO8+DN9-DW8,IF(A9&lt;'Données projet'!$A$166,$DL$205^A9,IF(A9='Données projet'!$A$166,'Données projet'!$B$166,DO8+DN9-DW8)))</f>
        <v>4.3734482957731098</v>
      </c>
      <c r="DP9" s="18">
        <f>DO9*VLOOKUP('Données projet'!$B$14,Paramètres!$A$1:$I$89,3,0)*VLOOKUP('Données projet'!$B$14,Paramètres!$A$1:$I$89,5,0)</f>
        <v>4.1617733982576919</v>
      </c>
      <c r="DQ9" s="14">
        <f t="shared" si="43"/>
        <v>1.6246001370161485</v>
      </c>
      <c r="DR9" s="22">
        <f t="shared" si="16"/>
        <v>10.077933907268607</v>
      </c>
      <c r="DS9" s="62">
        <f t="shared" si="17"/>
        <v>191.54818600352758</v>
      </c>
      <c r="DT9" s="62">
        <f ca="1">AVERAGE(OFFSET($DS$3,0,0,'Données projet'!$E$14+1,1))-AVERAGE(OFFSET($H$3,0,0,'Données projet'!$E$14+1,1))</f>
        <v>364.63161066507769</v>
      </c>
      <c r="DU9" s="62">
        <f t="shared" si="44"/>
        <v>355.44729904860708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>
        <f>EXP(-LN(2)/35)*EA8+(1-EXP(-LN(2)/35))/(LN(2)/35)*DW9*DX9*VLOOKUP('Données projet'!$B$14,Paramètres!$A$1:$I$89,3,0)*0.475*44/12</f>
        <v>0</v>
      </c>
      <c r="EB9" s="23">
        <f>EXP(-LN(2)/25)*EB8+(1-EXP(-LN(2)/25))/(LN(2)/25)*Calculateur!DW9*Calculateur!DY9*VLOOKUP('Données projet'!$B$14,Paramètres!$A$1:$I$89,3,0)*0.475*44/12</f>
        <v>0</v>
      </c>
      <c r="EC9" s="23">
        <f>EXP(-LN(2)/2)*EC8+(1-EXP(-LN(2)/2))/(LN(2)/2)*DW9*DZ9*VLOOKUP('Données projet'!$B$14,Paramètres!$A$1:$I$89,3,0)*0.475*44/12</f>
        <v>0</v>
      </c>
      <c r="ED9" s="24">
        <f t="shared" si="18"/>
        <v>0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2.6666666666666665</v>
      </c>
      <c r="EJ9" s="13">
        <f>IF('Données projet'!$A$192&gt;35,EJ8+EI9-ER8,IF(A9&lt;'Données projet'!$A$192,$EG$205^A9,IF(A9='Données projet'!$A$192,'Données projet'!$B$192,EJ8+EI9-ER8)))</f>
        <v>4.3734482957731098</v>
      </c>
      <c r="EK9" s="18">
        <f>EJ9*VLOOKUP('Données projet'!$B$15,Paramètres!$A$1:$I$89,3,0)*VLOOKUP('Données projet'!$B$15,Paramètres!$A$1:$I$89,5,0)</f>
        <v>3.2066122904608441</v>
      </c>
      <c r="EL9" s="14">
        <f t="shared" si="45"/>
        <v>1.2903119236979221</v>
      </c>
      <c r="EM9" s="22">
        <f t="shared" si="19"/>
        <v>7.8321430063265174</v>
      </c>
      <c r="EN9" s="62">
        <f t="shared" si="20"/>
        <v>189.30239510258548</v>
      </c>
      <c r="EO9" s="62">
        <f ca="1">AVERAGE(OFFSET($EN$3,0,0,'Données projet'!$E$15+1,1))-AVERAGE(OFFSET($H$3,0,0,'Données projet'!$E$15+1,1))</f>
        <v>293.59366973965774</v>
      </c>
      <c r="EP9" s="62">
        <f t="shared" si="46"/>
        <v>288.13804536120426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>
        <f>EXP(-LN(2)/35)*EV8+(1-EXP(-LN(2)/35))/(LN(2)/35)*ER9*ES9*VLOOKUP('Données projet'!$B$15,Paramètres!$A$1:$I$89,3,0)*0.475*44/12</f>
        <v>0</v>
      </c>
      <c r="EW9" s="23">
        <f>EXP(-LN(2)/25)*EW8+(1-EXP(-LN(2)/25))/(LN(2)/25)*Calculateur!ER9*Calculateur!ET9*VLOOKUP('Données projet'!$B$15,Paramètres!$A$1:$I$89,3,0)*0.475*44/12</f>
        <v>0</v>
      </c>
      <c r="EX9" s="23">
        <f>EXP(-LN(2)/2)*EX8+(1-EXP(-LN(2)/2))/(LN(2)/2)*ER9*EU9*VLOOKUP('Données projet'!$B$15,Paramètres!$A$1:$I$89,3,0)*0.475*44/12</f>
        <v>0</v>
      </c>
      <c r="EY9" s="24">
        <f t="shared" si="21"/>
        <v>0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2.6666666666666665</v>
      </c>
      <c r="FE9" s="13">
        <f>IF('Données projet'!$A$218&gt;35,FE8+FD9-FM8,IF(A9&lt;'Données projet'!$A$218,$FB$205^A9,IF(A9='Données projet'!$A$218,'Données projet'!$B$218,FE8+FD9-FM8)))</f>
        <v>4.3734482957731098</v>
      </c>
      <c r="FF9" s="18">
        <f>FE9*VLOOKUP('Données projet'!$B$16,Paramètres!$A$1:$I$89,3,0)*VLOOKUP('Données projet'!$B$16,Paramètres!$A$1:$I$89,5,0)</f>
        <v>4.2299991916717516</v>
      </c>
      <c r="FG9" s="14">
        <f t="shared" si="47"/>
        <v>1.6481105527478928</v>
      </c>
      <c r="FH9" s="22">
        <f t="shared" si="22"/>
        <v>10.237707804864213</v>
      </c>
      <c r="FI9" s="62">
        <f t="shared" si="23"/>
        <v>191.70795990112319</v>
      </c>
      <c r="FJ9" s="62">
        <f ca="1">AVERAGE(OFFSET($FI$3,0,0,'Données projet'!$E$16+1,1))-AVERAGE(OFFSET($H$3,0,0,'Données projet'!$E$16+1,1))</f>
        <v>369.69145521630799</v>
      </c>
      <c r="FK9" s="62">
        <f t="shared" si="48"/>
        <v>360.24112103688719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>
        <f>EXP(-LN(2)/35)*FQ8+(1-EXP(-LN(2)/35))/(LN(2)/35)*FM9*FN9*VLOOKUP('Données projet'!$B$16,Paramètres!$A$1:$I$89,3,0)*0.475*44/12</f>
        <v>0</v>
      </c>
      <c r="FR9" s="23">
        <f>EXP(-LN(2)/25)*FR8+(1-EXP(-LN(2)/25))/(LN(2)/25)*Calculateur!FM9*Calculateur!FO9*VLOOKUP('Données projet'!$B$16,Paramètres!$A$1:$I$89,3,0)*0.475*44/12</f>
        <v>0</v>
      </c>
      <c r="FS9" s="23">
        <f>EXP(-LN(2)/2)*FS8+(1-EXP(-LN(2)/2))/(LN(2)/2)*FM9*FP9*VLOOKUP('Données projet'!$B$16,Paramètres!$A$1:$I$89,3,0)*0.475*44/12</f>
        <v>0</v>
      </c>
      <c r="FT9" s="24">
        <f t="shared" si="24"/>
        <v>0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2.6666666666666665</v>
      </c>
      <c r="FZ9" s="13">
        <f>IF('Données projet'!$A$244&gt;35,FZ8+FY9-GH8,IF(A9&lt;'Données projet'!$A$244,$FW$205^A9,IF(A9='Données projet'!$A$244,'Données projet'!$B$244,FZ8+FY9-GH8)))</f>
        <v>4.3734482957731098</v>
      </c>
      <c r="GA9" s="18">
        <f>FZ9*VLOOKUP('Données projet'!$B$17,Paramètres!$A$1:$I$89,3,0)*VLOOKUP('Données projet'!$B$17,Paramètres!$A$1:$I$89,5,0)</f>
        <v>4.7075797455701753</v>
      </c>
      <c r="GB9" s="14">
        <f t="shared" si="49"/>
        <v>1.8114906630072738</v>
      </c>
      <c r="GC9" s="22">
        <f t="shared" si="25"/>
        <v>11.35404762827239</v>
      </c>
      <c r="GD9" s="62">
        <f t="shared" si="26"/>
        <v>192.82429972453136</v>
      </c>
      <c r="GE9" s="62">
        <f ca="1">AVERAGE(OFFSET($GD$3,0,0,'Données projet'!$E$17+1,1))-AVERAGE(OFFSET($H$3,0,0,'Données projet'!$E$17+1,1))</f>
        <v>405.06394904053946</v>
      </c>
      <c r="GF9" s="62">
        <f t="shared" si="50"/>
        <v>393.75247087518198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>
        <f>EXP(-LN(2)/35)*GL8+(1-EXP(-LN(2)/35))/(LN(2)/35)*GH9*GI9*VLOOKUP('Données projet'!$B$17,Paramètres!$A$1:$I$89,3,0)*0.475*44/12</f>
        <v>0</v>
      </c>
      <c r="GM9" s="23">
        <f>EXP(-LN(2)/25)*GM8+(1-EXP(-LN(2)/25))/(LN(2)/25)*Calculateur!GH9*Calculateur!GJ9*VLOOKUP('Données projet'!$B$17,Paramètres!$A$1:$I$89,3,0)*0.475*44/12</f>
        <v>0</v>
      </c>
      <c r="GN9" s="23">
        <f>EXP(-LN(2)/2)*GN8+(1-EXP(-LN(2)/2))/(LN(2)/2)*GH9*GK9*VLOOKUP('Données projet'!$B$17,Paramètres!$A$1:$I$89,3,0)*0.475*44/12</f>
        <v>0</v>
      </c>
      <c r="GO9" s="23">
        <f t="shared" si="27"/>
        <v>0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2.6666666666666665</v>
      </c>
      <c r="GU9" s="13">
        <f>IF('Données projet'!$A$270&gt;35,GU8+GT9-HC8,IF(A9&lt;'Données projet'!$A$270,$GR$205^A9,IF(A9='Données projet'!$A$270,'Données projet'!$B$270,GU8+GT9-HC8)))</f>
        <v>4.3734482957731098</v>
      </c>
      <c r="GV9" s="18">
        <f>GU9*VLOOKUP('Données projet'!$B$18,Paramètres!$A$1:$I$89,3,0)*VLOOKUP('Données projet'!$B$18,Paramètres!$A$1:$I$89,5,0)</f>
        <v>2.9337091168046019</v>
      </c>
      <c r="GW9" s="14">
        <f t="shared" si="51"/>
        <v>1.1927839060732757</v>
      </c>
      <c r="GX9" s="22">
        <f t="shared" si="28"/>
        <v>7.1869753481789695</v>
      </c>
      <c r="GY9" s="62">
        <f t="shared" si="29"/>
        <v>188.65722744443795</v>
      </c>
      <c r="GZ9" s="62">
        <f ca="1">AVERAGE(OFFSET($GY$3,0,0,'Données projet'!$E$18+1,1))-AVERAGE(OFFSET($H$3,0,0,'Données projet'!$E$18+1,1))</f>
        <v>273.21861937609918</v>
      </c>
      <c r="HA9" s="62">
        <f t="shared" si="52"/>
        <v>268.83004886965318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>
        <f>EXP(-LN(2)/35)*HG8+(1-EXP(-LN(2)/35))/(LN(2)/35)*HC9*HD9*VLOOKUP('Données projet'!$B$18,Paramètres!$A$1:$I$89,3,0)*0.475*44/12</f>
        <v>0</v>
      </c>
      <c r="HH9" s="23">
        <f>EXP(-LN(2)/25)*HH8+(1-EXP(-LN(2)/25))/(LN(2)/25)*Calculateur!HC9*Calculateur!HE9*VLOOKUP('Données projet'!$B$18,Paramètres!$A$1:$I$89,3,0)*0.475*44/12</f>
        <v>0</v>
      </c>
      <c r="HI9" s="23">
        <f>EXP(-LN(2)/2)*HI8+(1-EXP(-LN(2)/2))/(LN(2)/2)*HC9*HF9*VLOOKUP('Données projet'!$B$18,Paramètres!$A$1:$I$89,3,0)*0.475*44/12</f>
        <v>0</v>
      </c>
      <c r="HJ9" s="24">
        <f t="shared" si="30"/>
        <v>0</v>
      </c>
    </row>
    <row r="10" spans="1:218" s="5" customFormat="1" x14ac:dyDescent="0.4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2.4423076923076925</v>
      </c>
      <c r="N10" s="14">
        <f>IF('Données projet'!$A$36&gt;35,N9+M10-V9,IF(A10&lt;'Données projet'!$A$36,$K$205^A10,IF(A10='Données projet'!$A$36,'Données projet'!$B$36,N9+M10-V9)))</f>
        <v>17.09615384615385</v>
      </c>
      <c r="O10" s="14">
        <f>N10*VLOOKUP('Données projet'!$B$9,Paramètres!$A$1:$I$89,3,0)*VLOOKUP('Données projet'!$B$9,Paramètres!$A$1:$I$89,5,0)</f>
        <v>15.468600000000002</v>
      </c>
      <c r="P10" s="14">
        <f t="shared" si="33"/>
        <v>5.1826392125268077</v>
      </c>
      <c r="Q10" s="22">
        <f t="shared" si="2"/>
        <v>35.967574961817526</v>
      </c>
      <c r="R10" s="62">
        <f t="shared" si="0"/>
        <v>220.09175589755375</v>
      </c>
      <c r="S10" s="62">
        <f ca="1">AVERAGE(OFFSET($R$3,0,0,'Données projet'!$E$9+1,1))-AVERAGE(OFFSET($H$3,0,0,'Données projet'!$E$9+1,1))</f>
        <v>432.80275651765203</v>
      </c>
      <c r="T10" s="62">
        <f t="shared" si="34"/>
        <v>203.89279893419919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14.88</v>
      </c>
      <c r="AI10" s="14">
        <f>IF('Données projet'!$A$62&gt;35,AI9+AH10-AQ9,IF(A10&lt;'Données projet'!$A$62,$AF$205^A10,IF(A10='Données projet'!$A$62,'Données projet'!$B$62,AI9+AH10-AQ9)))</f>
        <v>5.245078871484421</v>
      </c>
      <c r="AJ10" s="14">
        <f>AI10*VLOOKUP('Données projet'!$B$10,Paramètres!$A$1:$I$89,3,0)*VLOOKUP('Données projet'!$B$10,Paramètres!$A$1:$I$89,5,0)</f>
        <v>2.3183248611961145</v>
      </c>
      <c r="AK10" s="14">
        <f t="shared" si="35"/>
        <v>0.96876863535244584</v>
      </c>
      <c r="AL10" s="22">
        <f t="shared" si="4"/>
        <v>5.725021173155409</v>
      </c>
      <c r="AM10" s="62">
        <f t="shared" si="5"/>
        <v>189.84920210889163</v>
      </c>
      <c r="AN10" s="62">
        <f ca="1">AVERAGE(OFFSET($AM$3,0,0,'Données projet'!$E$10+1,1))-AVERAGE(OFFSET($H$3,0,0,'Données projet'!$E$10+1,1))</f>
        <v>413.08876898406481</v>
      </c>
      <c r="AO10" s="62">
        <f t="shared" si="36"/>
        <v>520.31320932826566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14.88</v>
      </c>
      <c r="BD10" s="13">
        <f>IF('Données projet'!$A$88&gt;35,BD9+BC10-BL9,IF(A10&lt;'Données projet'!$A$88,$BA$205^A10,IF(A10='Données projet'!$A$88,'Données projet'!$B$88,BD9+BC10-BL9)))</f>
        <v>5.245078871484421</v>
      </c>
      <c r="BE10" s="14">
        <f>BD10*VLOOKUP('Données projet'!$B$11,Paramètres!$A$1:$I$89,3,0)*VLOOKUP('Données projet'!$B$11,Paramètres!$A$1:$I$89,5,0)</f>
        <v>2.9319990891597913</v>
      </c>
      <c r="BF10" s="14">
        <f t="shared" si="37"/>
        <v>1.1921695526327105</v>
      </c>
      <c r="BG10" s="22">
        <f t="shared" si="7"/>
        <v>7.1829270511219407</v>
      </c>
      <c r="BH10" s="62">
        <f t="shared" si="8"/>
        <v>191.30710798685817</v>
      </c>
      <c r="BI10" s="62">
        <f ca="1">AVERAGE(OFFSET($BH$3,0,0,'Données projet'!$E$11+1,1))-AVERAGE(OFFSET($H$3,0,0,'Données projet'!$E$11+1,1))</f>
        <v>507.66185230065889</v>
      </c>
      <c r="BJ10" s="62">
        <f t="shared" si="38"/>
        <v>640.14375617778342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4.7916666665000003</v>
      </c>
      <c r="BY10" s="13">
        <f>IF('Données projet'!$A$114&gt;35,BY9+BX10-CG9,IF(A10&lt;'Données projet'!$A$114,$BV$205^A10,IF(A10='Données projet'!$A$114,'Données projet'!$B$114,BY9+BX10-CG9)))</f>
        <v>4.9377694457878185</v>
      </c>
      <c r="BZ10" s="14">
        <f>BY10*VLOOKUP('Données projet'!$B$12,Paramètres!$A$1:$I$89,3,0)*VLOOKUP('Données projet'!$B$12,Paramètres!$A$1:$I$89,5,0)</f>
        <v>2.3108761006286991</v>
      </c>
      <c r="CA10" s="14">
        <f t="shared" si="39"/>
        <v>0.9660177860461916</v>
      </c>
      <c r="CB10" s="22">
        <f t="shared" si="10"/>
        <v>5.7072568526254344</v>
      </c>
      <c r="CC10" s="62">
        <f t="shared" si="11"/>
        <v>189.83143778836165</v>
      </c>
      <c r="CD10" s="62">
        <f ca="1">AVERAGE(OFFSET($CC$3,0,0,'Données projet'!$E$12+1,1))-AVERAGE(OFFSET($H$3,0,0,'Données projet'!$E$12+1,1))</f>
        <v>289.21044803824958</v>
      </c>
      <c r="CE10" s="62">
        <f t="shared" si="40"/>
        <v>196.11836398299445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>
        <f>EXP(-LN(2)/35)*CK9+(1-EXP(-LN(2)/35))/(LN(2)/35)*CG10*CH10*VLOOKUP('Données projet'!$B$12,Paramètres!$A$1:$I$89,3,0)*0.475*44/12</f>
        <v>0</v>
      </c>
      <c r="CL10" s="23">
        <f>EXP(-LN(2)/25)*CL9+(1-EXP(-LN(2)/25))/(LN(2)/25)*Calculateur!CG10*Calculateur!CI10*VLOOKUP('Données projet'!$B$12,Paramètres!$A$1:$I$89,3,0)*0.475*44/12</f>
        <v>0</v>
      </c>
      <c r="CM10" s="23">
        <f>EXP(-LN(2)/2)*CM9+(1-EXP(-LN(2)/2))/(LN(2)/2)*CG10*CJ10*VLOOKUP('Données projet'!$B$12,Paramètres!$A$1:$I$89,3,0)*0.475*44/12</f>
        <v>0</v>
      </c>
      <c r="CN10" s="24">
        <f t="shared" si="12"/>
        <v>0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14.2</v>
      </c>
      <c r="CT10" s="13">
        <f>IF('Données projet'!$A$140&gt;35,CT9+CS10-DB9,IF(A10&lt;'Données projet'!$A$140,$CQ$205^A10,IF(A10='Données projet'!$A$140,'Données projet'!$B$140,CT9+CS10-DB9)))</f>
        <v>56.400000000000006</v>
      </c>
      <c r="CU10" s="18">
        <f>CT10*VLOOKUP('Données projet'!$B$13,Paramètres!$A$1:$I$89,3,0)*VLOOKUP('Données projet'!$B$13,Paramètres!$A$1:$I$89,5,0)</f>
        <v>51.030720000000009</v>
      </c>
      <c r="CV10" s="14">
        <f t="shared" si="41"/>
        <v>14.879630660597618</v>
      </c>
      <c r="CW10" s="22">
        <f t="shared" si="13"/>
        <v>114.79386073387418</v>
      </c>
      <c r="CX10" s="62">
        <f t="shared" si="14"/>
        <v>298.91804166961043</v>
      </c>
      <c r="CY10" s="62">
        <f ca="1">AVERAGE(OFFSET($CX$3,0,0,'Données projet'!$E$13+1,1))-AVERAGE(OFFSET($H$3,0,0,'Données projet'!$E$13+1,1))</f>
        <v>376.68007030857598</v>
      </c>
      <c r="CZ10" s="62">
        <f t="shared" si="42"/>
        <v>532.90758914457626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>
        <f>EXP(-LN(2)/35)*DF9+(1-EXP(-LN(2)/35))/(LN(2)/35)*DB10*DC10*VLOOKUP('Données projet'!$B$13,Paramètres!$A$1:$I$89,3,0)*0.475*44/12</f>
        <v>0</v>
      </c>
      <c r="DG10" s="23">
        <f>EXP(-LN(2)/25)*DG9+(1-EXP(-LN(2)/25))/(LN(2)/25)*Calculateur!DB10*Calculateur!DD10*VLOOKUP('Données projet'!$B$13,Paramètres!$A$1:$I$89,3,0)*0.475*44/12</f>
        <v>0</v>
      </c>
      <c r="DH10" s="23">
        <f>EXP(-LN(2)/2)*DH9+(1-EXP(-LN(2)/2))/(LN(2)/2)*DB10*DE10*VLOOKUP('Données projet'!$B$13,Paramètres!$A$1:$I$89,3,0)*0.475*44/12</f>
        <v>0</v>
      </c>
      <c r="DI10" s="24">
        <f t="shared" si="15"/>
        <v>0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2.6666666666666665</v>
      </c>
      <c r="DO10" s="13">
        <f>IF('Données projet'!$A$166&gt;35,DO9+DN10-DW9,IF(A10&lt;'Données projet'!$A$166,$DL$205^A10,IF(A10='Données projet'!$A$166,'Données projet'!$B$166,DO9+DN10-DW9)))</f>
        <v>5.5927833467405659</v>
      </c>
      <c r="DP10" s="18">
        <f>DO10*VLOOKUP('Données projet'!$B$14,Paramètres!$A$1:$I$89,3,0)*VLOOKUP('Données projet'!$B$14,Paramètres!$A$1:$I$89,5,0)</f>
        <v>5.3220926327583227</v>
      </c>
      <c r="DQ10" s="14">
        <f t="shared" si="43"/>
        <v>2.0189171601496958</v>
      </c>
      <c r="DR10" s="22">
        <f t="shared" si="16"/>
        <v>12.785592055981462</v>
      </c>
      <c r="DS10" s="62">
        <f t="shared" si="17"/>
        <v>196.90977299171769</v>
      </c>
      <c r="DT10" s="62">
        <f ca="1">AVERAGE(OFFSET($DS$3,0,0,'Données projet'!$E$14+1,1))-AVERAGE(OFFSET($H$3,0,0,'Données projet'!$E$14+1,1))</f>
        <v>364.63161066507769</v>
      </c>
      <c r="DU10" s="62">
        <f t="shared" si="44"/>
        <v>355.44729904860708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>
        <f>EXP(-LN(2)/35)*EA9+(1-EXP(-LN(2)/35))/(LN(2)/35)*DW10*DX10*VLOOKUP('Données projet'!$B$14,Paramètres!$A$1:$I$89,3,0)*0.475*44/12</f>
        <v>0</v>
      </c>
      <c r="EB10" s="23">
        <f>EXP(-LN(2)/25)*EB9+(1-EXP(-LN(2)/25))/(LN(2)/25)*Calculateur!DW10*Calculateur!DY10*VLOOKUP('Données projet'!$B$14,Paramètres!$A$1:$I$89,3,0)*0.475*44/12</f>
        <v>0</v>
      </c>
      <c r="EC10" s="23">
        <f>EXP(-LN(2)/2)*EC9+(1-EXP(-LN(2)/2))/(LN(2)/2)*DW10*DZ10*VLOOKUP('Données projet'!$B$14,Paramètres!$A$1:$I$89,3,0)*0.475*44/12</f>
        <v>0</v>
      </c>
      <c r="ED10" s="24">
        <f t="shared" si="18"/>
        <v>0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2.6666666666666665</v>
      </c>
      <c r="EJ10" s="13">
        <f>IF('Données projet'!$A$192&gt;35,EJ9+EI10-ER9,IF(A10&lt;'Données projet'!$A$192,$EG$205^A10,IF(A10='Données projet'!$A$192,'Données projet'!$B$192,EJ9+EI10-ER9)))</f>
        <v>5.5927833467405659</v>
      </c>
      <c r="EK10" s="18">
        <f>EJ10*VLOOKUP('Données projet'!$B$15,Paramètres!$A$1:$I$89,3,0)*VLOOKUP('Données projet'!$B$15,Paramètres!$A$1:$I$89,5,0)</f>
        <v>4.1006287498301832</v>
      </c>
      <c r="EL10" s="14">
        <f t="shared" si="45"/>
        <v>1.6034917302691363</v>
      </c>
      <c r="EM10" s="22">
        <f t="shared" si="19"/>
        <v>9.9346765028396486</v>
      </c>
      <c r="EN10" s="62">
        <f t="shared" si="20"/>
        <v>194.05885743857587</v>
      </c>
      <c r="EO10" s="62">
        <f ca="1">AVERAGE(OFFSET($EN$3,0,0,'Données projet'!$E$15+1,1))-AVERAGE(OFFSET($H$3,0,0,'Données projet'!$E$15+1,1))</f>
        <v>293.59366973965774</v>
      </c>
      <c r="EP10" s="62">
        <f t="shared" si="46"/>
        <v>288.13804536120426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>
        <f>EXP(-LN(2)/35)*EV9+(1-EXP(-LN(2)/35))/(LN(2)/35)*ER10*ES10*VLOOKUP('Données projet'!$B$15,Paramètres!$A$1:$I$89,3,0)*0.475*44/12</f>
        <v>0</v>
      </c>
      <c r="EW10" s="23">
        <f>EXP(-LN(2)/25)*EW9+(1-EXP(-LN(2)/25))/(LN(2)/25)*Calculateur!ER10*Calculateur!ET10*VLOOKUP('Données projet'!$B$15,Paramètres!$A$1:$I$89,3,0)*0.475*44/12</f>
        <v>0</v>
      </c>
      <c r="EX10" s="23">
        <f>EXP(-LN(2)/2)*EX9+(1-EXP(-LN(2)/2))/(LN(2)/2)*ER10*EU10*VLOOKUP('Données projet'!$B$15,Paramètres!$A$1:$I$89,3,0)*0.475*44/12</f>
        <v>0</v>
      </c>
      <c r="EY10" s="24">
        <f t="shared" si="21"/>
        <v>0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2.6666666666666665</v>
      </c>
      <c r="FE10" s="13">
        <f>IF('Données projet'!$A$218&gt;35,FE9+FD10-FM9,IF(A10&lt;'Données projet'!$A$218,$FB$205^A10,IF(A10='Données projet'!$A$218,'Données projet'!$B$218,FE9+FD10-FM9)))</f>
        <v>5.5927833467405659</v>
      </c>
      <c r="FF10" s="18">
        <f>FE10*VLOOKUP('Données projet'!$B$16,Paramètres!$A$1:$I$89,3,0)*VLOOKUP('Données projet'!$B$16,Paramètres!$A$1:$I$89,5,0)</f>
        <v>5.409340052967476</v>
      </c>
      <c r="FG10" s="14">
        <f t="shared" si="47"/>
        <v>2.0481339382857917</v>
      </c>
      <c r="FH10" s="22">
        <f t="shared" si="22"/>
        <v>12.988433868099442</v>
      </c>
      <c r="FI10" s="62">
        <f t="shared" si="23"/>
        <v>197.11261480383567</v>
      </c>
      <c r="FJ10" s="62">
        <f ca="1">AVERAGE(OFFSET($FI$3,0,0,'Données projet'!$E$16+1,1))-AVERAGE(OFFSET($H$3,0,0,'Données projet'!$E$16+1,1))</f>
        <v>369.69145521630799</v>
      </c>
      <c r="FK10" s="62">
        <f t="shared" si="48"/>
        <v>360.24112103688719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>
        <f>EXP(-LN(2)/35)*FQ9+(1-EXP(-LN(2)/35))/(LN(2)/35)*FM10*FN10*VLOOKUP('Données projet'!$B$16,Paramètres!$A$1:$I$89,3,0)*0.475*44/12</f>
        <v>0</v>
      </c>
      <c r="FR10" s="23">
        <f>EXP(-LN(2)/25)*FR9+(1-EXP(-LN(2)/25))/(LN(2)/25)*Calculateur!FM10*Calculateur!FO10*VLOOKUP('Données projet'!$B$16,Paramètres!$A$1:$I$89,3,0)*0.475*44/12</f>
        <v>0</v>
      </c>
      <c r="FS10" s="23">
        <f>EXP(-LN(2)/2)*FS9+(1-EXP(-LN(2)/2))/(LN(2)/2)*FM10*FP10*VLOOKUP('Données projet'!$B$16,Paramètres!$A$1:$I$89,3,0)*0.475*44/12</f>
        <v>0</v>
      </c>
      <c r="FT10" s="24">
        <f t="shared" si="24"/>
        <v>0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2.6666666666666665</v>
      </c>
      <c r="FZ10" s="13">
        <f>IF('Données projet'!$A$244&gt;35,FZ9+FY10-GH9,IF(A10&lt;'Données projet'!$A$244,$FW$205^A10,IF(A10='Données projet'!$A$244,'Données projet'!$B$244,FZ9+FY10-GH9)))</f>
        <v>5.5927833467405659</v>
      </c>
      <c r="GA10" s="18">
        <f>FZ10*VLOOKUP('Données projet'!$B$17,Paramètres!$A$1:$I$89,3,0)*VLOOKUP('Données projet'!$B$17,Paramètres!$A$1:$I$89,5,0)</f>
        <v>6.0200719944315448</v>
      </c>
      <c r="GB10" s="14">
        <f t="shared" si="49"/>
        <v>2.2511690733410177</v>
      </c>
      <c r="GC10" s="22">
        <f t="shared" si="25"/>
        <v>14.40574485970388</v>
      </c>
      <c r="GD10" s="62">
        <f t="shared" si="26"/>
        <v>198.52992579544011</v>
      </c>
      <c r="GE10" s="62">
        <f ca="1">AVERAGE(OFFSET($GD$3,0,0,'Données projet'!$E$17+1,1))-AVERAGE(OFFSET($H$3,0,0,'Données projet'!$E$17+1,1))</f>
        <v>405.06394904053946</v>
      </c>
      <c r="GF10" s="62">
        <f t="shared" si="50"/>
        <v>393.75247087518198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>
        <f>EXP(-LN(2)/35)*GL9+(1-EXP(-LN(2)/35))/(LN(2)/35)*GH10*GI10*VLOOKUP('Données projet'!$B$17,Paramètres!$A$1:$I$89,3,0)*0.475*44/12</f>
        <v>0</v>
      </c>
      <c r="GM10" s="23">
        <f>EXP(-LN(2)/25)*GM9+(1-EXP(-LN(2)/25))/(LN(2)/25)*Calculateur!GH10*Calculateur!GJ10*VLOOKUP('Données projet'!$B$17,Paramètres!$A$1:$I$89,3,0)*0.475*44/12</f>
        <v>0</v>
      </c>
      <c r="GN10" s="23">
        <f>EXP(-LN(2)/2)*GN9+(1-EXP(-LN(2)/2))/(LN(2)/2)*GH10*GK10*VLOOKUP('Données projet'!$B$17,Paramètres!$A$1:$I$89,3,0)*0.475*44/12</f>
        <v>0</v>
      </c>
      <c r="GO10" s="23">
        <f t="shared" si="27"/>
        <v>0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2.6666666666666665</v>
      </c>
      <c r="GU10" s="13">
        <f>IF('Données projet'!$A$270&gt;35,GU9+GT10-HC9,IF(A10&lt;'Données projet'!$A$270,$GR$205^A10,IF(A10='Données projet'!$A$270,'Données projet'!$B$270,GU9+GT10-HC9)))</f>
        <v>5.5927833467405659</v>
      </c>
      <c r="GV10" s="18">
        <f>GU10*VLOOKUP('Données projet'!$B$18,Paramètres!$A$1:$I$89,3,0)*VLOOKUP('Données projet'!$B$18,Paramètres!$A$1:$I$89,5,0)</f>
        <v>3.7516390689935712</v>
      </c>
      <c r="GW10" s="14">
        <f t="shared" si="51"/>
        <v>1.4822920677236051</v>
      </c>
      <c r="GX10" s="22">
        <f t="shared" si="28"/>
        <v>9.115763396449081</v>
      </c>
      <c r="GY10" s="62">
        <f t="shared" si="29"/>
        <v>193.2399443321853</v>
      </c>
      <c r="GZ10" s="62">
        <f ca="1">AVERAGE(OFFSET($GY$3,0,0,'Données projet'!$E$18+1,1))-AVERAGE(OFFSET($H$3,0,0,'Données projet'!$E$18+1,1))</f>
        <v>273.21861937609918</v>
      </c>
      <c r="HA10" s="62">
        <f t="shared" si="52"/>
        <v>268.83004886965318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>
        <f>EXP(-LN(2)/35)*HG9+(1-EXP(-LN(2)/35))/(LN(2)/35)*HC10*HD10*VLOOKUP('Données projet'!$B$18,Paramètres!$A$1:$I$89,3,0)*0.475*44/12</f>
        <v>0</v>
      </c>
      <c r="HH10" s="23">
        <f>EXP(-LN(2)/25)*HH9+(1-EXP(-LN(2)/25))/(LN(2)/25)*Calculateur!HC10*Calculateur!HE10*VLOOKUP('Données projet'!$B$18,Paramètres!$A$1:$I$89,3,0)*0.475*44/12</f>
        <v>0</v>
      </c>
      <c r="HI10" s="23">
        <f>EXP(-LN(2)/2)*HI9+(1-EXP(-LN(2)/2))/(LN(2)/2)*HC10*HF10*VLOOKUP('Données projet'!$B$18,Paramètres!$A$1:$I$89,3,0)*0.475*44/12</f>
        <v>0</v>
      </c>
      <c r="HJ10" s="24">
        <f t="shared" si="30"/>
        <v>0</v>
      </c>
    </row>
    <row r="11" spans="1:218" s="5" customFormat="1" x14ac:dyDescent="0.4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2.4423076923076925</v>
      </c>
      <c r="N11" s="14">
        <f>IF('Données projet'!$A$36&gt;35,N10+M11-V10,IF(A11&lt;'Données projet'!$A$36,$K$205^A11,IF(A11='Données projet'!$A$36,'Données projet'!$B$36,N10+M11-V10)))</f>
        <v>19.538461538461544</v>
      </c>
      <c r="O11" s="14">
        <f>N11*VLOOKUP('Données projet'!$B$9,Paramètres!$A$1:$I$89,3,0)*VLOOKUP('Données projet'!$B$9,Paramètres!$A$1:$I$89,5,0)</f>
        <v>17.678400000000003</v>
      </c>
      <c r="P11" s="14">
        <f t="shared" si="33"/>
        <v>5.8316662489990749</v>
      </c>
      <c r="Q11" s="22">
        <f t="shared" si="2"/>
        <v>40.946698717006726</v>
      </c>
      <c r="R11" s="62">
        <f t="shared" si="0"/>
        <v>227.6999715832273</v>
      </c>
      <c r="S11" s="62">
        <f ca="1">AVERAGE(OFFSET($R$3,0,0,'Données projet'!$E$9+1,1))-AVERAGE(OFFSET($H$3,0,0,'Données projet'!$E$9+1,1))</f>
        <v>432.80275651765203</v>
      </c>
      <c r="T11" s="62">
        <f t="shared" si="34"/>
        <v>203.89279893419919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14.88</v>
      </c>
      <c r="AI11" s="14">
        <f>IF('Données projet'!$A$62&gt;35,AI10+AH11-AQ10,IF(A11&lt;'Données projet'!$A$62,$AF$205^A11,IF(A11='Données projet'!$A$62,'Données projet'!$B$62,AI10+AH11-AQ10)))</f>
        <v>6.6462051215543951</v>
      </c>
      <c r="AJ11" s="14">
        <f>AI11*VLOOKUP('Données projet'!$B$10,Paramètres!$A$1:$I$89,3,0)*VLOOKUP('Données projet'!$B$10,Paramètres!$A$1:$I$89,5,0)</f>
        <v>2.9376226637270428</v>
      </c>
      <c r="AK11" s="14">
        <f t="shared" si="35"/>
        <v>1.1941897505214538</v>
      </c>
      <c r="AL11" s="22">
        <f t="shared" si="4"/>
        <v>7.1962399548161322</v>
      </c>
      <c r="AM11" s="62">
        <f t="shared" si="5"/>
        <v>193.94951282103668</v>
      </c>
      <c r="AN11" s="62">
        <f ca="1">AVERAGE(OFFSET($AM$3,0,0,'Données projet'!$E$10+1,1))-AVERAGE(OFFSET($H$3,0,0,'Données projet'!$E$10+1,1))</f>
        <v>413.08876898406481</v>
      </c>
      <c r="AO11" s="62">
        <f t="shared" si="36"/>
        <v>520.31320932826566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14.88</v>
      </c>
      <c r="BD11" s="13">
        <f>IF('Données projet'!$A$88&gt;35,BD10+BC11-BL10,IF(A11&lt;'Données projet'!$A$88,$BA$205^A11,IF(A11='Données projet'!$A$88,'Données projet'!$B$88,BD10+BC11-BL10)))</f>
        <v>6.6462051215543951</v>
      </c>
      <c r="BE11" s="14">
        <f>BD11*VLOOKUP('Données projet'!$B$11,Paramètres!$A$1:$I$89,3,0)*VLOOKUP('Données projet'!$B$11,Paramètres!$A$1:$I$89,5,0)</f>
        <v>3.7152286629489071</v>
      </c>
      <c r="BF11" s="14">
        <f t="shared" si="37"/>
        <v>1.4695734447676303</v>
      </c>
      <c r="BG11" s="22">
        <f t="shared" si="7"/>
        <v>9.0301970042729689</v>
      </c>
      <c r="BH11" s="62">
        <f t="shared" si="8"/>
        <v>195.78346987049352</v>
      </c>
      <c r="BI11" s="62">
        <f ca="1">AVERAGE(OFFSET($BH$3,0,0,'Données projet'!$E$11+1,1))-AVERAGE(OFFSET($H$3,0,0,'Données projet'!$E$11+1,1))</f>
        <v>507.66185230065889</v>
      </c>
      <c r="BJ11" s="62">
        <f t="shared" si="38"/>
        <v>640.14375617778342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4.7916666665000003</v>
      </c>
      <c r="BY11" s="13">
        <f>IF('Données projet'!$A$114&gt;35,BY10+BX11-CG10,IF(A11&lt;'Données projet'!$A$114,$BV$205^A11,IF(A11='Données projet'!$A$114,'Données projet'!$B$114,BY10+BX11-CG10)))</f>
        <v>6.2030693661972318</v>
      </c>
      <c r="BZ11" s="14">
        <f>BY11*VLOOKUP('Données projet'!$B$12,Paramètres!$A$1:$I$89,3,0)*VLOOKUP('Données projet'!$B$12,Paramètres!$A$1:$I$89,5,0)</f>
        <v>2.9030364633803041</v>
      </c>
      <c r="CA11" s="14">
        <f t="shared" si="39"/>
        <v>1.1817579313135749</v>
      </c>
      <c r="CB11" s="22">
        <f t="shared" si="10"/>
        <v>7.1143502374251719</v>
      </c>
      <c r="CC11" s="62">
        <f t="shared" si="11"/>
        <v>193.86762310364574</v>
      </c>
      <c r="CD11" s="62">
        <f ca="1">AVERAGE(OFFSET($CC$3,0,0,'Données projet'!$E$12+1,1))-AVERAGE(OFFSET($H$3,0,0,'Données projet'!$E$12+1,1))</f>
        <v>289.21044803824958</v>
      </c>
      <c r="CE11" s="62">
        <f t="shared" si="40"/>
        <v>196.11836398299445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>
        <f>EXP(-LN(2)/35)*CK10+(1-EXP(-LN(2)/35))/(LN(2)/35)*CG11*CH11*VLOOKUP('Données projet'!$B$12,Paramètres!$A$1:$I$89,3,0)*0.475*44/12</f>
        <v>0</v>
      </c>
      <c r="CL11" s="23">
        <f>EXP(-LN(2)/25)*CL10+(1-EXP(-LN(2)/25))/(LN(2)/25)*Calculateur!CG11*Calculateur!CI11*VLOOKUP('Données projet'!$B$12,Paramètres!$A$1:$I$89,3,0)*0.475*44/12</f>
        <v>0</v>
      </c>
      <c r="CM11" s="23">
        <f>EXP(-LN(2)/2)*CM10+(1-EXP(-LN(2)/2))/(LN(2)/2)*CG11*CJ11*VLOOKUP('Données projet'!$B$12,Paramètres!$A$1:$I$89,3,0)*0.475*44/12</f>
        <v>0</v>
      </c>
      <c r="CN11" s="24">
        <f t="shared" si="12"/>
        <v>0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14.2</v>
      </c>
      <c r="CT11" s="13">
        <f>IF('Données projet'!$A$140&gt;35,CT10+CS11-DB10,IF(A11&lt;'Données projet'!$A$140,$CQ$205^A11,IF(A11='Données projet'!$A$140,'Données projet'!$B$140,CT10+CS11-DB10)))</f>
        <v>70.600000000000009</v>
      </c>
      <c r="CU11" s="18">
        <f>CT11*VLOOKUP('Données projet'!$B$13,Paramètres!$A$1:$I$89,3,0)*VLOOKUP('Données projet'!$B$13,Paramètres!$A$1:$I$89,5,0)</f>
        <v>63.878880000000002</v>
      </c>
      <c r="CV11" s="14">
        <f t="shared" si="41"/>
        <v>18.145367520913332</v>
      </c>
      <c r="CW11" s="22">
        <f t="shared" si="13"/>
        <v>142.85889776559074</v>
      </c>
      <c r="CX11" s="62">
        <f t="shared" si="14"/>
        <v>329.6121706318113</v>
      </c>
      <c r="CY11" s="62">
        <f ca="1">AVERAGE(OFFSET($CX$3,0,0,'Données projet'!$E$13+1,1))-AVERAGE(OFFSET($H$3,0,0,'Données projet'!$E$13+1,1))</f>
        <v>376.68007030857598</v>
      </c>
      <c r="CZ11" s="62">
        <f t="shared" si="42"/>
        <v>532.90758914457626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>
        <f>EXP(-LN(2)/35)*DF10+(1-EXP(-LN(2)/35))/(LN(2)/35)*DB11*DC11*VLOOKUP('Données projet'!$B$13,Paramètres!$A$1:$I$89,3,0)*0.475*44/12</f>
        <v>0</v>
      </c>
      <c r="DG11" s="23">
        <f>EXP(-LN(2)/25)*DG10+(1-EXP(-LN(2)/25))/(LN(2)/25)*Calculateur!DB11*Calculateur!DD11*VLOOKUP('Données projet'!$B$13,Paramètres!$A$1:$I$89,3,0)*0.475*44/12</f>
        <v>0</v>
      </c>
      <c r="DH11" s="23">
        <f>EXP(-LN(2)/2)*DH10+(1-EXP(-LN(2)/2))/(LN(2)/2)*DB11*DE11*VLOOKUP('Données projet'!$B$13,Paramètres!$A$1:$I$89,3,0)*0.475*44/12</f>
        <v>0</v>
      </c>
      <c r="DI11" s="24">
        <f t="shared" si="15"/>
        <v>0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2.6666666666666665</v>
      </c>
      <c r="DO11" s="13">
        <f>IF('Données projet'!$A$166&gt;35,DO10+DN11-DW10,IF(A11&lt;'Données projet'!$A$166,$DL$205^A11,IF(A11='Données projet'!$A$166,'Données projet'!$B$166,DO10+DN11-DW10)))</f>
        <v>7.1520739352994367</v>
      </c>
      <c r="DP11" s="18">
        <f>DO11*VLOOKUP('Données projet'!$B$14,Paramètres!$A$1:$I$89,3,0)*VLOOKUP('Données projet'!$B$14,Paramètres!$A$1:$I$89,5,0)</f>
        <v>6.8059135568309443</v>
      </c>
      <c r="DQ11" s="14">
        <f t="shared" si="43"/>
        <v>2.5089413737421067</v>
      </c>
      <c r="DR11" s="22">
        <f t="shared" si="16"/>
        <v>16.223372337414734</v>
      </c>
      <c r="DS11" s="62">
        <f t="shared" si="17"/>
        <v>202.97664520363529</v>
      </c>
      <c r="DT11" s="62">
        <f ca="1">AVERAGE(OFFSET($DS$3,0,0,'Données projet'!$E$14+1,1))-AVERAGE(OFFSET($H$3,0,0,'Données projet'!$E$14+1,1))</f>
        <v>364.63161066507769</v>
      </c>
      <c r="DU11" s="62">
        <f t="shared" si="44"/>
        <v>355.44729904860708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>
        <f>EXP(-LN(2)/35)*EA10+(1-EXP(-LN(2)/35))/(LN(2)/35)*DW11*DX11*VLOOKUP('Données projet'!$B$14,Paramètres!$A$1:$I$89,3,0)*0.475*44/12</f>
        <v>0</v>
      </c>
      <c r="EB11" s="23">
        <f>EXP(-LN(2)/25)*EB10+(1-EXP(-LN(2)/25))/(LN(2)/25)*Calculateur!DW11*Calculateur!DY11*VLOOKUP('Données projet'!$B$14,Paramètres!$A$1:$I$89,3,0)*0.475*44/12</f>
        <v>0</v>
      </c>
      <c r="EC11" s="23">
        <f>EXP(-LN(2)/2)*EC10+(1-EXP(-LN(2)/2))/(LN(2)/2)*DW11*DZ11*VLOOKUP('Données projet'!$B$14,Paramètres!$A$1:$I$89,3,0)*0.475*44/12</f>
        <v>0</v>
      </c>
      <c r="ED11" s="24">
        <f t="shared" si="18"/>
        <v>0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2.6666666666666665</v>
      </c>
      <c r="EJ11" s="13">
        <f>IF('Données projet'!$A$192&gt;35,EJ10+EI11-ER10,IF(A11&lt;'Données projet'!$A$192,$EG$205^A11,IF(A11='Données projet'!$A$192,'Données projet'!$B$192,EJ10+EI11-ER10)))</f>
        <v>7.1520739352994367</v>
      </c>
      <c r="EK11" s="18">
        <f>EJ11*VLOOKUP('Données projet'!$B$15,Paramètres!$A$1:$I$89,3,0)*VLOOKUP('Données projet'!$B$15,Paramètres!$A$1:$I$89,5,0)</f>
        <v>5.243900609361547</v>
      </c>
      <c r="EL11" s="14">
        <f t="shared" si="45"/>
        <v>1.9926853978631089</v>
      </c>
      <c r="EM11" s="22">
        <f t="shared" si="19"/>
        <v>12.603720629249608</v>
      </c>
      <c r="EN11" s="62">
        <f t="shared" si="20"/>
        <v>199.35699349547016</v>
      </c>
      <c r="EO11" s="62">
        <f ca="1">AVERAGE(OFFSET($EN$3,0,0,'Données projet'!$E$15+1,1))-AVERAGE(OFFSET($H$3,0,0,'Données projet'!$E$15+1,1))</f>
        <v>293.59366973965774</v>
      </c>
      <c r="EP11" s="62">
        <f t="shared" si="46"/>
        <v>288.13804536120426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>
        <f>EXP(-LN(2)/35)*EV10+(1-EXP(-LN(2)/35))/(LN(2)/35)*ER11*ES11*VLOOKUP('Données projet'!$B$15,Paramètres!$A$1:$I$89,3,0)*0.475*44/12</f>
        <v>0</v>
      </c>
      <c r="EW11" s="23">
        <f>EXP(-LN(2)/25)*EW10+(1-EXP(-LN(2)/25))/(LN(2)/25)*Calculateur!ER11*Calculateur!ET11*VLOOKUP('Données projet'!$B$15,Paramètres!$A$1:$I$89,3,0)*0.475*44/12</f>
        <v>0</v>
      </c>
      <c r="EX11" s="23">
        <f>EXP(-LN(2)/2)*EX10+(1-EXP(-LN(2)/2))/(LN(2)/2)*ER11*EU11*VLOOKUP('Données projet'!$B$15,Paramètres!$A$1:$I$89,3,0)*0.475*44/12</f>
        <v>0</v>
      </c>
      <c r="EY11" s="24">
        <f t="shared" si="21"/>
        <v>0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2.6666666666666665</v>
      </c>
      <c r="FE11" s="13">
        <f>IF('Données projet'!$A$218&gt;35,FE10+FD11-FM10,IF(A11&lt;'Données projet'!$A$218,$FB$205^A11,IF(A11='Données projet'!$A$218,'Données projet'!$B$218,FE10+FD11-FM10)))</f>
        <v>7.1520739352994367</v>
      </c>
      <c r="FF11" s="18">
        <f>FE11*VLOOKUP('Données projet'!$B$16,Paramètres!$A$1:$I$89,3,0)*VLOOKUP('Données projet'!$B$16,Paramètres!$A$1:$I$89,5,0)</f>
        <v>6.9174859102216155</v>
      </c>
      <c r="FG11" s="14">
        <f t="shared" si="47"/>
        <v>2.5452495417640484</v>
      </c>
      <c r="FH11" s="22">
        <f t="shared" si="22"/>
        <v>16.480930912208361</v>
      </c>
      <c r="FI11" s="62">
        <f t="shared" si="23"/>
        <v>203.23420377842891</v>
      </c>
      <c r="FJ11" s="62">
        <f ca="1">AVERAGE(OFFSET($FI$3,0,0,'Données projet'!$E$16+1,1))-AVERAGE(OFFSET($H$3,0,0,'Données projet'!$E$16+1,1))</f>
        <v>369.69145521630799</v>
      </c>
      <c r="FK11" s="62">
        <f t="shared" si="48"/>
        <v>360.24112103688719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>
        <f>EXP(-LN(2)/35)*FQ10+(1-EXP(-LN(2)/35))/(LN(2)/35)*FM11*FN11*VLOOKUP('Données projet'!$B$16,Paramètres!$A$1:$I$89,3,0)*0.475*44/12</f>
        <v>0</v>
      </c>
      <c r="FR11" s="23">
        <f>EXP(-LN(2)/25)*FR10+(1-EXP(-LN(2)/25))/(LN(2)/25)*Calculateur!FM11*Calculateur!FO11*VLOOKUP('Données projet'!$B$16,Paramètres!$A$1:$I$89,3,0)*0.475*44/12</f>
        <v>0</v>
      </c>
      <c r="FS11" s="23">
        <f>EXP(-LN(2)/2)*FS10+(1-EXP(-LN(2)/2))/(LN(2)/2)*FM11*FP11*VLOOKUP('Données projet'!$B$16,Paramètres!$A$1:$I$89,3,0)*0.475*44/12</f>
        <v>0</v>
      </c>
      <c r="FT11" s="24">
        <f t="shared" si="24"/>
        <v>0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2.6666666666666665</v>
      </c>
      <c r="FZ11" s="13">
        <f>IF('Données projet'!$A$244&gt;35,FZ10+FY11-GH10,IF(A11&lt;'Données projet'!$A$244,$FW$205^A11,IF(A11='Données projet'!$A$244,'Données projet'!$B$244,FZ10+FY11-GH10)))</f>
        <v>7.1520739352994367</v>
      </c>
      <c r="GA11" s="18">
        <f>FZ11*VLOOKUP('Données projet'!$B$17,Paramètres!$A$1:$I$89,3,0)*VLOOKUP('Données projet'!$B$17,Paramètres!$A$1:$I$89,5,0)</f>
        <v>7.6984923839563129</v>
      </c>
      <c r="GB11" s="14">
        <f t="shared" si="49"/>
        <v>2.7975646246798838</v>
      </c>
      <c r="GC11" s="22">
        <f t="shared" si="25"/>
        <v>18.280632623374711</v>
      </c>
      <c r="GD11" s="62">
        <f t="shared" si="26"/>
        <v>205.03390548959527</v>
      </c>
      <c r="GE11" s="62">
        <f ca="1">AVERAGE(OFFSET($GD$3,0,0,'Données projet'!$E$17+1,1))-AVERAGE(OFFSET($H$3,0,0,'Données projet'!$E$17+1,1))</f>
        <v>405.06394904053946</v>
      </c>
      <c r="GF11" s="62">
        <f t="shared" si="50"/>
        <v>393.75247087518198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>
        <f>EXP(-LN(2)/35)*GL10+(1-EXP(-LN(2)/35))/(LN(2)/35)*GH11*GI11*VLOOKUP('Données projet'!$B$17,Paramètres!$A$1:$I$89,3,0)*0.475*44/12</f>
        <v>0</v>
      </c>
      <c r="GM11" s="23">
        <f>EXP(-LN(2)/25)*GM10+(1-EXP(-LN(2)/25))/(LN(2)/25)*Calculateur!GH11*Calculateur!GJ11*VLOOKUP('Données projet'!$B$17,Paramètres!$A$1:$I$89,3,0)*0.475*44/12</f>
        <v>0</v>
      </c>
      <c r="GN11" s="23">
        <f>EXP(-LN(2)/2)*GN10+(1-EXP(-LN(2)/2))/(LN(2)/2)*GH11*GK11*VLOOKUP('Données projet'!$B$17,Paramètres!$A$1:$I$89,3,0)*0.475*44/12</f>
        <v>0</v>
      </c>
      <c r="GO11" s="23">
        <f t="shared" si="27"/>
        <v>0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2.6666666666666665</v>
      </c>
      <c r="GU11" s="13">
        <f>IF('Données projet'!$A$270&gt;35,GU10+GT11-HC10,IF(A11&lt;'Données projet'!$A$270,$GR$205^A11,IF(A11='Données projet'!$A$270,'Données projet'!$B$270,GU10+GT11-HC10)))</f>
        <v>7.1520739352994367</v>
      </c>
      <c r="GV11" s="18">
        <f>GU11*VLOOKUP('Données projet'!$B$18,Paramètres!$A$1:$I$89,3,0)*VLOOKUP('Données projet'!$B$18,Paramètres!$A$1:$I$89,5,0)</f>
        <v>4.7976111957988623</v>
      </c>
      <c r="GW11" s="14">
        <f t="shared" si="51"/>
        <v>1.8420685950312794</v>
      </c>
      <c r="GX11" s="22">
        <f t="shared" si="28"/>
        <v>11.564108969029164</v>
      </c>
      <c r="GY11" s="62">
        <f t="shared" si="29"/>
        <v>198.31738183524971</v>
      </c>
      <c r="GZ11" s="62">
        <f ca="1">AVERAGE(OFFSET($GY$3,0,0,'Données projet'!$E$18+1,1))-AVERAGE(OFFSET($H$3,0,0,'Données projet'!$E$18+1,1))</f>
        <v>273.21861937609918</v>
      </c>
      <c r="HA11" s="62">
        <f t="shared" si="52"/>
        <v>268.83004886965318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>
        <f>EXP(-LN(2)/35)*HG10+(1-EXP(-LN(2)/35))/(LN(2)/35)*HC11*HD11*VLOOKUP('Données projet'!$B$18,Paramètres!$A$1:$I$89,3,0)*0.475*44/12</f>
        <v>0</v>
      </c>
      <c r="HH11" s="23">
        <f>EXP(-LN(2)/25)*HH10+(1-EXP(-LN(2)/25))/(LN(2)/25)*Calculateur!HC11*Calculateur!HE11*VLOOKUP('Données projet'!$B$18,Paramètres!$A$1:$I$89,3,0)*0.475*44/12</f>
        <v>0</v>
      </c>
      <c r="HI11" s="23">
        <f>EXP(-LN(2)/2)*HI10+(1-EXP(-LN(2)/2))/(LN(2)/2)*HC11*HF11*VLOOKUP('Données projet'!$B$18,Paramètres!$A$1:$I$89,3,0)*0.475*44/12</f>
        <v>0</v>
      </c>
      <c r="HJ11" s="24">
        <f t="shared" si="30"/>
        <v>0</v>
      </c>
    </row>
    <row r="12" spans="1:218" s="5" customFormat="1" x14ac:dyDescent="0.4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2.4423076923076925</v>
      </c>
      <c r="N12" s="14">
        <f>IF('Données projet'!$A$36&gt;35,N11+M12-V11,IF(A12&lt;'Données projet'!$A$36,$K$205^A12,IF(A12='Données projet'!$A$36,'Données projet'!$B$36,N11+M12-V11)))</f>
        <v>21.980769230769237</v>
      </c>
      <c r="O12" s="14">
        <f>N12*VLOOKUP('Données projet'!$B$9,Paramètres!$A$1:$I$89,3,0)*VLOOKUP('Données projet'!$B$9,Paramètres!$A$1:$I$89,5,0)</f>
        <v>19.888200000000005</v>
      </c>
      <c r="P12" s="14">
        <f t="shared" si="33"/>
        <v>6.4712924942686927</v>
      </c>
      <c r="Q12" s="22">
        <f t="shared" si="2"/>
        <v>45.909449427517977</v>
      </c>
      <c r="R12" s="62">
        <f t="shared" si="0"/>
        <v>235.26740818007406</v>
      </c>
      <c r="S12" s="62">
        <f ca="1">AVERAGE(OFFSET($R$3,0,0,'Données projet'!$E$9+1,1))-AVERAGE(OFFSET($H$3,0,0,'Données projet'!$E$9+1,1))</f>
        <v>432.80275651765203</v>
      </c>
      <c r="T12" s="62">
        <f t="shared" si="34"/>
        <v>203.89279893419919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14.88</v>
      </c>
      <c r="AI12" s="14">
        <f>IF('Données projet'!$A$62&gt;35,AI11+AH12-AQ11,IF(A12&lt;'Données projet'!$A$62,$AF$205^A12,IF(A12='Données projet'!$A$62,'Données projet'!$B$62,AI11+AH12-AQ11)))</f>
        <v>8.4216164523136428</v>
      </c>
      <c r="AJ12" s="14">
        <f>AI12*VLOOKUP('Données projet'!$B$10,Paramètres!$A$1:$I$89,3,0)*VLOOKUP('Données projet'!$B$10,Paramètres!$A$1:$I$89,5,0)</f>
        <v>3.7223544719226305</v>
      </c>
      <c r="AK12" s="14">
        <f t="shared" si="35"/>
        <v>1.472063719044403</v>
      </c>
      <c r="AL12" s="22">
        <f t="shared" si="4"/>
        <v>9.0469450159342486</v>
      </c>
      <c r="AM12" s="62">
        <f t="shared" si="5"/>
        <v>198.40490376849033</v>
      </c>
      <c r="AN12" s="62">
        <f ca="1">AVERAGE(OFFSET($AM$3,0,0,'Données projet'!$E$10+1,1))-AVERAGE(OFFSET($H$3,0,0,'Données projet'!$E$10+1,1))</f>
        <v>413.08876898406481</v>
      </c>
      <c r="AO12" s="62">
        <f t="shared" si="36"/>
        <v>520.31320932826566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14.88</v>
      </c>
      <c r="BD12" s="13">
        <f>IF('Données projet'!$A$88&gt;35,BD11+BC12-BL11,IF(A12&lt;'Données projet'!$A$88,$BA$205^A12,IF(A12='Données projet'!$A$88,'Données projet'!$B$88,BD11+BC12-BL11)))</f>
        <v>8.4216164523136428</v>
      </c>
      <c r="BE12" s="14">
        <f>BD12*VLOOKUP('Données projet'!$B$11,Paramètres!$A$1:$I$89,3,0)*VLOOKUP('Données projet'!$B$11,Paramètres!$A$1:$I$89,5,0)</f>
        <v>4.7076835968433262</v>
      </c>
      <c r="BF12" s="14">
        <f t="shared" si="37"/>
        <v>1.8115259736309957</v>
      </c>
      <c r="BG12" s="22">
        <f t="shared" si="7"/>
        <v>11.354290001909446</v>
      </c>
      <c r="BH12" s="62">
        <f t="shared" si="8"/>
        <v>200.71224875446552</v>
      </c>
      <c r="BI12" s="62">
        <f ca="1">AVERAGE(OFFSET($BH$3,0,0,'Données projet'!$E$11+1,1))-AVERAGE(OFFSET($H$3,0,0,'Données projet'!$E$11+1,1))</f>
        <v>507.66185230065889</v>
      </c>
      <c r="BJ12" s="62">
        <f t="shared" si="38"/>
        <v>640.14375617778342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4.7916666665000003</v>
      </c>
      <c r="BY12" s="13">
        <f>IF('Données projet'!$A$114&gt;35,BY11+BX12-CG11,IF(A12&lt;'Données projet'!$A$114,$BV$205^A12,IF(A12='Données projet'!$A$114,'Données projet'!$B$114,BY11+BX12-CG11)))</f>
        <v>7.7926014943201469</v>
      </c>
      <c r="BZ12" s="14">
        <f>BY12*VLOOKUP('Données projet'!$B$12,Paramètres!$A$1:$I$89,3,0)*VLOOKUP('Données projet'!$B$12,Paramètres!$A$1:$I$89,5,0)</f>
        <v>3.6469374993418286</v>
      </c>
      <c r="CA12" s="14">
        <f t="shared" si="39"/>
        <v>1.4456791876870905</v>
      </c>
      <c r="CB12" s="22">
        <f t="shared" si="10"/>
        <v>8.8696407299086992</v>
      </c>
      <c r="CC12" s="62">
        <f t="shared" si="11"/>
        <v>198.22759948246477</v>
      </c>
      <c r="CD12" s="62">
        <f ca="1">AVERAGE(OFFSET($CC$3,0,0,'Données projet'!$E$12+1,1))-AVERAGE(OFFSET($H$3,0,0,'Données projet'!$E$12+1,1))</f>
        <v>289.21044803824958</v>
      </c>
      <c r="CE12" s="62">
        <f t="shared" si="40"/>
        <v>196.11836398299445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>
        <f>EXP(-LN(2)/35)*CK11+(1-EXP(-LN(2)/35))/(LN(2)/35)*CG12*CH12*VLOOKUP('Données projet'!$B$12,Paramètres!$A$1:$I$89,3,0)*0.475*44/12</f>
        <v>0</v>
      </c>
      <c r="CL12" s="23">
        <f>EXP(-LN(2)/25)*CL11+(1-EXP(-LN(2)/25))/(LN(2)/25)*Calculateur!CG12*Calculateur!CI12*VLOOKUP('Données projet'!$B$12,Paramètres!$A$1:$I$89,3,0)*0.475*44/12</f>
        <v>0</v>
      </c>
      <c r="CM12" s="23">
        <f>EXP(-LN(2)/2)*CM11+(1-EXP(-LN(2)/2))/(LN(2)/2)*CG12*CJ12*VLOOKUP('Données projet'!$B$12,Paramètres!$A$1:$I$89,3,0)*0.475*44/12</f>
        <v>0</v>
      </c>
      <c r="CN12" s="24">
        <f t="shared" si="12"/>
        <v>0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14.2</v>
      </c>
      <c r="CT12" s="13">
        <f>IF('Données projet'!$A$140&gt;35,CT11+CS12-DB11,IF(A12&lt;'Données projet'!$A$140,$CQ$205^A12,IF(A12='Données projet'!$A$140,'Données projet'!$B$140,CT11+CS12-DB11)))</f>
        <v>84.800000000000011</v>
      </c>
      <c r="CU12" s="18">
        <f>CT12*VLOOKUP('Données projet'!$B$13,Paramètres!$A$1:$I$89,3,0)*VLOOKUP('Données projet'!$B$13,Paramètres!$A$1:$I$89,5,0)</f>
        <v>76.727040000000017</v>
      </c>
      <c r="CV12" s="14">
        <f t="shared" si="41"/>
        <v>21.334993267156719</v>
      </c>
      <c r="CW12" s="22">
        <f t="shared" si="13"/>
        <v>170.79137460696464</v>
      </c>
      <c r="CX12" s="62">
        <f t="shared" si="14"/>
        <v>360.14933335952071</v>
      </c>
      <c r="CY12" s="62">
        <f ca="1">AVERAGE(OFFSET($CX$3,0,0,'Données projet'!$E$13+1,1))-AVERAGE(OFFSET($H$3,0,0,'Données projet'!$E$13+1,1))</f>
        <v>376.68007030857598</v>
      </c>
      <c r="CZ12" s="62">
        <f t="shared" si="42"/>
        <v>532.90758914457626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>
        <f>EXP(-LN(2)/35)*DF11+(1-EXP(-LN(2)/35))/(LN(2)/35)*DB12*DC12*VLOOKUP('Données projet'!$B$13,Paramètres!$A$1:$I$89,3,0)*0.475*44/12</f>
        <v>0</v>
      </c>
      <c r="DG12" s="23">
        <f>EXP(-LN(2)/25)*DG11+(1-EXP(-LN(2)/25))/(LN(2)/25)*Calculateur!DB12*Calculateur!DD12*VLOOKUP('Données projet'!$B$13,Paramètres!$A$1:$I$89,3,0)*0.475*44/12</f>
        <v>0</v>
      </c>
      <c r="DH12" s="23">
        <f>EXP(-LN(2)/2)*DH11+(1-EXP(-LN(2)/2))/(LN(2)/2)*DB12*DE12*VLOOKUP('Données projet'!$B$13,Paramètres!$A$1:$I$89,3,0)*0.475*44/12</f>
        <v>0</v>
      </c>
      <c r="DI12" s="24">
        <f t="shared" si="15"/>
        <v>0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2.6666666666666665</v>
      </c>
      <c r="DO12" s="13">
        <f>IF('Données projet'!$A$166&gt;35,DO11+DN12-DW11,IF(A12&lt;'Données projet'!$A$166,$DL$205^A12,IF(A12='Données projet'!$A$166,'Données projet'!$B$166,DO11+DN12-DW11)))</f>
        <v>9.1461010385465205</v>
      </c>
      <c r="DP12" s="18">
        <f>DO12*VLOOKUP('Données projet'!$B$14,Paramètres!$A$1:$I$89,3,0)*VLOOKUP('Données projet'!$B$14,Paramètres!$A$1:$I$89,5,0)</f>
        <v>8.70342974828087</v>
      </c>
      <c r="DQ12" s="14">
        <f t="shared" si="43"/>
        <v>3.1179024781820153</v>
      </c>
      <c r="DR12" s="22">
        <f t="shared" si="16"/>
        <v>20.58882029442286</v>
      </c>
      <c r="DS12" s="62">
        <f t="shared" si="17"/>
        <v>209.94677904697892</v>
      </c>
      <c r="DT12" s="62">
        <f ca="1">AVERAGE(OFFSET($DS$3,0,0,'Données projet'!$E$14+1,1))-AVERAGE(OFFSET($H$3,0,0,'Données projet'!$E$14+1,1))</f>
        <v>364.63161066507769</v>
      </c>
      <c r="DU12" s="62">
        <f t="shared" si="44"/>
        <v>355.44729904860708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>
        <f>EXP(-LN(2)/35)*EA11+(1-EXP(-LN(2)/35))/(LN(2)/35)*DW12*DX12*VLOOKUP('Données projet'!$B$14,Paramètres!$A$1:$I$89,3,0)*0.475*44/12</f>
        <v>0</v>
      </c>
      <c r="EB12" s="23">
        <f>EXP(-LN(2)/25)*EB11+(1-EXP(-LN(2)/25))/(LN(2)/25)*Calculateur!DW12*Calculateur!DY12*VLOOKUP('Données projet'!$B$14,Paramètres!$A$1:$I$89,3,0)*0.475*44/12</f>
        <v>0</v>
      </c>
      <c r="EC12" s="23">
        <f>EXP(-LN(2)/2)*EC11+(1-EXP(-LN(2)/2))/(LN(2)/2)*DW12*DZ12*VLOOKUP('Données projet'!$B$14,Paramètres!$A$1:$I$89,3,0)*0.475*44/12</f>
        <v>0</v>
      </c>
      <c r="ED12" s="24">
        <f t="shared" si="18"/>
        <v>0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2.6666666666666665</v>
      </c>
      <c r="EJ12" s="13">
        <f>IF('Données projet'!$A$192&gt;35,EJ11+EI12-ER11,IF(A12&lt;'Données projet'!$A$192,$EG$205^A12,IF(A12='Données projet'!$A$192,'Données projet'!$B$192,EJ11+EI12-ER11)))</f>
        <v>9.1461010385465205</v>
      </c>
      <c r="EK12" s="18">
        <f>EJ12*VLOOKUP('Données projet'!$B$15,Paramètres!$A$1:$I$89,3,0)*VLOOKUP('Données projet'!$B$15,Paramètres!$A$1:$I$89,5,0)</f>
        <v>6.7059212814623086</v>
      </c>
      <c r="EL12" s="14">
        <f t="shared" si="45"/>
        <v>2.4763427337354487</v>
      </c>
      <c r="EM12" s="22">
        <f t="shared" si="19"/>
        <v>15.992443159802759</v>
      </c>
      <c r="EN12" s="62">
        <f t="shared" si="20"/>
        <v>205.35040191235882</v>
      </c>
      <c r="EO12" s="62">
        <f ca="1">AVERAGE(OFFSET($EN$3,0,0,'Données projet'!$E$15+1,1))-AVERAGE(OFFSET($H$3,0,0,'Données projet'!$E$15+1,1))</f>
        <v>293.59366973965774</v>
      </c>
      <c r="EP12" s="62">
        <f t="shared" si="46"/>
        <v>288.13804536120426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>
        <f>EXP(-LN(2)/35)*EV11+(1-EXP(-LN(2)/35))/(LN(2)/35)*ER12*ES12*VLOOKUP('Données projet'!$B$15,Paramètres!$A$1:$I$89,3,0)*0.475*44/12</f>
        <v>0</v>
      </c>
      <c r="EW12" s="23">
        <f>EXP(-LN(2)/25)*EW11+(1-EXP(-LN(2)/25))/(LN(2)/25)*Calculateur!ER12*Calculateur!ET12*VLOOKUP('Données projet'!$B$15,Paramètres!$A$1:$I$89,3,0)*0.475*44/12</f>
        <v>0</v>
      </c>
      <c r="EX12" s="23">
        <f>EXP(-LN(2)/2)*EX11+(1-EXP(-LN(2)/2))/(LN(2)/2)*ER12*EU12*VLOOKUP('Données projet'!$B$15,Paramètres!$A$1:$I$89,3,0)*0.475*44/12</f>
        <v>0</v>
      </c>
      <c r="EY12" s="24">
        <f t="shared" si="21"/>
        <v>0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2.6666666666666665</v>
      </c>
      <c r="FE12" s="13">
        <f>IF('Données projet'!$A$218&gt;35,FE11+FD12-FM11,IF(A12&lt;'Données projet'!$A$218,$FB$205^A12,IF(A12='Données projet'!$A$218,'Données projet'!$B$218,FE11+FD12-FM11)))</f>
        <v>9.1461010385465205</v>
      </c>
      <c r="FF12" s="18">
        <f>FE12*VLOOKUP('Données projet'!$B$16,Paramètres!$A$1:$I$89,3,0)*VLOOKUP('Données projet'!$B$16,Paramètres!$A$1:$I$89,5,0)</f>
        <v>8.8461089244821949</v>
      </c>
      <c r="FG12" s="14">
        <f t="shared" si="47"/>
        <v>3.1630232323927889</v>
      </c>
      <c r="FH12" s="22">
        <f t="shared" si="22"/>
        <v>20.91590517322393</v>
      </c>
      <c r="FI12" s="62">
        <f t="shared" si="23"/>
        <v>210.27386392578001</v>
      </c>
      <c r="FJ12" s="62">
        <f ca="1">AVERAGE(OFFSET($FI$3,0,0,'Données projet'!$E$16+1,1))-AVERAGE(OFFSET($H$3,0,0,'Données projet'!$E$16+1,1))</f>
        <v>369.69145521630799</v>
      </c>
      <c r="FK12" s="62">
        <f t="shared" si="48"/>
        <v>360.24112103688719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>
        <f>EXP(-LN(2)/35)*FQ11+(1-EXP(-LN(2)/35))/(LN(2)/35)*FM12*FN12*VLOOKUP('Données projet'!$B$16,Paramètres!$A$1:$I$89,3,0)*0.475*44/12</f>
        <v>0</v>
      </c>
      <c r="FR12" s="23">
        <f>EXP(-LN(2)/25)*FR11+(1-EXP(-LN(2)/25))/(LN(2)/25)*Calculateur!FM12*Calculateur!FO12*VLOOKUP('Données projet'!$B$16,Paramètres!$A$1:$I$89,3,0)*0.475*44/12</f>
        <v>0</v>
      </c>
      <c r="FS12" s="23">
        <f>EXP(-LN(2)/2)*FS11+(1-EXP(-LN(2)/2))/(LN(2)/2)*FM12*FP12*VLOOKUP('Données projet'!$B$16,Paramètres!$A$1:$I$89,3,0)*0.475*44/12</f>
        <v>0</v>
      </c>
      <c r="FT12" s="24">
        <f t="shared" si="24"/>
        <v>0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2.6666666666666665</v>
      </c>
      <c r="FZ12" s="13">
        <f>IF('Données projet'!$A$244&gt;35,FZ11+FY12-GH11,IF(A12&lt;'Données projet'!$A$244,$FW$205^A12,IF(A12='Données projet'!$A$244,'Données projet'!$B$244,FZ11+FY12-GH11)))</f>
        <v>9.1461010385465205</v>
      </c>
      <c r="GA12" s="18">
        <f>FZ12*VLOOKUP('Données projet'!$B$17,Paramètres!$A$1:$I$89,3,0)*VLOOKUP('Données projet'!$B$17,Paramètres!$A$1:$I$89,5,0)</f>
        <v>9.8448631578914743</v>
      </c>
      <c r="GB12" s="14">
        <f t="shared" si="49"/>
        <v>3.4765793124747328</v>
      </c>
      <c r="GC12" s="22">
        <f t="shared" si="25"/>
        <v>23.201512302554477</v>
      </c>
      <c r="GD12" s="62">
        <f t="shared" si="26"/>
        <v>212.55947105511055</v>
      </c>
      <c r="GE12" s="62">
        <f ca="1">AVERAGE(OFFSET($GD$3,0,0,'Données projet'!$E$17+1,1))-AVERAGE(OFFSET($H$3,0,0,'Données projet'!$E$17+1,1))</f>
        <v>405.06394904053946</v>
      </c>
      <c r="GF12" s="62">
        <f t="shared" si="50"/>
        <v>393.75247087518198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>
        <f>EXP(-LN(2)/35)*GL11+(1-EXP(-LN(2)/35))/(LN(2)/35)*GH12*GI12*VLOOKUP('Données projet'!$B$17,Paramètres!$A$1:$I$89,3,0)*0.475*44/12</f>
        <v>0</v>
      </c>
      <c r="GM12" s="23">
        <f>EXP(-LN(2)/25)*GM11+(1-EXP(-LN(2)/25))/(LN(2)/25)*Calculateur!GH12*Calculateur!GJ12*VLOOKUP('Données projet'!$B$17,Paramètres!$A$1:$I$89,3,0)*0.475*44/12</f>
        <v>0</v>
      </c>
      <c r="GN12" s="23">
        <f>EXP(-LN(2)/2)*GN11+(1-EXP(-LN(2)/2))/(LN(2)/2)*GH12*GK12*VLOOKUP('Données projet'!$B$17,Paramètres!$A$1:$I$89,3,0)*0.475*44/12</f>
        <v>0</v>
      </c>
      <c r="GO12" s="23">
        <f t="shared" si="27"/>
        <v>0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2.6666666666666665</v>
      </c>
      <c r="GU12" s="13">
        <f>IF('Données projet'!$A$270&gt;35,GU11+GT12-HC11,IF(A12&lt;'Données projet'!$A$270,$GR$205^A12,IF(A12='Données projet'!$A$270,'Données projet'!$B$270,GU11+GT12-HC11)))</f>
        <v>9.1461010385465205</v>
      </c>
      <c r="GV12" s="18">
        <f>GU12*VLOOKUP('Données projet'!$B$18,Paramètres!$A$1:$I$89,3,0)*VLOOKUP('Données projet'!$B$18,Paramètres!$A$1:$I$89,5,0)</f>
        <v>6.1352045766570056</v>
      </c>
      <c r="GW12" s="14">
        <f t="shared" si="51"/>
        <v>2.2891687695607548</v>
      </c>
      <c r="GX12" s="22">
        <f t="shared" si="28"/>
        <v>14.672450244662597</v>
      </c>
      <c r="GY12" s="62">
        <f t="shared" si="29"/>
        <v>204.03040899721867</v>
      </c>
      <c r="GZ12" s="62">
        <f ca="1">AVERAGE(OFFSET($GY$3,0,0,'Données projet'!$E$18+1,1))-AVERAGE(OFFSET($H$3,0,0,'Données projet'!$E$18+1,1))</f>
        <v>273.21861937609918</v>
      </c>
      <c r="HA12" s="62">
        <f t="shared" si="52"/>
        <v>268.83004886965318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>
        <f>EXP(-LN(2)/35)*HG11+(1-EXP(-LN(2)/35))/(LN(2)/35)*HC12*HD12*VLOOKUP('Données projet'!$B$18,Paramètres!$A$1:$I$89,3,0)*0.475*44/12</f>
        <v>0</v>
      </c>
      <c r="HH12" s="23">
        <f>EXP(-LN(2)/25)*HH11+(1-EXP(-LN(2)/25))/(LN(2)/25)*Calculateur!HC12*Calculateur!HE12*VLOOKUP('Données projet'!$B$18,Paramètres!$A$1:$I$89,3,0)*0.475*44/12</f>
        <v>0</v>
      </c>
      <c r="HI12" s="23">
        <f>EXP(-LN(2)/2)*HI11+(1-EXP(-LN(2)/2))/(LN(2)/2)*HC12*HF12*VLOOKUP('Données projet'!$B$18,Paramètres!$A$1:$I$89,3,0)*0.475*44/12</f>
        <v>0</v>
      </c>
      <c r="HJ12" s="24">
        <f t="shared" si="30"/>
        <v>0</v>
      </c>
    </row>
    <row r="13" spans="1:218" s="5" customFormat="1" x14ac:dyDescent="0.4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2.4423076923076925</v>
      </c>
      <c r="N13" s="14">
        <f>IF('Données projet'!$A$36&gt;35,N12+M13-V12,IF(A13&lt;'Données projet'!$A$36,$K$205^A13,IF(A13='Données projet'!$A$36,'Données projet'!$B$36,N12+M13-V12)))</f>
        <v>24.42307692307693</v>
      </c>
      <c r="O13" s="14">
        <f>N13*VLOOKUP('Données projet'!$B$9,Paramètres!$A$1:$I$89,3,0)*VLOOKUP('Données projet'!$B$9,Paramètres!$A$1:$I$89,5,0)</f>
        <v>22.098000000000006</v>
      </c>
      <c r="P13" s="14">
        <f t="shared" si="33"/>
        <v>7.1026816326084523</v>
      </c>
      <c r="Q13" s="22">
        <f t="shared" si="2"/>
        <v>50.857853843459729</v>
      </c>
      <c r="R13" s="62">
        <f t="shared" si="0"/>
        <v>242.79651582850462</v>
      </c>
      <c r="S13" s="62">
        <f ca="1">AVERAGE(OFFSET($R$3,0,0,'Données projet'!$E$9+1,1))-AVERAGE(OFFSET($H$3,0,0,'Données projet'!$E$9+1,1))</f>
        <v>432.80275651765203</v>
      </c>
      <c r="T13" s="62">
        <f t="shared" si="34"/>
        <v>203.89279893419919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14.88</v>
      </c>
      <c r="AI13" s="14">
        <f>IF('Données projet'!$A$62&gt;35,AI12+AH13-AQ12,IF(A13&lt;'Données projet'!$A$62,$AF$205^A13,IF(A13='Données projet'!$A$62,'Données projet'!$B$62,AI12+AH13-AQ12)))</f>
        <v>10.671296231870198</v>
      </c>
      <c r="AJ13" s="14">
        <f>AI13*VLOOKUP('Données projet'!$B$10,Paramètres!$A$1:$I$89,3,0)*VLOOKUP('Données projet'!$B$10,Paramètres!$A$1:$I$89,5,0)</f>
        <v>4.7167129344866279</v>
      </c>
      <c r="AK13" s="14">
        <f t="shared" si="35"/>
        <v>1.8145957055657289</v>
      </c>
      <c r="AL13" s="22">
        <f t="shared" si="4"/>
        <v>11.375362548091188</v>
      </c>
      <c r="AM13" s="62">
        <f t="shared" si="5"/>
        <v>203.31402453313606</v>
      </c>
      <c r="AN13" s="62">
        <f ca="1">AVERAGE(OFFSET($AM$3,0,0,'Données projet'!$E$10+1,1))-AVERAGE(OFFSET($H$3,0,0,'Données projet'!$E$10+1,1))</f>
        <v>413.08876898406481</v>
      </c>
      <c r="AO13" s="62">
        <f t="shared" si="36"/>
        <v>520.31320932826566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14.88</v>
      </c>
      <c r="BD13" s="13">
        <f>IF('Données projet'!$A$88&gt;35,BD12+BC13-BL12,IF(A13&lt;'Données projet'!$A$88,$BA$205^A13,IF(A13='Données projet'!$A$88,'Données projet'!$B$88,BD12+BC13-BL12)))</f>
        <v>10.671296231870198</v>
      </c>
      <c r="BE13" s="14">
        <f>BD13*VLOOKUP('Données projet'!$B$11,Paramètres!$A$1:$I$89,3,0)*VLOOKUP('Données projet'!$B$11,Paramètres!$A$1:$I$89,5,0)</f>
        <v>5.9652545936154411</v>
      </c>
      <c r="BF13" s="14">
        <f t="shared" si="37"/>
        <v>2.2330468509919346</v>
      </c>
      <c r="BG13" s="22">
        <f t="shared" si="7"/>
        <v>14.278708349357844</v>
      </c>
      <c r="BH13" s="62">
        <f t="shared" si="8"/>
        <v>206.21737033440274</v>
      </c>
      <c r="BI13" s="62">
        <f ca="1">AVERAGE(OFFSET($BH$3,0,0,'Données projet'!$E$11+1,1))-AVERAGE(OFFSET($H$3,0,0,'Données projet'!$E$11+1,1))</f>
        <v>507.66185230065889</v>
      </c>
      <c r="BJ13" s="62">
        <f t="shared" si="38"/>
        <v>640.14375617778342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4.7916666665000003</v>
      </c>
      <c r="BY13" s="13">
        <f>IF('Données projet'!$A$114&gt;35,BY12+BX13-CG12,IF(A13&lt;'Données projet'!$A$114,$BV$205^A13,IF(A13='Données projet'!$A$114,'Données projet'!$B$114,BY12+BX13-CG12)))</f>
        <v>9.7894501035553638</v>
      </c>
      <c r="BZ13" s="14">
        <f>BY13*VLOOKUP('Données projet'!$B$12,Paramètres!$A$1:$I$89,3,0)*VLOOKUP('Données projet'!$B$12,Paramètres!$A$1:$I$89,5,0)</f>
        <v>4.5814626484639103</v>
      </c>
      <c r="CA13" s="14">
        <f t="shared" si="39"/>
        <v>1.768541812440805</v>
      </c>
      <c r="CB13" s="22">
        <f t="shared" si="10"/>
        <v>11.059591102742379</v>
      </c>
      <c r="CC13" s="62">
        <f t="shared" si="11"/>
        <v>202.99825308778728</v>
      </c>
      <c r="CD13" s="62">
        <f ca="1">AVERAGE(OFFSET($CC$3,0,0,'Données projet'!$E$12+1,1))-AVERAGE(OFFSET($H$3,0,0,'Données projet'!$E$12+1,1))</f>
        <v>289.21044803824958</v>
      </c>
      <c r="CE13" s="62">
        <f t="shared" si="40"/>
        <v>196.11836398299445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>
        <f>EXP(-LN(2)/35)*CK12+(1-EXP(-LN(2)/35))/(LN(2)/35)*CG13*CH13*VLOOKUP('Données projet'!$B$12,Paramètres!$A$1:$I$89,3,0)*0.475*44/12</f>
        <v>0</v>
      </c>
      <c r="CL13" s="23">
        <f>EXP(-LN(2)/25)*CL12+(1-EXP(-LN(2)/25))/(LN(2)/25)*Calculateur!CG13*Calculateur!CI13*VLOOKUP('Données projet'!$B$12,Paramètres!$A$1:$I$89,3,0)*0.475*44/12</f>
        <v>0</v>
      </c>
      <c r="CM13" s="23">
        <f>EXP(-LN(2)/2)*CM12+(1-EXP(-LN(2)/2))/(LN(2)/2)*CG13*CJ13*VLOOKUP('Données projet'!$B$12,Paramètres!$A$1:$I$89,3,0)*0.475*44/12</f>
        <v>0</v>
      </c>
      <c r="CN13" s="24">
        <f t="shared" si="12"/>
        <v>0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>
        <f>VLOOKUP(A13,'Données projet'!$A$139:$I$159,2,0)</f>
        <v>99</v>
      </c>
      <c r="CR13" s="13">
        <f>VLOOKUP(A13,'Données projet'!$A$139:$I$159,9,0)</f>
        <v>14.2</v>
      </c>
      <c r="CS13" s="13">
        <f t="array" ref="CS13">INDEX(CR:CR,MIN(IF(ISNUMBER(CR13:CR209),ROW(CR13:CR209),"")))</f>
        <v>14.2</v>
      </c>
      <c r="CT13" s="13">
        <f>IF('Données projet'!$A$140&gt;35,CT12+CS13-DB12,IF(A13&lt;'Données projet'!$A$140,$CQ$205^A13,IF(A13='Données projet'!$A$140,'Données projet'!$B$140,CT12+CS13-DB12)))</f>
        <v>99.000000000000014</v>
      </c>
      <c r="CU13" s="18">
        <f>CT13*VLOOKUP('Données projet'!$B$13,Paramètres!$A$1:$I$89,3,0)*VLOOKUP('Données projet'!$B$13,Paramètres!$A$1:$I$89,5,0)</f>
        <v>89.575200000000009</v>
      </c>
      <c r="CV13" s="14">
        <f t="shared" si="41"/>
        <v>24.462745269668691</v>
      </c>
      <c r="CW13" s="22">
        <f t="shared" si="13"/>
        <v>198.61608801133966</v>
      </c>
      <c r="CX13" s="62">
        <f t="shared" si="14"/>
        <v>390.55474999638454</v>
      </c>
      <c r="CY13" s="62">
        <f ca="1">AVERAGE(OFFSET($CX$3,0,0,'Données projet'!$E$13+1,1))-AVERAGE(OFFSET($H$3,0,0,'Données projet'!$E$13+1,1))</f>
        <v>376.68007030857598</v>
      </c>
      <c r="CZ13" s="62">
        <f t="shared" si="42"/>
        <v>532.90758914457626</v>
      </c>
      <c r="DA13" s="16">
        <f>IF(ISNA(VLOOKUP(A13,'Données projet'!$A$139:$I$159,3,0)),0,VLOOKUP(A13,'Données projet'!$A$139:$I$159,3,0))</f>
        <v>2</v>
      </c>
      <c r="DB13" s="16">
        <f>IF(ISNA(VLOOKUP(A13,'Données projet'!$A$139:$I$159,4,0)),0,VLOOKUP(A13,'Données projet'!$A$139:$I$159,4,0))</f>
        <v>28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0.15</v>
      </c>
      <c r="DE13" s="17">
        <f>IF(ISNA(VLOOKUP(A13,'Données projet'!$A$139:$I$159,7,0)),0%,VLOOKUP(A13,'Données projet'!$A$139:$I$159,7,0))</f>
        <v>0</v>
      </c>
      <c r="DF13" s="23">
        <f>EXP(-LN(2)/35)*DF12+(1-EXP(-LN(2)/35))/(LN(2)/35)*DB13*DC13*VLOOKUP('Données projet'!$B$13,Paramètres!$A$1:$I$89,3,0)*0.475*44/12</f>
        <v>0</v>
      </c>
      <c r="DG13" s="23">
        <f>EXP(-LN(2)/25)*DG12+(1-EXP(-LN(2)/25))/(LN(2)/25)*Calculateur!DB13*Calculateur!DD13*VLOOKUP('Données projet'!$B$13,Paramètres!$A$1:$I$89,3,0)*0.475*44/12</f>
        <v>4.1844235202750957</v>
      </c>
      <c r="DH13" s="23">
        <f>EXP(-LN(2)/2)*DH12+(1-EXP(-LN(2)/2))/(LN(2)/2)*DB13*DE13*VLOOKUP('Données projet'!$B$13,Paramètres!$A$1:$I$89,3,0)*0.475*44/12</f>
        <v>0</v>
      </c>
      <c r="DI13" s="24">
        <f t="shared" si="15"/>
        <v>4.1844235202750957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2.6666666666666665</v>
      </c>
      <c r="DO13" s="13">
        <f>IF('Données projet'!$A$166&gt;35,DO12+DN13-DW12,IF(A13&lt;'Données projet'!$A$166,$DL$205^A13,IF(A13='Données projet'!$A$166,'Données projet'!$B$166,DO12+DN13-DW12)))</f>
        <v>11.696070952851455</v>
      </c>
      <c r="DP13" s="18">
        <f>DO13*VLOOKUP('Données projet'!$B$14,Paramètres!$A$1:$I$89,3,0)*VLOOKUP('Données projet'!$B$14,Paramètres!$A$1:$I$89,5,0)</f>
        <v>11.129981118733445</v>
      </c>
      <c r="DQ13" s="14">
        <f t="shared" si="43"/>
        <v>3.8746684020576065</v>
      </c>
      <c r="DR13" s="22">
        <f t="shared" si="16"/>
        <v>26.133097915377746</v>
      </c>
      <c r="DS13" s="62">
        <f t="shared" si="17"/>
        <v>218.07175990042265</v>
      </c>
      <c r="DT13" s="62">
        <f ca="1">AVERAGE(OFFSET($DS$3,0,0,'Données projet'!$E$14+1,1))-AVERAGE(OFFSET($H$3,0,0,'Données projet'!$E$14+1,1))</f>
        <v>364.63161066507769</v>
      </c>
      <c r="DU13" s="62">
        <f t="shared" si="44"/>
        <v>355.44729904860708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>
        <f>EXP(-LN(2)/35)*EA12+(1-EXP(-LN(2)/35))/(LN(2)/35)*DW13*DX13*VLOOKUP('Données projet'!$B$14,Paramètres!$A$1:$I$89,3,0)*0.475*44/12</f>
        <v>0</v>
      </c>
      <c r="EB13" s="23">
        <f>EXP(-LN(2)/25)*EB12+(1-EXP(-LN(2)/25))/(LN(2)/25)*Calculateur!DW13*Calculateur!DY13*VLOOKUP('Données projet'!$B$14,Paramètres!$A$1:$I$89,3,0)*0.475*44/12</f>
        <v>0</v>
      </c>
      <c r="EC13" s="23">
        <f>EXP(-LN(2)/2)*EC12+(1-EXP(-LN(2)/2))/(LN(2)/2)*DW13*DZ13*VLOOKUP('Données projet'!$B$14,Paramètres!$A$1:$I$89,3,0)*0.475*44/12</f>
        <v>0</v>
      </c>
      <c r="ED13" s="24">
        <f t="shared" si="18"/>
        <v>0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2.6666666666666665</v>
      </c>
      <c r="EJ13" s="13">
        <f>IF('Données projet'!$A$192&gt;35,EJ12+EI13-ER12,IF(A13&lt;'Données projet'!$A$192,$EG$205^A13,IF(A13='Données projet'!$A$192,'Données projet'!$B$192,EJ12+EI13-ER12)))</f>
        <v>11.696070952851455</v>
      </c>
      <c r="EK13" s="18">
        <f>EJ13*VLOOKUP('Données projet'!$B$15,Paramètres!$A$1:$I$89,3,0)*VLOOKUP('Données projet'!$B$15,Paramètres!$A$1:$I$89,5,0)</f>
        <v>8.5755592226306856</v>
      </c>
      <c r="EL13" s="14">
        <f t="shared" si="45"/>
        <v>3.0773916151041227</v>
      </c>
      <c r="EM13" s="22">
        <f t="shared" si="19"/>
        <v>20.295556042388124</v>
      </c>
      <c r="EN13" s="62">
        <f t="shared" si="20"/>
        <v>212.234218027433</v>
      </c>
      <c r="EO13" s="62">
        <f ca="1">AVERAGE(OFFSET($EN$3,0,0,'Données projet'!$E$15+1,1))-AVERAGE(OFFSET($H$3,0,0,'Données projet'!$E$15+1,1))</f>
        <v>293.59366973965774</v>
      </c>
      <c r="EP13" s="62">
        <f t="shared" si="46"/>
        <v>288.13804536120426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>
        <f>EXP(-LN(2)/35)*EV12+(1-EXP(-LN(2)/35))/(LN(2)/35)*ER13*ES13*VLOOKUP('Données projet'!$B$15,Paramètres!$A$1:$I$89,3,0)*0.475*44/12</f>
        <v>0</v>
      </c>
      <c r="EW13" s="23">
        <f>EXP(-LN(2)/25)*EW12+(1-EXP(-LN(2)/25))/(LN(2)/25)*Calculateur!ER13*Calculateur!ET13*VLOOKUP('Données projet'!$B$15,Paramètres!$A$1:$I$89,3,0)*0.475*44/12</f>
        <v>0</v>
      </c>
      <c r="EX13" s="23">
        <f>EXP(-LN(2)/2)*EX12+(1-EXP(-LN(2)/2))/(LN(2)/2)*ER13*EU13*VLOOKUP('Données projet'!$B$15,Paramètres!$A$1:$I$89,3,0)*0.475*44/12</f>
        <v>0</v>
      </c>
      <c r="EY13" s="24">
        <f t="shared" si="21"/>
        <v>0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2.6666666666666665</v>
      </c>
      <c r="FE13" s="13">
        <f>IF('Données projet'!$A$218&gt;35,FE12+FD13-FM12,IF(A13&lt;'Données projet'!$A$218,$FB$205^A13,IF(A13='Données projet'!$A$218,'Données projet'!$B$218,FE12+FD13-FM12)))</f>
        <v>11.696070952851455</v>
      </c>
      <c r="FF13" s="18">
        <f>FE13*VLOOKUP('Données projet'!$B$16,Paramètres!$A$1:$I$89,3,0)*VLOOKUP('Données projet'!$B$16,Paramètres!$A$1:$I$89,5,0)</f>
        <v>11.312439825597927</v>
      </c>
      <c r="FG13" s="14">
        <f t="shared" si="47"/>
        <v>3.930740701252621</v>
      </c>
      <c r="FH13" s="22">
        <f t="shared" si="22"/>
        <v>26.548539417598036</v>
      </c>
      <c r="FI13" s="62">
        <f t="shared" si="23"/>
        <v>218.48720140264294</v>
      </c>
      <c r="FJ13" s="62">
        <f ca="1">AVERAGE(OFFSET($FI$3,0,0,'Données projet'!$E$16+1,1))-AVERAGE(OFFSET($H$3,0,0,'Données projet'!$E$16+1,1))</f>
        <v>369.69145521630799</v>
      </c>
      <c r="FK13" s="62">
        <f t="shared" si="48"/>
        <v>360.24112103688719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>
        <f>EXP(-LN(2)/35)*FQ12+(1-EXP(-LN(2)/35))/(LN(2)/35)*FM13*FN13*VLOOKUP('Données projet'!$B$16,Paramètres!$A$1:$I$89,3,0)*0.475*44/12</f>
        <v>0</v>
      </c>
      <c r="FR13" s="23">
        <f>EXP(-LN(2)/25)*FR12+(1-EXP(-LN(2)/25))/(LN(2)/25)*Calculateur!FM13*Calculateur!FO13*VLOOKUP('Données projet'!$B$16,Paramètres!$A$1:$I$89,3,0)*0.475*44/12</f>
        <v>0</v>
      </c>
      <c r="FS13" s="23">
        <f>EXP(-LN(2)/2)*FS12+(1-EXP(-LN(2)/2))/(LN(2)/2)*FM13*FP13*VLOOKUP('Données projet'!$B$16,Paramètres!$A$1:$I$89,3,0)*0.475*44/12</f>
        <v>0</v>
      </c>
      <c r="FT13" s="24">
        <f t="shared" si="24"/>
        <v>0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2.6666666666666665</v>
      </c>
      <c r="FZ13" s="13">
        <f>IF('Données projet'!$A$244&gt;35,FZ12+FY13-GH12,IF(A13&lt;'Données projet'!$A$244,$FW$205^A13,IF(A13='Données projet'!$A$244,'Données projet'!$B$244,FZ12+FY13-GH12)))</f>
        <v>11.696070952851455</v>
      </c>
      <c r="GA13" s="18">
        <f>FZ13*VLOOKUP('Données projet'!$B$17,Paramètres!$A$1:$I$89,3,0)*VLOOKUP('Données projet'!$B$17,Paramètres!$A$1:$I$89,5,0)</f>
        <v>12.589650773649307</v>
      </c>
      <c r="GB13" s="14">
        <f t="shared" si="49"/>
        <v>4.3204019700922274</v>
      </c>
      <c r="GC13" s="22">
        <f t="shared" si="25"/>
        <v>29.451675195349836</v>
      </c>
      <c r="GD13" s="62">
        <f t="shared" si="26"/>
        <v>221.39033718039474</v>
      </c>
      <c r="GE13" s="62">
        <f ca="1">AVERAGE(OFFSET($GD$3,0,0,'Données projet'!$E$17+1,1))-AVERAGE(OFFSET($H$3,0,0,'Données projet'!$E$17+1,1))</f>
        <v>405.06394904053946</v>
      </c>
      <c r="GF13" s="62">
        <f t="shared" si="50"/>
        <v>393.75247087518198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>
        <f>EXP(-LN(2)/35)*GL12+(1-EXP(-LN(2)/35))/(LN(2)/35)*GH13*GI13*VLOOKUP('Données projet'!$B$17,Paramètres!$A$1:$I$89,3,0)*0.475*44/12</f>
        <v>0</v>
      </c>
      <c r="GM13" s="23">
        <f>EXP(-LN(2)/25)*GM12+(1-EXP(-LN(2)/25))/(LN(2)/25)*Calculateur!GH13*Calculateur!GJ13*VLOOKUP('Données projet'!$B$17,Paramètres!$A$1:$I$89,3,0)*0.475*44/12</f>
        <v>0</v>
      </c>
      <c r="GN13" s="23">
        <f>EXP(-LN(2)/2)*GN12+(1-EXP(-LN(2)/2))/(LN(2)/2)*GH13*GK13*VLOOKUP('Données projet'!$B$17,Paramètres!$A$1:$I$89,3,0)*0.475*44/12</f>
        <v>0</v>
      </c>
      <c r="GO13" s="23">
        <f t="shared" si="27"/>
        <v>0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2.6666666666666665</v>
      </c>
      <c r="GU13" s="13">
        <f>IF('Données projet'!$A$270&gt;35,GU12+GT13-HC12,IF(A13&lt;'Données projet'!$A$270,$GR$205^A13,IF(A13='Données projet'!$A$270,'Données projet'!$B$270,GU12+GT13-HC12)))</f>
        <v>11.696070952851455</v>
      </c>
      <c r="GV13" s="18">
        <f>GU13*VLOOKUP('Données projet'!$B$18,Paramètres!$A$1:$I$89,3,0)*VLOOKUP('Données projet'!$B$18,Paramètres!$A$1:$I$89,5,0)</f>
        <v>7.8457243951727564</v>
      </c>
      <c r="GW13" s="14">
        <f t="shared" si="51"/>
        <v>2.8447874686465271</v>
      </c>
      <c r="GX13" s="22">
        <f t="shared" si="28"/>
        <v>18.619308162818584</v>
      </c>
      <c r="GY13" s="62">
        <f t="shared" si="29"/>
        <v>210.55797014786347</v>
      </c>
      <c r="GZ13" s="62">
        <f ca="1">AVERAGE(OFFSET($GY$3,0,0,'Données projet'!$E$18+1,1))-AVERAGE(OFFSET($H$3,0,0,'Données projet'!$E$18+1,1))</f>
        <v>273.21861937609918</v>
      </c>
      <c r="HA13" s="62">
        <f t="shared" si="52"/>
        <v>268.83004886965318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>
        <f>EXP(-LN(2)/35)*HG12+(1-EXP(-LN(2)/35))/(LN(2)/35)*HC13*HD13*VLOOKUP('Données projet'!$B$18,Paramètres!$A$1:$I$89,3,0)*0.475*44/12</f>
        <v>0</v>
      </c>
      <c r="HH13" s="23">
        <f>EXP(-LN(2)/25)*HH12+(1-EXP(-LN(2)/25))/(LN(2)/25)*Calculateur!HC13*Calculateur!HE13*VLOOKUP('Données projet'!$B$18,Paramètres!$A$1:$I$89,3,0)*0.475*44/12</f>
        <v>0</v>
      </c>
      <c r="HI13" s="23">
        <f>EXP(-LN(2)/2)*HI12+(1-EXP(-LN(2)/2))/(LN(2)/2)*HC13*HF13*VLOOKUP('Données projet'!$B$18,Paramètres!$A$1:$I$89,3,0)*0.475*44/12</f>
        <v>0</v>
      </c>
      <c r="HJ13" s="24">
        <f t="shared" si="30"/>
        <v>0</v>
      </c>
    </row>
    <row r="14" spans="1:218" s="5" customFormat="1" x14ac:dyDescent="0.4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2.4423076923076925</v>
      </c>
      <c r="N14" s="14">
        <f>IF('Données projet'!$A$36&gt;35,N13+M14-V13,IF(A14&lt;'Données projet'!$A$36,$K$205^A14,IF(A14='Données projet'!$A$36,'Données projet'!$B$36,N13+M14-V13)))</f>
        <v>26.865384615384624</v>
      </c>
      <c r="O14" s="14">
        <f>N14*VLOOKUP('Données projet'!$B$9,Paramètres!$A$1:$I$89,3,0)*VLOOKUP('Données projet'!$B$9,Paramètres!$A$1:$I$89,5,0)</f>
        <v>24.307800000000007</v>
      </c>
      <c r="P14" s="14">
        <f t="shared" si="33"/>
        <v>7.7267511435768368</v>
      </c>
      <c r="Q14" s="22">
        <f t="shared" si="2"/>
        <v>55.793509908396324</v>
      </c>
      <c r="R14" s="62">
        <f t="shared" si="0"/>
        <v>250.28930851751045</v>
      </c>
      <c r="S14" s="62">
        <f ca="1">AVERAGE(OFFSET($R$3,0,0,'Données projet'!$E$9+1,1))-AVERAGE(OFFSET($H$3,0,0,'Données projet'!$E$9+1,1))</f>
        <v>432.80275651765203</v>
      </c>
      <c r="T14" s="62">
        <f t="shared" si="34"/>
        <v>203.89279893419919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14.88</v>
      </c>
      <c r="AI14" s="14">
        <f>IF('Données projet'!$A$62&gt;35,AI13+AH14-AQ13,IF(A14&lt;'Données projet'!$A$62,$AF$205^A14,IF(A14='Données projet'!$A$62,'Données projet'!$B$62,AI13+AH14-AQ13)))</f>
        <v>13.521936544265463</v>
      </c>
      <c r="AJ14" s="14">
        <f>AI14*VLOOKUP('Données projet'!$B$10,Paramètres!$A$1:$I$89,3,0)*VLOOKUP('Données projet'!$B$10,Paramètres!$A$1:$I$89,5,0)</f>
        <v>5.9766959525653354</v>
      </c>
      <c r="AK14" s="14">
        <f t="shared" si="35"/>
        <v>2.2368308735949927</v>
      </c>
      <c r="AL14" s="22">
        <f t="shared" si="4"/>
        <v>14.305225888895903</v>
      </c>
      <c r="AM14" s="62">
        <f t="shared" si="5"/>
        <v>208.80102449801004</v>
      </c>
      <c r="AN14" s="62">
        <f ca="1">AVERAGE(OFFSET($AM$3,0,0,'Données projet'!$E$10+1,1))-AVERAGE(OFFSET($H$3,0,0,'Données projet'!$E$10+1,1))</f>
        <v>413.08876898406481</v>
      </c>
      <c r="AO14" s="62">
        <f t="shared" si="36"/>
        <v>520.31320932826566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14.88</v>
      </c>
      <c r="BD14" s="13">
        <f>IF('Données projet'!$A$88&gt;35,BD13+BC14-BL13,IF(A14&lt;'Données projet'!$A$88,$BA$205^A14,IF(A14='Données projet'!$A$88,'Données projet'!$B$88,BD13+BC14-BL13)))</f>
        <v>13.521936544265463</v>
      </c>
      <c r="BE14" s="14">
        <f>BD14*VLOOKUP('Données projet'!$B$11,Paramètres!$A$1:$I$89,3,0)*VLOOKUP('Données projet'!$B$11,Paramètres!$A$1:$I$89,5,0)</f>
        <v>7.5587625282443938</v>
      </c>
      <c r="BF14" s="14">
        <f t="shared" si="37"/>
        <v>2.7526506996364697</v>
      </c>
      <c r="BG14" s="22">
        <f t="shared" si="7"/>
        <v>17.959044705225836</v>
      </c>
      <c r="BH14" s="62">
        <f t="shared" si="8"/>
        <v>212.45484331433997</v>
      </c>
      <c r="BI14" s="62">
        <f ca="1">AVERAGE(OFFSET($BH$3,0,0,'Données projet'!$E$11+1,1))-AVERAGE(OFFSET($H$3,0,0,'Données projet'!$E$11+1,1))</f>
        <v>507.66185230065889</v>
      </c>
      <c r="BJ14" s="62">
        <f t="shared" si="38"/>
        <v>640.14375617778342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4.7916666665000003</v>
      </c>
      <c r="BY14" s="13">
        <f>IF('Données projet'!$A$114&gt;35,BY13+BX14-CG13,IF(A14&lt;'Données projet'!$A$114,$BV$205^A14,IF(A14='Données projet'!$A$114,'Données projet'!$B$114,BY13+BX14-CG13)))</f>
        <v>12.297989753466911</v>
      </c>
      <c r="BZ14" s="14">
        <f>BY14*VLOOKUP('Données projet'!$B$12,Paramètres!$A$1:$I$89,3,0)*VLOOKUP('Données projet'!$B$12,Paramètres!$A$1:$I$89,5,0)</f>
        <v>5.7554592046225146</v>
      </c>
      <c r="CA14" s="14">
        <f t="shared" si="39"/>
        <v>2.1635091443457855</v>
      </c>
      <c r="CB14" s="22">
        <f t="shared" si="10"/>
        <v>13.792203207786455</v>
      </c>
      <c r="CC14" s="62">
        <f t="shared" si="11"/>
        <v>208.28800181690059</v>
      </c>
      <c r="CD14" s="62">
        <f ca="1">AVERAGE(OFFSET($CC$3,0,0,'Données projet'!$E$12+1,1))-AVERAGE(OFFSET($H$3,0,0,'Données projet'!$E$12+1,1))</f>
        <v>289.21044803824958</v>
      </c>
      <c r="CE14" s="62">
        <f t="shared" si="40"/>
        <v>196.11836398299445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>
        <f>EXP(-LN(2)/35)*CK13+(1-EXP(-LN(2)/35))/(LN(2)/35)*CG14*CH14*VLOOKUP('Données projet'!$B$12,Paramètres!$A$1:$I$89,3,0)*0.475*44/12</f>
        <v>0</v>
      </c>
      <c r="CL14" s="23">
        <f>EXP(-LN(2)/25)*CL13+(1-EXP(-LN(2)/25))/(LN(2)/25)*Calculateur!CG14*Calculateur!CI14*VLOOKUP('Données projet'!$B$12,Paramètres!$A$1:$I$89,3,0)*0.475*44/12</f>
        <v>0</v>
      </c>
      <c r="CM14" s="23">
        <f>EXP(-LN(2)/2)*CM13+(1-EXP(-LN(2)/2))/(LN(2)/2)*CG14*CJ14*VLOOKUP('Données projet'!$B$12,Paramètres!$A$1:$I$89,3,0)*0.475*44/12</f>
        <v>0</v>
      </c>
      <c r="CN14" s="24">
        <f t="shared" si="12"/>
        <v>0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13.8</v>
      </c>
      <c r="CT14" s="13">
        <f>IF('Données projet'!$A$140&gt;35,CT13+CS14-DB13,IF(A14&lt;'Données projet'!$A$140,$CQ$205^A14,IF(A14='Données projet'!$A$140,'Données projet'!$B$140,CT13+CS14-DB13)))</f>
        <v>84.800000000000011</v>
      </c>
      <c r="CU14" s="18">
        <f>CT14*VLOOKUP('Données projet'!$B$13,Paramètres!$A$1:$I$89,3,0)*VLOOKUP('Données projet'!$B$13,Paramètres!$A$1:$I$89,5,0)</f>
        <v>76.727040000000017</v>
      </c>
      <c r="CV14" s="14">
        <f t="shared" si="41"/>
        <v>21.334993267156719</v>
      </c>
      <c r="CW14" s="22">
        <f t="shared" si="13"/>
        <v>170.79137460696464</v>
      </c>
      <c r="CX14" s="62">
        <f t="shared" si="14"/>
        <v>365.28717321607877</v>
      </c>
      <c r="CY14" s="62">
        <f ca="1">AVERAGE(OFFSET($CX$3,0,0,'Données projet'!$E$13+1,1))-AVERAGE(OFFSET($H$3,0,0,'Données projet'!$E$13+1,1))</f>
        <v>376.68007030857598</v>
      </c>
      <c r="CZ14" s="62">
        <f t="shared" si="42"/>
        <v>532.90758914457626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>
        <f>EXP(-LN(2)/35)*DF13+(1-EXP(-LN(2)/35))/(LN(2)/35)*DB14*DC14*VLOOKUP('Données projet'!$B$13,Paramètres!$A$1:$I$89,3,0)*0.475*44/12</f>
        <v>0</v>
      </c>
      <c r="DG14" s="23">
        <f>EXP(-LN(2)/25)*DG13+(1-EXP(-LN(2)/25))/(LN(2)/25)*Calculateur!DB14*Calculateur!DD14*VLOOKUP('Données projet'!$B$13,Paramètres!$A$1:$I$89,3,0)*0.475*44/12</f>
        <v>4.0700002390639041</v>
      </c>
      <c r="DH14" s="23">
        <f>EXP(-LN(2)/2)*DH13+(1-EXP(-LN(2)/2))/(LN(2)/2)*DB14*DE14*VLOOKUP('Données projet'!$B$13,Paramètres!$A$1:$I$89,3,0)*0.475*44/12</f>
        <v>0</v>
      </c>
      <c r="DI14" s="24">
        <f t="shared" si="15"/>
        <v>4.0700002390639041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2.6666666666666665</v>
      </c>
      <c r="DO14" s="13">
        <f>IF('Données projet'!$A$166&gt;35,DO13+DN14-DW13,IF(A14&lt;'Données projet'!$A$166,$DL$205^A14,IF(A14='Données projet'!$A$166,'Données projet'!$B$166,DO13+DN14-DW13)))</f>
        <v>14.956982779612416</v>
      </c>
      <c r="DP14" s="18">
        <f>DO14*VLOOKUP('Données projet'!$B$14,Paramètres!$A$1:$I$89,3,0)*VLOOKUP('Données projet'!$B$14,Paramètres!$A$1:$I$89,5,0)</f>
        <v>14.233064813079176</v>
      </c>
      <c r="DQ14" s="14">
        <f t="shared" si="43"/>
        <v>4.8151137923523049</v>
      </c>
      <c r="DR14" s="22">
        <f t="shared" si="16"/>
        <v>33.175577737793162</v>
      </c>
      <c r="DS14" s="62">
        <f t="shared" si="17"/>
        <v>227.67137634690729</v>
      </c>
      <c r="DT14" s="62">
        <f ca="1">AVERAGE(OFFSET($DS$3,0,0,'Données projet'!$E$14+1,1))-AVERAGE(OFFSET($H$3,0,0,'Données projet'!$E$14+1,1))</f>
        <v>364.63161066507769</v>
      </c>
      <c r="DU14" s="62">
        <f t="shared" si="44"/>
        <v>355.44729904860708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>
        <f>EXP(-LN(2)/35)*EA13+(1-EXP(-LN(2)/35))/(LN(2)/35)*DW14*DX14*VLOOKUP('Données projet'!$B$14,Paramètres!$A$1:$I$89,3,0)*0.475*44/12</f>
        <v>0</v>
      </c>
      <c r="EB14" s="23">
        <f>EXP(-LN(2)/25)*EB13+(1-EXP(-LN(2)/25))/(LN(2)/25)*Calculateur!DW14*Calculateur!DY14*VLOOKUP('Données projet'!$B$14,Paramètres!$A$1:$I$89,3,0)*0.475*44/12</f>
        <v>0</v>
      </c>
      <c r="EC14" s="23">
        <f>EXP(-LN(2)/2)*EC13+(1-EXP(-LN(2)/2))/(LN(2)/2)*DW14*DZ14*VLOOKUP('Données projet'!$B$14,Paramètres!$A$1:$I$89,3,0)*0.475*44/12</f>
        <v>0</v>
      </c>
      <c r="ED14" s="24">
        <f t="shared" si="18"/>
        <v>0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2.6666666666666665</v>
      </c>
      <c r="EJ14" s="13">
        <f>IF('Données projet'!$A$192&gt;35,EJ13+EI14-ER13,IF(A14&lt;'Données projet'!$A$192,$EG$205^A14,IF(A14='Données projet'!$A$192,'Données projet'!$B$192,EJ13+EI14-ER13)))</f>
        <v>14.956982779612416</v>
      </c>
      <c r="EK14" s="18">
        <f>EJ14*VLOOKUP('Données projet'!$B$15,Paramètres!$A$1:$I$89,3,0)*VLOOKUP('Données projet'!$B$15,Paramètres!$A$1:$I$89,5,0)</f>
        <v>10.966459774011822</v>
      </c>
      <c r="EL14" s="14">
        <f t="shared" si="45"/>
        <v>3.8243248899669031</v>
      </c>
      <c r="EM14" s="22">
        <f t="shared" si="19"/>
        <v>25.760616623096279</v>
      </c>
      <c r="EN14" s="62">
        <f t="shared" si="20"/>
        <v>220.2564152322104</v>
      </c>
      <c r="EO14" s="62">
        <f ca="1">AVERAGE(OFFSET($EN$3,0,0,'Données projet'!$E$15+1,1))-AVERAGE(OFFSET($H$3,0,0,'Données projet'!$E$15+1,1))</f>
        <v>293.59366973965774</v>
      </c>
      <c r="EP14" s="62">
        <f t="shared" si="46"/>
        <v>288.13804536120426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>
        <f>EXP(-LN(2)/35)*EV13+(1-EXP(-LN(2)/35))/(LN(2)/35)*ER14*ES14*VLOOKUP('Données projet'!$B$15,Paramètres!$A$1:$I$89,3,0)*0.475*44/12</f>
        <v>0</v>
      </c>
      <c r="EW14" s="23">
        <f>EXP(-LN(2)/25)*EW13+(1-EXP(-LN(2)/25))/(LN(2)/25)*Calculateur!ER14*Calculateur!ET14*VLOOKUP('Données projet'!$B$15,Paramètres!$A$1:$I$89,3,0)*0.475*44/12</f>
        <v>0</v>
      </c>
      <c r="EX14" s="23">
        <f>EXP(-LN(2)/2)*EX13+(1-EXP(-LN(2)/2))/(LN(2)/2)*ER14*EU14*VLOOKUP('Données projet'!$B$15,Paramètres!$A$1:$I$89,3,0)*0.475*44/12</f>
        <v>0</v>
      </c>
      <c r="EY14" s="24">
        <f t="shared" si="21"/>
        <v>0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2.6666666666666665</v>
      </c>
      <c r="FE14" s="13">
        <f>IF('Données projet'!$A$218&gt;35,FE13+FD14-FM13,IF(A14&lt;'Données projet'!$A$218,$FB$205^A14,IF(A14='Données projet'!$A$218,'Données projet'!$B$218,FE13+FD14-FM13)))</f>
        <v>14.956982779612416</v>
      </c>
      <c r="FF14" s="18">
        <f>FE14*VLOOKUP('Données projet'!$B$16,Paramètres!$A$1:$I$89,3,0)*VLOOKUP('Données projet'!$B$16,Paramètres!$A$1:$I$89,5,0)</f>
        <v>14.466393744441127</v>
      </c>
      <c r="FG14" s="14">
        <f t="shared" si="47"/>
        <v>4.8847957556086783</v>
      </c>
      <c r="FH14" s="22">
        <f t="shared" si="22"/>
        <v>33.703321712586742</v>
      </c>
      <c r="FI14" s="62">
        <f t="shared" si="23"/>
        <v>228.19912032170089</v>
      </c>
      <c r="FJ14" s="62">
        <f ca="1">AVERAGE(OFFSET($FI$3,0,0,'Données projet'!$E$16+1,1))-AVERAGE(OFFSET($H$3,0,0,'Données projet'!$E$16+1,1))</f>
        <v>369.69145521630799</v>
      </c>
      <c r="FK14" s="62">
        <f t="shared" si="48"/>
        <v>360.24112103688719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>
        <f>EXP(-LN(2)/35)*FQ13+(1-EXP(-LN(2)/35))/(LN(2)/35)*FM14*FN14*VLOOKUP('Données projet'!$B$16,Paramètres!$A$1:$I$89,3,0)*0.475*44/12</f>
        <v>0</v>
      </c>
      <c r="FR14" s="23">
        <f>EXP(-LN(2)/25)*FR13+(1-EXP(-LN(2)/25))/(LN(2)/25)*Calculateur!FM14*Calculateur!FO14*VLOOKUP('Données projet'!$B$16,Paramètres!$A$1:$I$89,3,0)*0.475*44/12</f>
        <v>0</v>
      </c>
      <c r="FS14" s="23">
        <f>EXP(-LN(2)/2)*FS13+(1-EXP(-LN(2)/2))/(LN(2)/2)*FM14*FP14*VLOOKUP('Données projet'!$B$16,Paramètres!$A$1:$I$89,3,0)*0.475*44/12</f>
        <v>0</v>
      </c>
      <c r="FT14" s="24">
        <f t="shared" si="24"/>
        <v>0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2.6666666666666665</v>
      </c>
      <c r="FZ14" s="13">
        <f>IF('Données projet'!$A$244&gt;35,FZ13+FY14-GH13,IF(A14&lt;'Données projet'!$A$244,$FW$205^A14,IF(A14='Données projet'!$A$244,'Données projet'!$B$244,FZ13+FY14-GH13)))</f>
        <v>14.956982779612416</v>
      </c>
      <c r="GA14" s="18">
        <f>FZ14*VLOOKUP('Données projet'!$B$17,Paramètres!$A$1:$I$89,3,0)*VLOOKUP('Données projet'!$B$17,Paramètres!$A$1:$I$89,5,0)</f>
        <v>16.099696263974803</v>
      </c>
      <c r="GB14" s="14">
        <f t="shared" si="49"/>
        <v>5.369034187196454</v>
      </c>
      <c r="GC14" s="22">
        <f t="shared" si="25"/>
        <v>37.391372202456608</v>
      </c>
      <c r="GD14" s="62">
        <f t="shared" si="26"/>
        <v>231.88717081157074</v>
      </c>
      <c r="GE14" s="62">
        <f ca="1">AVERAGE(OFFSET($GD$3,0,0,'Données projet'!$E$17+1,1))-AVERAGE(OFFSET($H$3,0,0,'Données projet'!$E$17+1,1))</f>
        <v>405.06394904053946</v>
      </c>
      <c r="GF14" s="62">
        <f t="shared" si="50"/>
        <v>393.75247087518198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>
        <f>EXP(-LN(2)/35)*GL13+(1-EXP(-LN(2)/35))/(LN(2)/35)*GH14*GI14*VLOOKUP('Données projet'!$B$17,Paramètres!$A$1:$I$89,3,0)*0.475*44/12</f>
        <v>0</v>
      </c>
      <c r="GM14" s="23">
        <f>EXP(-LN(2)/25)*GM13+(1-EXP(-LN(2)/25))/(LN(2)/25)*Calculateur!GH14*Calculateur!GJ14*VLOOKUP('Données projet'!$B$17,Paramètres!$A$1:$I$89,3,0)*0.475*44/12</f>
        <v>0</v>
      </c>
      <c r="GN14" s="23">
        <f>EXP(-LN(2)/2)*GN13+(1-EXP(-LN(2)/2))/(LN(2)/2)*GH14*GK14*VLOOKUP('Données projet'!$B$17,Paramètres!$A$1:$I$89,3,0)*0.475*44/12</f>
        <v>0</v>
      </c>
      <c r="GO14" s="23">
        <f t="shared" si="27"/>
        <v>0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2.6666666666666665</v>
      </c>
      <c r="GU14" s="13">
        <f>IF('Données projet'!$A$270&gt;35,GU13+GT14-HC13,IF(A14&lt;'Données projet'!$A$270,$GR$205^A14,IF(A14='Données projet'!$A$270,'Données projet'!$B$270,GU13+GT14-HC13)))</f>
        <v>14.956982779612416</v>
      </c>
      <c r="GV14" s="18">
        <f>GU14*VLOOKUP('Données projet'!$B$18,Paramètres!$A$1:$I$89,3,0)*VLOOKUP('Données projet'!$B$18,Paramètres!$A$1:$I$89,5,0)</f>
        <v>10.033144048564008</v>
      </c>
      <c r="GW14" s="14">
        <f t="shared" si="51"/>
        <v>3.5352639129884524</v>
      </c>
      <c r="GX14" s="22">
        <f t="shared" si="28"/>
        <v>23.631643866370535</v>
      </c>
      <c r="GY14" s="62">
        <f t="shared" si="29"/>
        <v>218.12744247548466</v>
      </c>
      <c r="GZ14" s="62">
        <f ca="1">AVERAGE(OFFSET($GY$3,0,0,'Données projet'!$E$18+1,1))-AVERAGE(OFFSET($H$3,0,0,'Données projet'!$E$18+1,1))</f>
        <v>273.21861937609918</v>
      </c>
      <c r="HA14" s="62">
        <f t="shared" si="52"/>
        <v>268.83004886965318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>
        <f>EXP(-LN(2)/35)*HG13+(1-EXP(-LN(2)/35))/(LN(2)/35)*HC14*HD14*VLOOKUP('Données projet'!$B$18,Paramètres!$A$1:$I$89,3,0)*0.475*44/12</f>
        <v>0</v>
      </c>
      <c r="HH14" s="23">
        <f>EXP(-LN(2)/25)*HH13+(1-EXP(-LN(2)/25))/(LN(2)/25)*Calculateur!HC14*Calculateur!HE14*VLOOKUP('Données projet'!$B$18,Paramètres!$A$1:$I$89,3,0)*0.475*44/12</f>
        <v>0</v>
      </c>
      <c r="HI14" s="23">
        <f>EXP(-LN(2)/2)*HI13+(1-EXP(-LN(2)/2))/(LN(2)/2)*HC14*HF14*VLOOKUP('Données projet'!$B$18,Paramètres!$A$1:$I$89,3,0)*0.475*44/12</f>
        <v>0</v>
      </c>
      <c r="HJ14" s="24">
        <f t="shared" si="30"/>
        <v>0</v>
      </c>
    </row>
    <row r="15" spans="1:218" s="5" customFormat="1" x14ac:dyDescent="0.4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2.4423076923076925</v>
      </c>
      <c r="N15" s="14">
        <f>IF('Données projet'!$A$36&gt;35,N14+M15-V14,IF(A15&lt;'Données projet'!$A$36,$K$205^A15,IF(A15='Données projet'!$A$36,'Données projet'!$B$36,N14+M15-V14)))</f>
        <v>29.307692307692317</v>
      </c>
      <c r="O15" s="14">
        <f>N15*VLOOKUP('Données projet'!$B$9,Paramètres!$A$1:$I$89,3,0)*VLOOKUP('Données projet'!$B$9,Paramètres!$A$1:$I$89,5,0)</f>
        <v>26.517600000000009</v>
      </c>
      <c r="P15" s="14">
        <f t="shared" si="33"/>
        <v>8.3442421243381961</v>
      </c>
      <c r="Q15" s="22">
        <f t="shared" si="2"/>
        <v>60.717708366555691</v>
      </c>
      <c r="R15" s="62">
        <f t="shared" si="0"/>
        <v>257.74748581928856</v>
      </c>
      <c r="S15" s="62">
        <f ca="1">AVERAGE(OFFSET($R$3,0,0,'Données projet'!$E$9+1,1))-AVERAGE(OFFSET($H$3,0,0,'Données projet'!$E$9+1,1))</f>
        <v>432.80275651765203</v>
      </c>
      <c r="T15" s="62">
        <f t="shared" si="34"/>
        <v>203.89279893419919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14.88</v>
      </c>
      <c r="AI15" s="14">
        <f>IF('Données projet'!$A$62&gt;35,AI14+AH15-AQ14,IF(A15&lt;'Données projet'!$A$62,$AF$205^A15,IF(A15='Données projet'!$A$62,'Données projet'!$B$62,AI14+AH15-AQ14)))</f>
        <v>17.134072931184825</v>
      </c>
      <c r="AJ15" s="14">
        <f>AI15*VLOOKUP('Données projet'!$B$10,Paramètres!$A$1:$I$89,3,0)*VLOOKUP('Données projet'!$B$10,Paramètres!$A$1:$I$89,5,0)</f>
        <v>7.5732602355836933</v>
      </c>
      <c r="AK15" s="14">
        <f t="shared" si="35"/>
        <v>2.757315219980554</v>
      </c>
      <c r="AL15" s="22">
        <f t="shared" si="4"/>
        <v>17.992418918441064</v>
      </c>
      <c r="AM15" s="62">
        <f t="shared" si="5"/>
        <v>215.02219637117395</v>
      </c>
      <c r="AN15" s="62">
        <f ca="1">AVERAGE(OFFSET($AM$3,0,0,'Données projet'!$E$10+1,1))-AVERAGE(OFFSET($H$3,0,0,'Données projet'!$E$10+1,1))</f>
        <v>413.08876898406481</v>
      </c>
      <c r="AO15" s="62">
        <f t="shared" si="36"/>
        <v>520.31320932826566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14.88</v>
      </c>
      <c r="BD15" s="13">
        <f>IF('Données projet'!$A$88&gt;35,BD14+BC15-BL14,IF(A15&lt;'Données projet'!$A$88,$BA$205^A15,IF(A15='Données projet'!$A$88,'Données projet'!$B$88,BD14+BC15-BL14)))</f>
        <v>17.134072931184825</v>
      </c>
      <c r="BE15" s="14">
        <f>BD15*VLOOKUP('Données projet'!$B$11,Paramètres!$A$1:$I$89,3,0)*VLOOKUP('Données projet'!$B$11,Paramètres!$A$1:$I$89,5,0)</f>
        <v>9.5779467685323176</v>
      </c>
      <c r="BF15" s="14">
        <f t="shared" si="37"/>
        <v>3.3931602782285335</v>
      </c>
      <c r="BG15" s="22">
        <f t="shared" si="7"/>
        <v>22.591344773108478</v>
      </c>
      <c r="BH15" s="62">
        <f t="shared" si="8"/>
        <v>219.62112222584136</v>
      </c>
      <c r="BI15" s="62">
        <f ca="1">AVERAGE(OFFSET($BH$3,0,0,'Données projet'!$E$11+1,1))-AVERAGE(OFFSET($H$3,0,0,'Données projet'!$E$11+1,1))</f>
        <v>507.66185230065889</v>
      </c>
      <c r="BJ15" s="62">
        <f t="shared" si="38"/>
        <v>640.14375617778342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4.7916666665000003</v>
      </c>
      <c r="BY15" s="13">
        <f>IF('Données projet'!$A$114&gt;35,BY14+BX15-CG14,IF(A15&lt;'Données projet'!$A$114,$BV$205^A15,IF(A15='Données projet'!$A$114,'Données projet'!$B$114,BY14+BX15-CG14)))</f>
        <v>15.449340910522556</v>
      </c>
      <c r="BZ15" s="14">
        <f>BY15*VLOOKUP('Données projet'!$B$12,Paramètres!$A$1:$I$89,3,0)*VLOOKUP('Données projet'!$B$12,Paramètres!$A$1:$I$89,5,0)</f>
        <v>7.2302915461245565</v>
      </c>
      <c r="CA15" s="14">
        <f t="shared" si="39"/>
        <v>2.6466842823511154</v>
      </c>
      <c r="CB15" s="22">
        <f t="shared" si="10"/>
        <v>17.202399567928463</v>
      </c>
      <c r="CC15" s="62">
        <f t="shared" si="11"/>
        <v>214.23217702066134</v>
      </c>
      <c r="CD15" s="62">
        <f ca="1">AVERAGE(OFFSET($CC$3,0,0,'Données projet'!$E$12+1,1))-AVERAGE(OFFSET($H$3,0,0,'Données projet'!$E$12+1,1))</f>
        <v>289.21044803824958</v>
      </c>
      <c r="CE15" s="62">
        <f t="shared" si="40"/>
        <v>196.11836398299445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>
        <f>EXP(-LN(2)/35)*CK14+(1-EXP(-LN(2)/35))/(LN(2)/35)*CG15*CH15*VLOOKUP('Données projet'!$B$12,Paramètres!$A$1:$I$89,3,0)*0.475*44/12</f>
        <v>0</v>
      </c>
      <c r="CL15" s="23">
        <f>EXP(-LN(2)/25)*CL14+(1-EXP(-LN(2)/25))/(LN(2)/25)*Calculateur!CG15*Calculateur!CI15*VLOOKUP('Données projet'!$B$12,Paramètres!$A$1:$I$89,3,0)*0.475*44/12</f>
        <v>0</v>
      </c>
      <c r="CM15" s="23">
        <f>EXP(-LN(2)/2)*CM14+(1-EXP(-LN(2)/2))/(LN(2)/2)*CG15*CJ15*VLOOKUP('Données projet'!$B$12,Paramètres!$A$1:$I$89,3,0)*0.475*44/12</f>
        <v>0</v>
      </c>
      <c r="CN15" s="24">
        <f t="shared" si="12"/>
        <v>0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13.8</v>
      </c>
      <c r="CT15" s="13">
        <f>IF('Données projet'!$A$140&gt;35,CT14+CS15-DB14,IF(A15&lt;'Données projet'!$A$140,$CQ$205^A15,IF(A15='Données projet'!$A$140,'Données projet'!$B$140,CT14+CS15-DB14)))</f>
        <v>98.600000000000009</v>
      </c>
      <c r="CU15" s="18">
        <f>CT15*VLOOKUP('Données projet'!$B$13,Paramètres!$A$1:$I$89,3,0)*VLOOKUP('Données projet'!$B$13,Paramètres!$A$1:$I$89,5,0)</f>
        <v>89.213280000000012</v>
      </c>
      <c r="CV15" s="14">
        <f t="shared" si="41"/>
        <v>24.375390230293569</v>
      </c>
      <c r="CW15" s="22">
        <f t="shared" si="13"/>
        <v>197.83360065109466</v>
      </c>
      <c r="CX15" s="62">
        <f t="shared" si="14"/>
        <v>394.86337810382753</v>
      </c>
      <c r="CY15" s="62">
        <f ca="1">AVERAGE(OFFSET($CX$3,0,0,'Données projet'!$E$13+1,1))-AVERAGE(OFFSET($H$3,0,0,'Données projet'!$E$13+1,1))</f>
        <v>376.68007030857598</v>
      </c>
      <c r="CZ15" s="62">
        <f t="shared" si="42"/>
        <v>532.90758914457626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>
        <f>EXP(-LN(2)/35)*DF14+(1-EXP(-LN(2)/35))/(LN(2)/35)*DB15*DC15*VLOOKUP('Données projet'!$B$13,Paramètres!$A$1:$I$89,3,0)*0.475*44/12</f>
        <v>0</v>
      </c>
      <c r="DG15" s="23">
        <f>EXP(-LN(2)/25)*DG14+(1-EXP(-LN(2)/25))/(LN(2)/25)*Calculateur!DB15*Calculateur!DD15*VLOOKUP('Données projet'!$B$13,Paramètres!$A$1:$I$89,3,0)*0.475*44/12</f>
        <v>3.958705868494691</v>
      </c>
      <c r="DH15" s="23">
        <f>EXP(-LN(2)/2)*DH14+(1-EXP(-LN(2)/2))/(LN(2)/2)*DB15*DE15*VLOOKUP('Données projet'!$B$13,Paramètres!$A$1:$I$89,3,0)*0.475*44/12</f>
        <v>0</v>
      </c>
      <c r="DI15" s="24">
        <f t="shared" si="15"/>
        <v>3.958705868494691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2.6666666666666665</v>
      </c>
      <c r="DO15" s="13">
        <f>IF('Données projet'!$A$166&gt;35,DO14+DN15-DW14,IF(A15&lt;'Données projet'!$A$166,$DL$205^A15,IF(A15='Données projet'!$A$166,'Données projet'!$B$166,DO14+DN15-DW14)))</f>
        <v>19.127049995800721</v>
      </c>
      <c r="DP15" s="18">
        <f>DO15*VLOOKUP('Données projet'!$B$14,Paramètres!$A$1:$I$89,3,0)*VLOOKUP('Données projet'!$B$14,Paramètres!$A$1:$I$89,5,0)</f>
        <v>18.201300776003965</v>
      </c>
      <c r="DQ15" s="14">
        <f t="shared" si="43"/>
        <v>5.9838206595921983</v>
      </c>
      <c r="DR15" s="22">
        <f t="shared" si="16"/>
        <v>42.122419833663315</v>
      </c>
      <c r="DS15" s="62">
        <f t="shared" si="17"/>
        <v>239.15219728639619</v>
      </c>
      <c r="DT15" s="62">
        <f ca="1">AVERAGE(OFFSET($DS$3,0,0,'Données projet'!$E$14+1,1))-AVERAGE(OFFSET($H$3,0,0,'Données projet'!$E$14+1,1))</f>
        <v>364.63161066507769</v>
      </c>
      <c r="DU15" s="62">
        <f t="shared" si="44"/>
        <v>355.44729904860708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>
        <f>EXP(-LN(2)/35)*EA14+(1-EXP(-LN(2)/35))/(LN(2)/35)*DW15*DX15*VLOOKUP('Données projet'!$B$14,Paramètres!$A$1:$I$89,3,0)*0.475*44/12</f>
        <v>0</v>
      </c>
      <c r="EB15" s="23">
        <f>EXP(-LN(2)/25)*EB14+(1-EXP(-LN(2)/25))/(LN(2)/25)*Calculateur!DW15*Calculateur!DY15*VLOOKUP('Données projet'!$B$14,Paramètres!$A$1:$I$89,3,0)*0.475*44/12</f>
        <v>0</v>
      </c>
      <c r="EC15" s="23">
        <f>EXP(-LN(2)/2)*EC14+(1-EXP(-LN(2)/2))/(LN(2)/2)*DW15*DZ15*VLOOKUP('Données projet'!$B$14,Paramètres!$A$1:$I$89,3,0)*0.475*44/12</f>
        <v>0</v>
      </c>
      <c r="ED15" s="24">
        <f t="shared" si="18"/>
        <v>0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2.6666666666666665</v>
      </c>
      <c r="EJ15" s="13">
        <f>IF('Données projet'!$A$192&gt;35,EJ14+EI15-ER14,IF(A15&lt;'Données projet'!$A$192,$EG$205^A15,IF(A15='Données projet'!$A$192,'Données projet'!$B$192,EJ14+EI15-ER14)))</f>
        <v>19.127049995800721</v>
      </c>
      <c r="EK15" s="18">
        <f>EJ15*VLOOKUP('Données projet'!$B$15,Paramètres!$A$1:$I$89,3,0)*VLOOKUP('Données projet'!$B$15,Paramètres!$A$1:$I$89,5,0)</f>
        <v>14.023953056921089</v>
      </c>
      <c r="EL15" s="14">
        <f t="shared" si="45"/>
        <v>4.752551086523165</v>
      </c>
      <c r="EM15" s="22">
        <f t="shared" si="19"/>
        <v>32.702411383165405</v>
      </c>
      <c r="EN15" s="62">
        <f t="shared" si="20"/>
        <v>229.73218883589828</v>
      </c>
      <c r="EO15" s="62">
        <f ca="1">AVERAGE(OFFSET($EN$3,0,0,'Données projet'!$E$15+1,1))-AVERAGE(OFFSET($H$3,0,0,'Données projet'!$E$15+1,1))</f>
        <v>293.59366973965774</v>
      </c>
      <c r="EP15" s="62">
        <f t="shared" si="46"/>
        <v>288.13804536120426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>
        <f>EXP(-LN(2)/35)*EV14+(1-EXP(-LN(2)/35))/(LN(2)/35)*ER15*ES15*VLOOKUP('Données projet'!$B$15,Paramètres!$A$1:$I$89,3,0)*0.475*44/12</f>
        <v>0</v>
      </c>
      <c r="EW15" s="23">
        <f>EXP(-LN(2)/25)*EW14+(1-EXP(-LN(2)/25))/(LN(2)/25)*Calculateur!ER15*Calculateur!ET15*VLOOKUP('Données projet'!$B$15,Paramètres!$A$1:$I$89,3,0)*0.475*44/12</f>
        <v>0</v>
      </c>
      <c r="EX15" s="23">
        <f>EXP(-LN(2)/2)*EX14+(1-EXP(-LN(2)/2))/(LN(2)/2)*ER15*EU15*VLOOKUP('Données projet'!$B$15,Paramètres!$A$1:$I$89,3,0)*0.475*44/12</f>
        <v>0</v>
      </c>
      <c r="EY15" s="24">
        <f t="shared" si="21"/>
        <v>0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2.6666666666666665</v>
      </c>
      <c r="FE15" s="13">
        <f>IF('Données projet'!$A$218&gt;35,FE14+FD15-FM14,IF(A15&lt;'Données projet'!$A$218,$FB$205^A15,IF(A15='Données projet'!$A$218,'Données projet'!$B$218,FE14+FD15-FM14)))</f>
        <v>19.127049995800721</v>
      </c>
      <c r="FF15" s="18">
        <f>FE15*VLOOKUP('Données projet'!$B$16,Paramètres!$A$1:$I$89,3,0)*VLOOKUP('Données projet'!$B$16,Paramètres!$A$1:$I$89,5,0)</f>
        <v>18.499682755938458</v>
      </c>
      <c r="FG15" s="14">
        <f t="shared" si="47"/>
        <v>6.0704155749598652</v>
      </c>
      <c r="FH15" s="22">
        <f t="shared" si="22"/>
        <v>42.792921259647919</v>
      </c>
      <c r="FI15" s="62">
        <f t="shared" si="23"/>
        <v>239.8226987123808</v>
      </c>
      <c r="FJ15" s="62">
        <f ca="1">AVERAGE(OFFSET($FI$3,0,0,'Données projet'!$E$16+1,1))-AVERAGE(OFFSET($H$3,0,0,'Données projet'!$E$16+1,1))</f>
        <v>369.69145521630799</v>
      </c>
      <c r="FK15" s="62">
        <f t="shared" si="48"/>
        <v>360.24112103688719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>
        <f>EXP(-LN(2)/35)*FQ14+(1-EXP(-LN(2)/35))/(LN(2)/35)*FM15*FN15*VLOOKUP('Données projet'!$B$16,Paramètres!$A$1:$I$89,3,0)*0.475*44/12</f>
        <v>0</v>
      </c>
      <c r="FR15" s="23">
        <f>EXP(-LN(2)/25)*FR14+(1-EXP(-LN(2)/25))/(LN(2)/25)*Calculateur!FM15*Calculateur!FO15*VLOOKUP('Données projet'!$B$16,Paramètres!$A$1:$I$89,3,0)*0.475*44/12</f>
        <v>0</v>
      </c>
      <c r="FS15" s="23">
        <f>EXP(-LN(2)/2)*FS14+(1-EXP(-LN(2)/2))/(LN(2)/2)*FM15*FP15*VLOOKUP('Données projet'!$B$16,Paramètres!$A$1:$I$89,3,0)*0.475*44/12</f>
        <v>0</v>
      </c>
      <c r="FT15" s="24">
        <f t="shared" si="24"/>
        <v>0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2.6666666666666665</v>
      </c>
      <c r="FZ15" s="13">
        <f>IF('Données projet'!$A$244&gt;35,FZ14+FY15-GH14,IF(A15&lt;'Données projet'!$A$244,$FW$205^A15,IF(A15='Données projet'!$A$244,'Données projet'!$B$244,FZ14+FY15-GH14)))</f>
        <v>19.127049995800721</v>
      </c>
      <c r="GA15" s="18">
        <f>FZ15*VLOOKUP('Données projet'!$B$17,Paramètres!$A$1:$I$89,3,0)*VLOOKUP('Données projet'!$B$17,Paramètres!$A$1:$I$89,5,0)</f>
        <v>20.588356615479896</v>
      </c>
      <c r="GB15" s="14">
        <f t="shared" si="49"/>
        <v>6.6721865934777691</v>
      </c>
      <c r="GC15" s="22">
        <f t="shared" si="25"/>
        <v>47.478779422267927</v>
      </c>
      <c r="GD15" s="62">
        <f t="shared" si="26"/>
        <v>244.50855687500081</v>
      </c>
      <c r="GE15" s="62">
        <f ca="1">AVERAGE(OFFSET($GD$3,0,0,'Données projet'!$E$17+1,1))-AVERAGE(OFFSET($H$3,0,0,'Données projet'!$E$17+1,1))</f>
        <v>405.06394904053946</v>
      </c>
      <c r="GF15" s="62">
        <f t="shared" si="50"/>
        <v>393.75247087518198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>
        <f>EXP(-LN(2)/35)*GL14+(1-EXP(-LN(2)/35))/(LN(2)/35)*GH15*GI15*VLOOKUP('Données projet'!$B$17,Paramètres!$A$1:$I$89,3,0)*0.475*44/12</f>
        <v>0</v>
      </c>
      <c r="GM15" s="23">
        <f>EXP(-LN(2)/25)*GM14+(1-EXP(-LN(2)/25))/(LN(2)/25)*Calculateur!GH15*Calculateur!GJ15*VLOOKUP('Données projet'!$B$17,Paramètres!$A$1:$I$89,3,0)*0.475*44/12</f>
        <v>0</v>
      </c>
      <c r="GN15" s="23">
        <f>EXP(-LN(2)/2)*GN14+(1-EXP(-LN(2)/2))/(LN(2)/2)*GH15*GK15*VLOOKUP('Données projet'!$B$17,Paramètres!$A$1:$I$89,3,0)*0.475*44/12</f>
        <v>0</v>
      </c>
      <c r="GO15" s="23">
        <f t="shared" si="27"/>
        <v>0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2.6666666666666665</v>
      </c>
      <c r="GU15" s="13">
        <f>IF('Données projet'!$A$270&gt;35,GU14+GT15-HC14,IF(A15&lt;'Données projet'!$A$270,$GR$205^A15,IF(A15='Données projet'!$A$270,'Données projet'!$B$270,GU14+GT15-HC14)))</f>
        <v>19.127049995800721</v>
      </c>
      <c r="GV15" s="18">
        <f>GU15*VLOOKUP('Données projet'!$B$18,Paramètres!$A$1:$I$89,3,0)*VLOOKUP('Données projet'!$B$18,Paramètres!$A$1:$I$89,5,0)</f>
        <v>12.830425137183123</v>
      </c>
      <c r="GW15" s="14">
        <f t="shared" si="51"/>
        <v>4.3933302829208145</v>
      </c>
      <c r="GX15" s="22">
        <f t="shared" si="28"/>
        <v>29.998040690014353</v>
      </c>
      <c r="GY15" s="62">
        <f t="shared" si="29"/>
        <v>227.02781814274724</v>
      </c>
      <c r="GZ15" s="62">
        <f ca="1">AVERAGE(OFFSET($GY$3,0,0,'Données projet'!$E$18+1,1))-AVERAGE(OFFSET($H$3,0,0,'Données projet'!$E$18+1,1))</f>
        <v>273.21861937609918</v>
      </c>
      <c r="HA15" s="62">
        <f t="shared" si="52"/>
        <v>268.83004886965318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>
        <f>EXP(-LN(2)/35)*HG14+(1-EXP(-LN(2)/35))/(LN(2)/35)*HC15*HD15*VLOOKUP('Données projet'!$B$18,Paramètres!$A$1:$I$89,3,0)*0.475*44/12</f>
        <v>0</v>
      </c>
      <c r="HH15" s="23">
        <f>EXP(-LN(2)/25)*HH14+(1-EXP(-LN(2)/25))/(LN(2)/25)*Calculateur!HC15*Calculateur!HE15*VLOOKUP('Données projet'!$B$18,Paramètres!$A$1:$I$89,3,0)*0.475*44/12</f>
        <v>0</v>
      </c>
      <c r="HI15" s="23">
        <f>EXP(-LN(2)/2)*HI14+(1-EXP(-LN(2)/2))/(LN(2)/2)*HC15*HF15*VLOOKUP('Données projet'!$B$18,Paramètres!$A$1:$I$89,3,0)*0.475*44/12</f>
        <v>0</v>
      </c>
      <c r="HJ15" s="24">
        <f t="shared" si="30"/>
        <v>0</v>
      </c>
    </row>
    <row r="16" spans="1:218" s="5" customFormat="1" x14ac:dyDescent="0.4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2.4423076923076925</v>
      </c>
      <c r="N16" s="14">
        <f>IF('Données projet'!$A$36&gt;35,N15+M16-V15,IF(A16&lt;'Données projet'!$A$36,$K$205^A16,IF(A16='Données projet'!$A$36,'Données projet'!$B$36,N15+M16-V15)))</f>
        <v>31.750000000000011</v>
      </c>
      <c r="O16" s="14">
        <f>N16*VLOOKUP('Données projet'!$B$9,Paramètres!$A$1:$I$89,3,0)*VLOOKUP('Données projet'!$B$9,Paramètres!$A$1:$I$89,5,0)</f>
        <v>28.72740000000001</v>
      </c>
      <c r="P16" s="14">
        <f t="shared" si="33"/>
        <v>8.9557651124482707</v>
      </c>
      <c r="Q16" s="22">
        <f t="shared" si="2"/>
        <v>65.63151257084742</v>
      </c>
      <c r="R16" s="62">
        <f t="shared" si="0"/>
        <v>265.17251282246622</v>
      </c>
      <c r="S16" s="62">
        <f ca="1">AVERAGE(OFFSET($R$3,0,0,'Données projet'!$E$9+1,1))-AVERAGE(OFFSET($H$3,0,0,'Données projet'!$E$9+1,1))</f>
        <v>432.80275651765203</v>
      </c>
      <c r="T16" s="62">
        <f t="shared" si="34"/>
        <v>203.89279893419919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14.88</v>
      </c>
      <c r="AI16" s="14">
        <f>IF('Données projet'!$A$62&gt;35,AI15+AH16-AQ15,IF(A16&lt;'Données projet'!$A$62,$AF$205^A16,IF(A16='Données projet'!$A$62,'Données projet'!$B$62,AI15+AH16-AQ15)))</f>
        <v>21.71112504855407</v>
      </c>
      <c r="AJ16" s="14">
        <f>AI16*VLOOKUP('Données projet'!$B$10,Paramètres!$A$1:$I$89,3,0)*VLOOKUP('Données projet'!$B$10,Paramètres!$A$1:$I$89,5,0)</f>
        <v>9.5963172714609009</v>
      </c>
      <c r="AK16" s="14">
        <f t="shared" si="35"/>
        <v>3.3989101778255404</v>
      </c>
      <c r="AL16" s="22">
        <f t="shared" si="4"/>
        <v>22.633354474173885</v>
      </c>
      <c r="AM16" s="62">
        <f t="shared" si="5"/>
        <v>222.17435472579268</v>
      </c>
      <c r="AN16" s="62">
        <f ca="1">AVERAGE(OFFSET($AM$3,0,0,'Données projet'!$E$10+1,1))-AVERAGE(OFFSET($H$3,0,0,'Données projet'!$E$10+1,1))</f>
        <v>413.08876898406481</v>
      </c>
      <c r="AO16" s="62">
        <f t="shared" si="36"/>
        <v>520.31320932826566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14.88</v>
      </c>
      <c r="BD16" s="13">
        <f>IF('Données projet'!$A$88&gt;35,BD15+BC16-BL15,IF(A16&lt;'Données projet'!$A$88,$BA$205^A16,IF(A16='Données projet'!$A$88,'Données projet'!$B$88,BD15+BC16-BL15)))</f>
        <v>21.71112504855407</v>
      </c>
      <c r="BE16" s="14">
        <f>BD16*VLOOKUP('Données projet'!$B$11,Paramètres!$A$1:$I$89,3,0)*VLOOKUP('Données projet'!$B$11,Paramètres!$A$1:$I$89,5,0)</f>
        <v>12.136518902141725</v>
      </c>
      <c r="BF16" s="14">
        <f t="shared" si="37"/>
        <v>4.1827089340716137</v>
      </c>
      <c r="BG16" s="22">
        <f t="shared" si="7"/>
        <v>28.422655148071566</v>
      </c>
      <c r="BH16" s="62">
        <f t="shared" si="8"/>
        <v>227.96365539969037</v>
      </c>
      <c r="BI16" s="62">
        <f ca="1">AVERAGE(OFFSET($BH$3,0,0,'Données projet'!$E$11+1,1))-AVERAGE(OFFSET($H$3,0,0,'Données projet'!$E$11+1,1))</f>
        <v>507.66185230065889</v>
      </c>
      <c r="BJ16" s="62">
        <f t="shared" si="38"/>
        <v>640.14375617778342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4.7916666665000003</v>
      </c>
      <c r="BY16" s="13">
        <f>IF('Données projet'!$A$114&gt;35,BY15+BX16-CG15,IF(A16&lt;'Données projet'!$A$114,$BV$205^A16,IF(A16='Données projet'!$A$114,'Données projet'!$B$114,BY15+BX16-CG15)))</f>
        <v>19.408223567779388</v>
      </c>
      <c r="BZ16" s="14">
        <f>BY16*VLOOKUP('Données projet'!$B$12,Paramètres!$A$1:$I$89,3,0)*VLOOKUP('Données projet'!$B$12,Paramètres!$A$1:$I$89,5,0)</f>
        <v>9.0830486297207536</v>
      </c>
      <c r="CA16" s="14">
        <f t="shared" si="39"/>
        <v>3.2377666203775779</v>
      </c>
      <c r="CB16" s="22">
        <f t="shared" si="10"/>
        <v>21.45875322725459</v>
      </c>
      <c r="CC16" s="62">
        <f t="shared" si="11"/>
        <v>220.9997534788734</v>
      </c>
      <c r="CD16" s="62">
        <f ca="1">AVERAGE(OFFSET($CC$3,0,0,'Données projet'!$E$12+1,1))-AVERAGE(OFFSET($H$3,0,0,'Données projet'!$E$12+1,1))</f>
        <v>289.21044803824958</v>
      </c>
      <c r="CE16" s="62">
        <f t="shared" si="40"/>
        <v>196.11836398299445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>
        <f>EXP(-LN(2)/35)*CK15+(1-EXP(-LN(2)/35))/(LN(2)/35)*CG16*CH16*VLOOKUP('Données projet'!$B$12,Paramètres!$A$1:$I$89,3,0)*0.475*44/12</f>
        <v>0</v>
      </c>
      <c r="CL16" s="23">
        <f>EXP(-LN(2)/25)*CL15+(1-EXP(-LN(2)/25))/(LN(2)/25)*Calculateur!CG16*Calculateur!CI16*VLOOKUP('Données projet'!$B$12,Paramètres!$A$1:$I$89,3,0)*0.475*44/12</f>
        <v>0</v>
      </c>
      <c r="CM16" s="23">
        <f>EXP(-LN(2)/2)*CM15+(1-EXP(-LN(2)/2))/(LN(2)/2)*CG16*CJ16*VLOOKUP('Données projet'!$B$12,Paramètres!$A$1:$I$89,3,0)*0.475*44/12</f>
        <v>0</v>
      </c>
      <c r="CN16" s="24">
        <f t="shared" si="12"/>
        <v>0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13.8</v>
      </c>
      <c r="CT16" s="13">
        <f>IF('Données projet'!$A$140&gt;35,CT15+CS16-DB15,IF(A16&lt;'Données projet'!$A$140,$CQ$205^A16,IF(A16='Données projet'!$A$140,'Données projet'!$B$140,CT15+CS16-DB15)))</f>
        <v>112.4</v>
      </c>
      <c r="CU16" s="18">
        <f>CT16*VLOOKUP('Données projet'!$B$13,Paramètres!$A$1:$I$89,3,0)*VLOOKUP('Données projet'!$B$13,Paramètres!$A$1:$I$89,5,0)</f>
        <v>101.69951999999999</v>
      </c>
      <c r="CV16" s="14">
        <f t="shared" si="41"/>
        <v>27.366486780557949</v>
      </c>
      <c r="CW16" s="22">
        <f t="shared" si="13"/>
        <v>224.78996180947172</v>
      </c>
      <c r="CX16" s="62">
        <f t="shared" si="14"/>
        <v>424.33096206109053</v>
      </c>
      <c r="CY16" s="62">
        <f ca="1">AVERAGE(OFFSET($CX$3,0,0,'Données projet'!$E$13+1,1))-AVERAGE(OFFSET($H$3,0,0,'Données projet'!$E$13+1,1))</f>
        <v>376.68007030857598</v>
      </c>
      <c r="CZ16" s="62">
        <f t="shared" si="42"/>
        <v>532.90758914457626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>
        <f>EXP(-LN(2)/35)*DF15+(1-EXP(-LN(2)/35))/(LN(2)/35)*DB16*DC16*VLOOKUP('Données projet'!$B$13,Paramètres!$A$1:$I$89,3,0)*0.475*44/12</f>
        <v>0</v>
      </c>
      <c r="DG16" s="23">
        <f>EXP(-LN(2)/25)*DG15+(1-EXP(-LN(2)/25))/(LN(2)/25)*Calculateur!DB16*Calculateur!DD16*VLOOKUP('Données projet'!$B$13,Paramètres!$A$1:$I$89,3,0)*0.475*44/12</f>
        <v>3.8504548483414096</v>
      </c>
      <c r="DH16" s="23">
        <f>EXP(-LN(2)/2)*DH15+(1-EXP(-LN(2)/2))/(LN(2)/2)*DB16*DE16*VLOOKUP('Données projet'!$B$13,Paramètres!$A$1:$I$89,3,0)*0.475*44/12</f>
        <v>0</v>
      </c>
      <c r="DI16" s="24">
        <f t="shared" si="15"/>
        <v>3.8504548483414096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2.6666666666666665</v>
      </c>
      <c r="DO16" s="13">
        <f>IF('Données projet'!$A$166&gt;35,DO15+DN16-DW15,IF(A16&lt;'Données projet'!$A$166,$DL$205^A16,IF(A16='Données projet'!$A$166,'Données projet'!$B$166,DO15+DN16-DW15)))</f>
        <v>24.459748796430759</v>
      </c>
      <c r="DP16" s="18">
        <f>DO16*VLOOKUP('Données projet'!$B$14,Paramètres!$A$1:$I$89,3,0)*VLOOKUP('Données projet'!$B$14,Paramètres!$A$1:$I$89,5,0)</f>
        <v>23.27589695468351</v>
      </c>
      <c r="DQ16" s="14">
        <f t="shared" si="43"/>
        <v>7.4361917973843408</v>
      </c>
      <c r="DR16" s="22">
        <f t="shared" si="16"/>
        <v>53.490221243184834</v>
      </c>
      <c r="DS16" s="62">
        <f t="shared" si="17"/>
        <v>253.03122149480365</v>
      </c>
      <c r="DT16" s="62">
        <f ca="1">AVERAGE(OFFSET($DS$3,0,0,'Données projet'!$E$14+1,1))-AVERAGE(OFFSET($H$3,0,0,'Données projet'!$E$14+1,1))</f>
        <v>364.63161066507769</v>
      </c>
      <c r="DU16" s="62">
        <f t="shared" si="44"/>
        <v>355.44729904860708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>
        <f>EXP(-LN(2)/35)*EA15+(1-EXP(-LN(2)/35))/(LN(2)/35)*DW16*DX16*VLOOKUP('Données projet'!$B$14,Paramètres!$A$1:$I$89,3,0)*0.475*44/12</f>
        <v>0</v>
      </c>
      <c r="EB16" s="23">
        <f>EXP(-LN(2)/25)*EB15+(1-EXP(-LN(2)/25))/(LN(2)/25)*Calculateur!DW16*Calculateur!DY16*VLOOKUP('Données projet'!$B$14,Paramètres!$A$1:$I$89,3,0)*0.475*44/12</f>
        <v>0</v>
      </c>
      <c r="EC16" s="23">
        <f>EXP(-LN(2)/2)*EC15+(1-EXP(-LN(2)/2))/(LN(2)/2)*DW16*DZ16*VLOOKUP('Données projet'!$B$14,Paramètres!$A$1:$I$89,3,0)*0.475*44/12</f>
        <v>0</v>
      </c>
      <c r="ED16" s="24">
        <f t="shared" si="18"/>
        <v>0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2.6666666666666665</v>
      </c>
      <c r="EJ16" s="13">
        <f>IF('Données projet'!$A$192&gt;35,EJ15+EI16-ER15,IF(A16&lt;'Données projet'!$A$192,$EG$205^A16,IF(A16='Données projet'!$A$192,'Données projet'!$B$192,EJ15+EI16-ER15)))</f>
        <v>24.459748796430759</v>
      </c>
      <c r="EK16" s="18">
        <f>EJ16*VLOOKUP('Données projet'!$B$15,Paramètres!$A$1:$I$89,3,0)*VLOOKUP('Données projet'!$B$15,Paramètres!$A$1:$I$89,5,0)</f>
        <v>17.933887817543031</v>
      </c>
      <c r="EL16" s="14">
        <f t="shared" si="45"/>
        <v>5.9060729618628143</v>
      </c>
      <c r="EM16" s="22">
        <f t="shared" si="19"/>
        <v>41.521265024131843</v>
      </c>
      <c r="EN16" s="62">
        <f t="shared" si="20"/>
        <v>241.06226527575066</v>
      </c>
      <c r="EO16" s="62">
        <f ca="1">AVERAGE(OFFSET($EN$3,0,0,'Données projet'!$E$15+1,1))-AVERAGE(OFFSET($H$3,0,0,'Données projet'!$E$15+1,1))</f>
        <v>293.59366973965774</v>
      </c>
      <c r="EP16" s="62">
        <f t="shared" si="46"/>
        <v>288.13804536120426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>
        <f>EXP(-LN(2)/35)*EV15+(1-EXP(-LN(2)/35))/(LN(2)/35)*ER16*ES16*VLOOKUP('Données projet'!$B$15,Paramètres!$A$1:$I$89,3,0)*0.475*44/12</f>
        <v>0</v>
      </c>
      <c r="EW16" s="23">
        <f>EXP(-LN(2)/25)*EW15+(1-EXP(-LN(2)/25))/(LN(2)/25)*Calculateur!ER16*Calculateur!ET16*VLOOKUP('Données projet'!$B$15,Paramètres!$A$1:$I$89,3,0)*0.475*44/12</f>
        <v>0</v>
      </c>
      <c r="EX16" s="23">
        <f>EXP(-LN(2)/2)*EX15+(1-EXP(-LN(2)/2))/(LN(2)/2)*ER16*EU16*VLOOKUP('Données projet'!$B$15,Paramètres!$A$1:$I$89,3,0)*0.475*44/12</f>
        <v>0</v>
      </c>
      <c r="EY16" s="24">
        <f t="shared" si="21"/>
        <v>0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2.6666666666666665</v>
      </c>
      <c r="FE16" s="13">
        <f>IF('Données projet'!$A$218&gt;35,FE15+FD16-FM15,IF(A16&lt;'Données projet'!$A$218,$FB$205^A16,IF(A16='Données projet'!$A$218,'Données projet'!$B$218,FE15+FD16-FM15)))</f>
        <v>24.459748796430759</v>
      </c>
      <c r="FF16" s="18">
        <f>FE16*VLOOKUP('Données projet'!$B$16,Paramètres!$A$1:$I$89,3,0)*VLOOKUP('Données projet'!$B$16,Paramètres!$A$1:$I$89,5,0)</f>
        <v>23.65746903590783</v>
      </c>
      <c r="FG16" s="14">
        <f t="shared" si="47"/>
        <v>7.5438047149473011</v>
      </c>
      <c r="FH16" s="22">
        <f t="shared" si="22"/>
        <v>54.342218449406012</v>
      </c>
      <c r="FI16" s="62">
        <f t="shared" si="23"/>
        <v>253.88321870102482</v>
      </c>
      <c r="FJ16" s="62">
        <f ca="1">AVERAGE(OFFSET($FI$3,0,0,'Données projet'!$E$16+1,1))-AVERAGE(OFFSET($H$3,0,0,'Données projet'!$E$16+1,1))</f>
        <v>369.69145521630799</v>
      </c>
      <c r="FK16" s="62">
        <f t="shared" si="48"/>
        <v>360.24112103688719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>
        <f>EXP(-LN(2)/35)*FQ15+(1-EXP(-LN(2)/35))/(LN(2)/35)*FM16*FN16*VLOOKUP('Données projet'!$B$16,Paramètres!$A$1:$I$89,3,0)*0.475*44/12</f>
        <v>0</v>
      </c>
      <c r="FR16" s="23">
        <f>EXP(-LN(2)/25)*FR15+(1-EXP(-LN(2)/25))/(LN(2)/25)*Calculateur!FM16*Calculateur!FO16*VLOOKUP('Données projet'!$B$16,Paramètres!$A$1:$I$89,3,0)*0.475*44/12</f>
        <v>0</v>
      </c>
      <c r="FS16" s="23">
        <f>EXP(-LN(2)/2)*FS15+(1-EXP(-LN(2)/2))/(LN(2)/2)*FM16*FP16*VLOOKUP('Données projet'!$B$16,Paramètres!$A$1:$I$89,3,0)*0.475*44/12</f>
        <v>0</v>
      </c>
      <c r="FT16" s="24">
        <f t="shared" si="24"/>
        <v>0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2.6666666666666665</v>
      </c>
      <c r="FZ16" s="13">
        <f>IF('Données projet'!$A$244&gt;35,FZ15+FY16-GH15,IF(A16&lt;'Données projet'!$A$244,$FW$205^A16,IF(A16='Données projet'!$A$244,'Données projet'!$B$244,FZ15+FY16-GH15)))</f>
        <v>24.459748796430759</v>
      </c>
      <c r="GA16" s="18">
        <f>FZ16*VLOOKUP('Données projet'!$B$17,Paramètres!$A$1:$I$89,3,0)*VLOOKUP('Données projet'!$B$17,Paramètres!$A$1:$I$89,5,0)</f>
        <v>26.328473604478067</v>
      </c>
      <c r="GB16" s="14">
        <f t="shared" si="49"/>
        <v>8.2916354014557783</v>
      </c>
      <c r="GC16" s="22">
        <f t="shared" si="25"/>
        <v>60.296689852001442</v>
      </c>
      <c r="GD16" s="62">
        <f t="shared" si="26"/>
        <v>259.83769010362028</v>
      </c>
      <c r="GE16" s="62">
        <f ca="1">AVERAGE(OFFSET($GD$3,0,0,'Données projet'!$E$17+1,1))-AVERAGE(OFFSET($H$3,0,0,'Données projet'!$E$17+1,1))</f>
        <v>405.06394904053946</v>
      </c>
      <c r="GF16" s="62">
        <f t="shared" si="50"/>
        <v>393.75247087518198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>
        <f>EXP(-LN(2)/35)*GL15+(1-EXP(-LN(2)/35))/(LN(2)/35)*GH16*GI16*VLOOKUP('Données projet'!$B$17,Paramètres!$A$1:$I$89,3,0)*0.475*44/12</f>
        <v>0</v>
      </c>
      <c r="GM16" s="23">
        <f>EXP(-LN(2)/25)*GM15+(1-EXP(-LN(2)/25))/(LN(2)/25)*Calculateur!GH16*Calculateur!GJ16*VLOOKUP('Données projet'!$B$17,Paramètres!$A$1:$I$89,3,0)*0.475*44/12</f>
        <v>0</v>
      </c>
      <c r="GN16" s="23">
        <f>EXP(-LN(2)/2)*GN15+(1-EXP(-LN(2)/2))/(LN(2)/2)*GH16*GK16*VLOOKUP('Données projet'!$B$17,Paramètres!$A$1:$I$89,3,0)*0.475*44/12</f>
        <v>0</v>
      </c>
      <c r="GO16" s="23">
        <f t="shared" si="27"/>
        <v>0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2.6666666666666665</v>
      </c>
      <c r="GU16" s="13">
        <f>IF('Données projet'!$A$270&gt;35,GU15+GT16-HC15,IF(A16&lt;'Données projet'!$A$270,$GR$205^A16,IF(A16='Données projet'!$A$270,'Données projet'!$B$270,GU15+GT16-HC15)))</f>
        <v>24.459748796430759</v>
      </c>
      <c r="GV16" s="18">
        <f>GU16*VLOOKUP('Données projet'!$B$18,Paramètres!$A$1:$I$89,3,0)*VLOOKUP('Données projet'!$B$18,Paramètres!$A$1:$I$89,5,0)</f>
        <v>16.407599492645755</v>
      </c>
      <c r="GW16" s="14">
        <f t="shared" si="51"/>
        <v>5.4596633942706498</v>
      </c>
      <c r="GX16" s="22">
        <f t="shared" si="28"/>
        <v>38.085482861379397</v>
      </c>
      <c r="GY16" s="62">
        <f t="shared" si="29"/>
        <v>237.62648311299822</v>
      </c>
      <c r="GZ16" s="62">
        <f ca="1">AVERAGE(OFFSET($GY$3,0,0,'Données projet'!$E$18+1,1))-AVERAGE(OFFSET($H$3,0,0,'Données projet'!$E$18+1,1))</f>
        <v>273.21861937609918</v>
      </c>
      <c r="HA16" s="62">
        <f t="shared" si="52"/>
        <v>268.83004886965318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>
        <f>EXP(-LN(2)/35)*HG15+(1-EXP(-LN(2)/35))/(LN(2)/35)*HC16*HD16*VLOOKUP('Données projet'!$B$18,Paramètres!$A$1:$I$89,3,0)*0.475*44/12</f>
        <v>0</v>
      </c>
      <c r="HH16" s="23">
        <f>EXP(-LN(2)/25)*HH15+(1-EXP(-LN(2)/25))/(LN(2)/25)*Calculateur!HC16*Calculateur!HE16*VLOOKUP('Données projet'!$B$18,Paramètres!$A$1:$I$89,3,0)*0.475*44/12</f>
        <v>0</v>
      </c>
      <c r="HI16" s="23">
        <f>EXP(-LN(2)/2)*HI15+(1-EXP(-LN(2)/2))/(LN(2)/2)*HC16*HF16*VLOOKUP('Données projet'!$B$18,Paramètres!$A$1:$I$89,3,0)*0.475*44/12</f>
        <v>0</v>
      </c>
      <c r="HJ16" s="24">
        <f t="shared" si="30"/>
        <v>0</v>
      </c>
    </row>
    <row r="17" spans="1:218" s="5" customFormat="1" x14ac:dyDescent="0.4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2.4423076923076925</v>
      </c>
      <c r="N17" s="14">
        <f>IF('Données projet'!$A$36&gt;35,N16+M17-V16,IF(A17&lt;'Données projet'!$A$36,$K$205^A17,IF(A17='Données projet'!$A$36,'Données projet'!$B$36,N16+M17-V16)))</f>
        <v>34.192307692307701</v>
      </c>
      <c r="O17" s="14">
        <f>N17*VLOOKUP('Données projet'!$B$9,Paramètres!$A$1:$I$89,3,0)*VLOOKUP('Données projet'!$B$9,Paramètres!$A$1:$I$89,5,0)</f>
        <v>30.937200000000004</v>
      </c>
      <c r="P17" s="14">
        <f t="shared" si="33"/>
        <v>9.5618313808447351</v>
      </c>
      <c r="Q17" s="22">
        <f t="shared" si="2"/>
        <v>70.535812988304585</v>
      </c>
      <c r="R17" s="62">
        <f t="shared" si="0"/>
        <v>272.56567476057779</v>
      </c>
      <c r="S17" s="62">
        <f ca="1">AVERAGE(OFFSET($R$3,0,0,'Données projet'!$E$9+1,1))-AVERAGE(OFFSET($H$3,0,0,'Données projet'!$E$9+1,1))</f>
        <v>432.80275651765203</v>
      </c>
      <c r="T17" s="62">
        <f t="shared" si="34"/>
        <v>203.89279893419919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14.88</v>
      </c>
      <c r="AI17" s="14">
        <f>IF('Données projet'!$A$62&gt;35,AI16+AH17-AQ16,IF(A17&lt;'Données projet'!$A$62,$AF$205^A17,IF(A17='Données projet'!$A$62,'Données projet'!$B$62,AI16+AH17-AQ16)))</f>
        <v>27.51085236809228</v>
      </c>
      <c r="AJ17" s="14">
        <f>AI17*VLOOKUP('Données projet'!$B$10,Paramètres!$A$1:$I$89,3,0)*VLOOKUP('Données projet'!$B$10,Paramètres!$A$1:$I$89,5,0)</f>
        <v>12.15979674669679</v>
      </c>
      <c r="AK17" s="14">
        <f t="shared" si="35"/>
        <v>4.1897967679616652</v>
      </c>
      <c r="AL17" s="22">
        <f t="shared" si="4"/>
        <v>28.475542038030142</v>
      </c>
      <c r="AM17" s="62">
        <f t="shared" si="5"/>
        <v>230.50540381030333</v>
      </c>
      <c r="AN17" s="62">
        <f ca="1">AVERAGE(OFFSET($AM$3,0,0,'Données projet'!$E$10+1,1))-AVERAGE(OFFSET($H$3,0,0,'Données projet'!$E$10+1,1))</f>
        <v>413.08876898406481</v>
      </c>
      <c r="AO17" s="62">
        <f t="shared" si="36"/>
        <v>520.31320932826566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14.88</v>
      </c>
      <c r="BD17" s="13">
        <f>IF('Données projet'!$A$88&gt;35,BD16+BC17-BL16,IF(A17&lt;'Données projet'!$A$88,$BA$205^A17,IF(A17='Données projet'!$A$88,'Données projet'!$B$88,BD16+BC17-BL16)))</f>
        <v>27.51085236809228</v>
      </c>
      <c r="BE17" s="14">
        <f>BD17*VLOOKUP('Données projet'!$B$11,Paramètres!$A$1:$I$89,3,0)*VLOOKUP('Données projet'!$B$11,Paramètres!$A$1:$I$89,5,0)</f>
        <v>15.378566473763584</v>
      </c>
      <c r="BF17" s="14">
        <f t="shared" si="37"/>
        <v>5.1559763148872326</v>
      </c>
      <c r="BG17" s="22">
        <f t="shared" si="7"/>
        <v>35.764328690233505</v>
      </c>
      <c r="BH17" s="62">
        <f t="shared" si="8"/>
        <v>237.79419046250669</v>
      </c>
      <c r="BI17" s="62">
        <f ca="1">AVERAGE(OFFSET($BH$3,0,0,'Données projet'!$E$11+1,1))-AVERAGE(OFFSET($H$3,0,0,'Données projet'!$E$11+1,1))</f>
        <v>507.66185230065889</v>
      </c>
      <c r="BJ17" s="62">
        <f t="shared" si="38"/>
        <v>640.14375617778342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4.7916666665000003</v>
      </c>
      <c r="BY17" s="13">
        <f>IF('Données projet'!$A$114&gt;35,BY16+BX17-CG16,IF(A17&lt;'Données projet'!$A$114,$BV$205^A17,IF(A17='Données projet'!$A$114,'Données projet'!$B$114,BY16+BX17-CG16)))</f>
        <v>24.381567099755745</v>
      </c>
      <c r="BZ17" s="14">
        <f>BY17*VLOOKUP('Données projet'!$B$12,Paramètres!$A$1:$I$89,3,0)*VLOOKUP('Données projet'!$B$12,Paramètres!$A$1:$I$89,5,0)</f>
        <v>11.410573402685689</v>
      </c>
      <c r="CA17" s="14">
        <f t="shared" si="39"/>
        <v>3.9608550056143499</v>
      </c>
      <c r="CB17" s="22">
        <f t="shared" si="10"/>
        <v>26.771904477789235</v>
      </c>
      <c r="CC17" s="62">
        <f t="shared" si="11"/>
        <v>228.80176625006243</v>
      </c>
      <c r="CD17" s="62">
        <f ca="1">AVERAGE(OFFSET($CC$3,0,0,'Données projet'!$E$12+1,1))-AVERAGE(OFFSET($H$3,0,0,'Données projet'!$E$12+1,1))</f>
        <v>289.21044803824958</v>
      </c>
      <c r="CE17" s="62">
        <f t="shared" si="40"/>
        <v>196.11836398299445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>
        <f>EXP(-LN(2)/35)*CK16+(1-EXP(-LN(2)/35))/(LN(2)/35)*CG17*CH17*VLOOKUP('Données projet'!$B$12,Paramètres!$A$1:$I$89,3,0)*0.475*44/12</f>
        <v>0</v>
      </c>
      <c r="CL17" s="23">
        <f>EXP(-LN(2)/25)*CL16+(1-EXP(-LN(2)/25))/(LN(2)/25)*Calculateur!CG17*Calculateur!CI17*VLOOKUP('Données projet'!$B$12,Paramètres!$A$1:$I$89,3,0)*0.475*44/12</f>
        <v>0</v>
      </c>
      <c r="CM17" s="23">
        <f>EXP(-LN(2)/2)*CM16+(1-EXP(-LN(2)/2))/(LN(2)/2)*CG17*CJ17*VLOOKUP('Données projet'!$B$12,Paramètres!$A$1:$I$89,3,0)*0.475*44/12</f>
        <v>0</v>
      </c>
      <c r="CN17" s="24">
        <f t="shared" si="12"/>
        <v>0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13.8</v>
      </c>
      <c r="CT17" s="13">
        <f>IF('Données projet'!$A$140&gt;35,CT16+CS17-DB16,IF(A17&lt;'Données projet'!$A$140,$CQ$205^A17,IF(A17='Données projet'!$A$140,'Données projet'!$B$140,CT16+CS17-DB16)))</f>
        <v>126.2</v>
      </c>
      <c r="CU17" s="18">
        <f>CT17*VLOOKUP('Données projet'!$B$13,Paramètres!$A$1:$I$89,3,0)*VLOOKUP('Données projet'!$B$13,Paramètres!$A$1:$I$89,5,0)</f>
        <v>114.18576</v>
      </c>
      <c r="CV17" s="14">
        <f t="shared" si="41"/>
        <v>30.315028515433259</v>
      </c>
      <c r="CW17" s="22">
        <f t="shared" si="13"/>
        <v>251.67220666437959</v>
      </c>
      <c r="CX17" s="62">
        <f t="shared" si="14"/>
        <v>453.70206843665278</v>
      </c>
      <c r="CY17" s="62">
        <f ca="1">AVERAGE(OFFSET($CX$3,0,0,'Données projet'!$E$13+1,1))-AVERAGE(OFFSET($H$3,0,0,'Données projet'!$E$13+1,1))</f>
        <v>376.68007030857598</v>
      </c>
      <c r="CZ17" s="62">
        <f t="shared" si="42"/>
        <v>532.90758914457626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>
        <f>EXP(-LN(2)/35)*DF16+(1-EXP(-LN(2)/35))/(LN(2)/35)*DB17*DC17*VLOOKUP('Données projet'!$B$13,Paramètres!$A$1:$I$89,3,0)*0.475*44/12</f>
        <v>0</v>
      </c>
      <c r="DG17" s="23">
        <f>EXP(-LN(2)/25)*DG16+(1-EXP(-LN(2)/25))/(LN(2)/25)*Calculateur!DB17*Calculateur!DD17*VLOOKUP('Données projet'!$B$13,Paramètres!$A$1:$I$89,3,0)*0.475*44/12</f>
        <v>3.7451639580268936</v>
      </c>
      <c r="DH17" s="23">
        <f>EXP(-LN(2)/2)*DH16+(1-EXP(-LN(2)/2))/(LN(2)/2)*DB17*DE17*VLOOKUP('Données projet'!$B$13,Paramètres!$A$1:$I$89,3,0)*0.475*44/12</f>
        <v>0</v>
      </c>
      <c r="DI17" s="24">
        <f t="shared" si="15"/>
        <v>3.7451639580268936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2.6666666666666665</v>
      </c>
      <c r="DO17" s="13">
        <f>IF('Données projet'!$A$166&gt;35,DO16+DN17-DW16,IF(A17&lt;'Données projet'!$A$166,$DL$205^A17,IF(A17='Données projet'!$A$166,'Données projet'!$B$166,DO16+DN17-DW16)))</f>
        <v>31.279225563578599</v>
      </c>
      <c r="DP17" s="18">
        <f>DO17*VLOOKUP('Données projet'!$B$14,Paramètres!$A$1:$I$89,3,0)*VLOOKUP('Données projet'!$B$14,Paramètres!$A$1:$I$89,5,0)</f>
        <v>29.765311046301399</v>
      </c>
      <c r="DQ17" s="14">
        <f t="shared" si="43"/>
        <v>9.241077163441366</v>
      </c>
      <c r="DR17" s="22">
        <f t="shared" si="16"/>
        <v>67.936126131968649</v>
      </c>
      <c r="DS17" s="62">
        <f t="shared" si="17"/>
        <v>269.96598790424184</v>
      </c>
      <c r="DT17" s="62">
        <f ca="1">AVERAGE(OFFSET($DS$3,0,0,'Données projet'!$E$14+1,1))-AVERAGE(OFFSET($H$3,0,0,'Données projet'!$E$14+1,1))</f>
        <v>364.63161066507769</v>
      </c>
      <c r="DU17" s="62">
        <f t="shared" si="44"/>
        <v>355.44729904860708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>
        <f>EXP(-LN(2)/35)*EA16+(1-EXP(-LN(2)/35))/(LN(2)/35)*DW17*DX17*VLOOKUP('Données projet'!$B$14,Paramètres!$A$1:$I$89,3,0)*0.475*44/12</f>
        <v>0</v>
      </c>
      <c r="EB17" s="23">
        <f>EXP(-LN(2)/25)*EB16+(1-EXP(-LN(2)/25))/(LN(2)/25)*Calculateur!DW17*Calculateur!DY17*VLOOKUP('Données projet'!$B$14,Paramètres!$A$1:$I$89,3,0)*0.475*44/12</f>
        <v>0</v>
      </c>
      <c r="EC17" s="23">
        <f>EXP(-LN(2)/2)*EC16+(1-EXP(-LN(2)/2))/(LN(2)/2)*DW17*DZ17*VLOOKUP('Données projet'!$B$14,Paramètres!$A$1:$I$89,3,0)*0.475*44/12</f>
        <v>0</v>
      </c>
      <c r="ED17" s="24">
        <f t="shared" si="18"/>
        <v>0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2.6666666666666665</v>
      </c>
      <c r="EJ17" s="13">
        <f>IF('Données projet'!$A$192&gt;35,EJ16+EI17-ER16,IF(A17&lt;'Données projet'!$A$192,$EG$205^A17,IF(A17='Données projet'!$A$192,'Données projet'!$B$192,EJ16+EI17-ER16)))</f>
        <v>31.279225563578599</v>
      </c>
      <c r="EK17" s="18">
        <f>EJ17*VLOOKUP('Données projet'!$B$15,Paramètres!$A$1:$I$89,3,0)*VLOOKUP('Données projet'!$B$15,Paramètres!$A$1:$I$89,5,0)</f>
        <v>22.93392818321583</v>
      </c>
      <c r="EL17" s="14">
        <f t="shared" si="45"/>
        <v>7.3395734618742337</v>
      </c>
      <c r="EM17" s="22">
        <f t="shared" si="19"/>
        <v>52.726348698531858</v>
      </c>
      <c r="EN17" s="62">
        <f t="shared" si="20"/>
        <v>254.75621047080506</v>
      </c>
      <c r="EO17" s="62">
        <f ca="1">AVERAGE(OFFSET($EN$3,0,0,'Données projet'!$E$15+1,1))-AVERAGE(OFFSET($H$3,0,0,'Données projet'!$E$15+1,1))</f>
        <v>293.59366973965774</v>
      </c>
      <c r="EP17" s="62">
        <f t="shared" si="46"/>
        <v>288.13804536120426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>
        <f>EXP(-LN(2)/35)*EV16+(1-EXP(-LN(2)/35))/(LN(2)/35)*ER17*ES17*VLOOKUP('Données projet'!$B$15,Paramètres!$A$1:$I$89,3,0)*0.475*44/12</f>
        <v>0</v>
      </c>
      <c r="EW17" s="23">
        <f>EXP(-LN(2)/25)*EW16+(1-EXP(-LN(2)/25))/(LN(2)/25)*Calculateur!ER17*Calculateur!ET17*VLOOKUP('Données projet'!$B$15,Paramètres!$A$1:$I$89,3,0)*0.475*44/12</f>
        <v>0</v>
      </c>
      <c r="EX17" s="23">
        <f>EXP(-LN(2)/2)*EX16+(1-EXP(-LN(2)/2))/(LN(2)/2)*ER17*EU17*VLOOKUP('Données projet'!$B$15,Paramètres!$A$1:$I$89,3,0)*0.475*44/12</f>
        <v>0</v>
      </c>
      <c r="EY17" s="24">
        <f t="shared" si="21"/>
        <v>0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2.6666666666666665</v>
      </c>
      <c r="FE17" s="13">
        <f>IF('Données projet'!$A$218&gt;35,FE16+FD17-FM16,IF(A17&lt;'Données projet'!$A$218,$FB$205^A17,IF(A17='Données projet'!$A$218,'Données projet'!$B$218,FE16+FD17-FM16)))</f>
        <v>31.279225563578599</v>
      </c>
      <c r="FF17" s="18">
        <f>FE17*VLOOKUP('Données projet'!$B$16,Paramètres!$A$1:$I$89,3,0)*VLOOKUP('Données projet'!$B$16,Paramètres!$A$1:$I$89,5,0)</f>
        <v>30.253266965093221</v>
      </c>
      <c r="FG17" s="14">
        <f t="shared" si="47"/>
        <v>9.3748094960759563</v>
      </c>
      <c r="FH17" s="22">
        <f t="shared" si="22"/>
        <v>69.01889983653632</v>
      </c>
      <c r="FI17" s="62">
        <f t="shared" si="23"/>
        <v>271.04876160880951</v>
      </c>
      <c r="FJ17" s="62">
        <f ca="1">AVERAGE(OFFSET($FI$3,0,0,'Données projet'!$E$16+1,1))-AVERAGE(OFFSET($H$3,0,0,'Données projet'!$E$16+1,1))</f>
        <v>369.69145521630799</v>
      </c>
      <c r="FK17" s="62">
        <f t="shared" si="48"/>
        <v>360.24112103688719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>
        <f>EXP(-LN(2)/35)*FQ16+(1-EXP(-LN(2)/35))/(LN(2)/35)*FM17*FN17*VLOOKUP('Données projet'!$B$16,Paramètres!$A$1:$I$89,3,0)*0.475*44/12</f>
        <v>0</v>
      </c>
      <c r="FR17" s="23">
        <f>EXP(-LN(2)/25)*FR16+(1-EXP(-LN(2)/25))/(LN(2)/25)*Calculateur!FM17*Calculateur!FO17*VLOOKUP('Données projet'!$B$16,Paramètres!$A$1:$I$89,3,0)*0.475*44/12</f>
        <v>0</v>
      </c>
      <c r="FS17" s="23">
        <f>EXP(-LN(2)/2)*FS16+(1-EXP(-LN(2)/2))/(LN(2)/2)*FM17*FP17*VLOOKUP('Données projet'!$B$16,Paramètres!$A$1:$I$89,3,0)*0.475*44/12</f>
        <v>0</v>
      </c>
      <c r="FT17" s="24">
        <f t="shared" si="24"/>
        <v>0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2.6666666666666665</v>
      </c>
      <c r="FZ17" s="13">
        <f>IF('Données projet'!$A$244&gt;35,FZ16+FY17-GH16,IF(A17&lt;'Données projet'!$A$244,$FW$205^A17,IF(A17='Données projet'!$A$244,'Données projet'!$B$244,FZ16+FY17-GH16)))</f>
        <v>31.279225563578599</v>
      </c>
      <c r="GA17" s="18">
        <f>FZ17*VLOOKUP('Données projet'!$B$17,Paramètres!$A$1:$I$89,3,0)*VLOOKUP('Données projet'!$B$17,Paramètres!$A$1:$I$89,5,0)</f>
        <v>33.668958396636008</v>
      </c>
      <c r="GB17" s="14">
        <f t="shared" si="49"/>
        <v>10.304150920761236</v>
      </c>
      <c r="GC17" s="22">
        <f t="shared" si="25"/>
        <v>76.586498727800205</v>
      </c>
      <c r="GD17" s="62">
        <f t="shared" si="26"/>
        <v>278.61636050007337</v>
      </c>
      <c r="GE17" s="62">
        <f ca="1">AVERAGE(OFFSET($GD$3,0,0,'Données projet'!$E$17+1,1))-AVERAGE(OFFSET($H$3,0,0,'Données projet'!$E$17+1,1))</f>
        <v>405.06394904053946</v>
      </c>
      <c r="GF17" s="62">
        <f t="shared" si="50"/>
        <v>393.75247087518198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>
        <f>EXP(-LN(2)/35)*GL16+(1-EXP(-LN(2)/35))/(LN(2)/35)*GH17*GI17*VLOOKUP('Données projet'!$B$17,Paramètres!$A$1:$I$89,3,0)*0.475*44/12</f>
        <v>0</v>
      </c>
      <c r="GM17" s="23">
        <f>EXP(-LN(2)/25)*GM16+(1-EXP(-LN(2)/25))/(LN(2)/25)*Calculateur!GH17*Calculateur!GJ17*VLOOKUP('Données projet'!$B$17,Paramètres!$A$1:$I$89,3,0)*0.475*44/12</f>
        <v>0</v>
      </c>
      <c r="GN17" s="23">
        <f>EXP(-LN(2)/2)*GN16+(1-EXP(-LN(2)/2))/(LN(2)/2)*GH17*GK17*VLOOKUP('Données projet'!$B$17,Paramètres!$A$1:$I$89,3,0)*0.475*44/12</f>
        <v>0</v>
      </c>
      <c r="GO17" s="23">
        <f t="shared" si="27"/>
        <v>0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2.6666666666666665</v>
      </c>
      <c r="GU17" s="13">
        <f>IF('Données projet'!$A$270&gt;35,GU16+GT17-HC16,IF(A17&lt;'Données projet'!$A$270,$GR$205^A17,IF(A17='Données projet'!$A$270,'Données projet'!$B$270,GU16+GT17-HC16)))</f>
        <v>31.279225563578599</v>
      </c>
      <c r="GV17" s="18">
        <f>GU17*VLOOKUP('Données projet'!$B$18,Paramètres!$A$1:$I$89,3,0)*VLOOKUP('Données projet'!$B$18,Paramètres!$A$1:$I$89,5,0)</f>
        <v>20.982104508048526</v>
      </c>
      <c r="GW17" s="14">
        <f t="shared" si="51"/>
        <v>6.7848129913241397</v>
      </c>
      <c r="GX17" s="22">
        <f t="shared" si="28"/>
        <v>48.360714644740732</v>
      </c>
      <c r="GY17" s="62">
        <f t="shared" si="29"/>
        <v>250.39057641701393</v>
      </c>
      <c r="GZ17" s="62">
        <f ca="1">AVERAGE(OFFSET($GY$3,0,0,'Données projet'!$E$18+1,1))-AVERAGE(OFFSET($H$3,0,0,'Données projet'!$E$18+1,1))</f>
        <v>273.21861937609918</v>
      </c>
      <c r="HA17" s="62">
        <f t="shared" si="52"/>
        <v>268.83004886965318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>
        <f>EXP(-LN(2)/35)*HG16+(1-EXP(-LN(2)/35))/(LN(2)/35)*HC17*HD17*VLOOKUP('Données projet'!$B$18,Paramètres!$A$1:$I$89,3,0)*0.475*44/12</f>
        <v>0</v>
      </c>
      <c r="HH17" s="23">
        <f>EXP(-LN(2)/25)*HH16+(1-EXP(-LN(2)/25))/(LN(2)/25)*Calculateur!HC17*Calculateur!HE17*VLOOKUP('Données projet'!$B$18,Paramètres!$A$1:$I$89,3,0)*0.475*44/12</f>
        <v>0</v>
      </c>
      <c r="HI17" s="23">
        <f>EXP(-LN(2)/2)*HI16+(1-EXP(-LN(2)/2))/(LN(2)/2)*HC17*HF17*VLOOKUP('Données projet'!$B$18,Paramètres!$A$1:$I$89,3,0)*0.475*44/12</f>
        <v>0</v>
      </c>
      <c r="HJ17" s="24">
        <f t="shared" si="30"/>
        <v>0</v>
      </c>
    </row>
    <row r="18" spans="1:218" s="5" customFormat="1" x14ac:dyDescent="0.4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2.4423076923076925</v>
      </c>
      <c r="N18" s="14">
        <f>IF('Données projet'!$A$36&gt;35,N17+M18-V17,IF(A18&lt;'Données projet'!$A$36,$K$205^A18,IF(A18='Données projet'!$A$36,'Données projet'!$B$36,N17+M18-V17)))</f>
        <v>36.634615384615394</v>
      </c>
      <c r="O18" s="14">
        <f>N18*VLOOKUP('Données projet'!$B$9,Paramètres!$A$1:$I$89,3,0)*VLOOKUP('Données projet'!$B$9,Paramètres!$A$1:$I$89,5,0)</f>
        <v>33.147000000000006</v>
      </c>
      <c r="P18" s="14">
        <f t="shared" si="33"/>
        <v>10.162875024740465</v>
      </c>
      <c r="Q18" s="22">
        <f t="shared" si="2"/>
        <v>75.431365668089654</v>
      </c>
      <c r="R18" s="62">
        <f t="shared" si="0"/>
        <v>279.92811560097073</v>
      </c>
      <c r="S18" s="62">
        <f ca="1">AVERAGE(OFFSET($R$3,0,0,'Données projet'!$E$9+1,1))-AVERAGE(OFFSET($H$3,0,0,'Données projet'!$E$9+1,1))</f>
        <v>432.80275651765203</v>
      </c>
      <c r="T18" s="62">
        <f t="shared" si="34"/>
        <v>203.89279893419919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14.88</v>
      </c>
      <c r="AI18" s="14">
        <f>IF('Données projet'!$A$62&gt;35,AI17+AH18-AQ17,IF(A18&lt;'Données projet'!$A$62,$AF$205^A18,IF(A18='Données projet'!$A$62,'Données projet'!$B$62,AI17+AH18-AQ17)))</f>
        <v>34.859870058616508</v>
      </c>
      <c r="AJ18" s="14">
        <f>AI18*VLOOKUP('Données projet'!$B$10,Paramètres!$A$1:$I$89,3,0)*VLOOKUP('Données projet'!$B$10,Paramètres!$A$1:$I$89,5,0)</f>
        <v>15.408062565908498</v>
      </c>
      <c r="AK18" s="14">
        <f t="shared" si="35"/>
        <v>5.1647134047103593</v>
      </c>
      <c r="AL18" s="22">
        <f t="shared" si="4"/>
        <v>35.830918148827841</v>
      </c>
      <c r="AM18" s="62">
        <f t="shared" si="5"/>
        <v>240.32766808170888</v>
      </c>
      <c r="AN18" s="62">
        <f ca="1">AVERAGE(OFFSET($AM$3,0,0,'Données projet'!$E$10+1,1))-AVERAGE(OFFSET($H$3,0,0,'Données projet'!$E$10+1,1))</f>
        <v>413.08876898406481</v>
      </c>
      <c r="AO18" s="62">
        <f t="shared" si="36"/>
        <v>520.31320932826566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14.88</v>
      </c>
      <c r="BD18" s="13">
        <f>IF('Données projet'!$A$88&gt;35,BD17+BC18-BL17,IF(A18&lt;'Données projet'!$A$88,$BA$205^A18,IF(A18='Données projet'!$A$88,'Données projet'!$B$88,BD17+BC18-BL17)))</f>
        <v>34.859870058616508</v>
      </c>
      <c r="BE18" s="14">
        <f>BD18*VLOOKUP('Données projet'!$B$11,Paramètres!$A$1:$I$89,3,0)*VLOOKUP('Données projet'!$B$11,Paramètres!$A$1:$I$89,5,0)</f>
        <v>19.486667362766628</v>
      </c>
      <c r="BF18" s="14">
        <f t="shared" si="37"/>
        <v>6.3557116162515603</v>
      </c>
      <c r="BG18" s="22">
        <f t="shared" si="7"/>
        <v>45.008810055123341</v>
      </c>
      <c r="BH18" s="62">
        <f t="shared" si="8"/>
        <v>249.50555998800439</v>
      </c>
      <c r="BI18" s="62">
        <f ca="1">AVERAGE(OFFSET($BH$3,0,0,'Données projet'!$E$11+1,1))-AVERAGE(OFFSET($H$3,0,0,'Données projet'!$E$11+1,1))</f>
        <v>507.66185230065889</v>
      </c>
      <c r="BJ18" s="62">
        <f t="shared" si="38"/>
        <v>640.14375617778342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4.7916666665000003</v>
      </c>
      <c r="BY18" s="13">
        <f>IF('Données projet'!$A$114&gt;35,BY17+BX18-CG17,IF(A18&lt;'Données projet'!$A$114,$BV$205^A18,IF(A18='Données projet'!$A$114,'Données projet'!$B$114,BY17+BX18-CG17)))</f>
        <v>30.629326386511099</v>
      </c>
      <c r="BZ18" s="14">
        <f>BY18*VLOOKUP('Données projet'!$B$12,Paramètres!$A$1:$I$89,3,0)*VLOOKUP('Données projet'!$B$12,Paramètres!$A$1:$I$89,5,0)</f>
        <v>14.334524748887196</v>
      </c>
      <c r="CA18" s="14">
        <f t="shared" si="39"/>
        <v>4.8454302656535306</v>
      </c>
      <c r="CB18" s="22">
        <f t="shared" si="10"/>
        <v>33.405088316991765</v>
      </c>
      <c r="CC18" s="62">
        <f t="shared" si="11"/>
        <v>237.90183824987281</v>
      </c>
      <c r="CD18" s="62">
        <f ca="1">AVERAGE(OFFSET($CC$3,0,0,'Données projet'!$E$12+1,1))-AVERAGE(OFFSET($H$3,0,0,'Données projet'!$E$12+1,1))</f>
        <v>289.21044803824958</v>
      </c>
      <c r="CE18" s="62">
        <f t="shared" si="40"/>
        <v>196.11836398299445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>
        <f>EXP(-LN(2)/35)*CK17+(1-EXP(-LN(2)/35))/(LN(2)/35)*CG18*CH18*VLOOKUP('Données projet'!$B$12,Paramètres!$A$1:$I$89,3,0)*0.475*44/12</f>
        <v>0</v>
      </c>
      <c r="CL18" s="23">
        <f>EXP(-LN(2)/25)*CL17+(1-EXP(-LN(2)/25))/(LN(2)/25)*Calculateur!CG18*Calculateur!CI18*VLOOKUP('Données projet'!$B$12,Paramètres!$A$1:$I$89,3,0)*0.475*44/12</f>
        <v>0</v>
      </c>
      <c r="CM18" s="23">
        <f>EXP(-LN(2)/2)*CM17+(1-EXP(-LN(2)/2))/(LN(2)/2)*CG18*CJ18*VLOOKUP('Données projet'!$B$12,Paramètres!$A$1:$I$89,3,0)*0.475*44/12</f>
        <v>0</v>
      </c>
      <c r="CN18" s="24">
        <f t="shared" si="12"/>
        <v>0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>
        <f>VLOOKUP(A18,'Données projet'!$A$139:$I$159,2,0)</f>
        <v>140</v>
      </c>
      <c r="CR18" s="13">
        <f>VLOOKUP(A18,'Données projet'!$A$139:$I$159,9,0)</f>
        <v>13.8</v>
      </c>
      <c r="CS18" s="13">
        <f t="array" ref="CS18">INDEX(CR:CR,MIN(IF(ISNUMBER(CR18:CR214),ROW(CR18:CR214),"")))</f>
        <v>13.8</v>
      </c>
      <c r="CT18" s="13">
        <f>IF('Données projet'!$A$140&gt;35,CT17+CS18-DB17,IF(A18&lt;'Données projet'!$A$140,$CQ$205^A18,IF(A18='Données projet'!$A$140,'Données projet'!$B$140,CT17+CS18-DB17)))</f>
        <v>140</v>
      </c>
      <c r="CU18" s="18">
        <f>CT18*VLOOKUP('Données projet'!$B$13,Paramètres!$A$1:$I$89,3,0)*VLOOKUP('Données projet'!$B$13,Paramètres!$A$1:$I$89,5,0)</f>
        <v>126.67199999999998</v>
      </c>
      <c r="CV18" s="14">
        <f t="shared" si="41"/>
        <v>33.226199426361347</v>
      </c>
      <c r="CW18" s="22">
        <f t="shared" si="13"/>
        <v>278.48936400091264</v>
      </c>
      <c r="CX18" s="62">
        <f t="shared" si="14"/>
        <v>482.98611393379372</v>
      </c>
      <c r="CY18" s="62">
        <f ca="1">AVERAGE(OFFSET($CX$3,0,0,'Données projet'!$E$13+1,1))-AVERAGE(OFFSET($H$3,0,0,'Données projet'!$E$13+1,1))</f>
        <v>376.68007030857598</v>
      </c>
      <c r="CZ18" s="62">
        <f t="shared" si="42"/>
        <v>532.90758914457626</v>
      </c>
      <c r="DA18" s="16">
        <f>IF(ISNA(VLOOKUP(A18,'Données projet'!$A$139:$I$159,3,0)),0,VLOOKUP(A18,'Données projet'!$A$139:$I$159,3,0))</f>
        <v>3</v>
      </c>
      <c r="DB18" s="16">
        <f>IF(ISNA(VLOOKUP(A18,'Données projet'!$A$139:$I$159,4,0)),0,VLOOKUP(A18,'Données projet'!$A$139:$I$159,4,0))</f>
        <v>23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0.15</v>
      </c>
      <c r="DE18" s="17">
        <f>IF(ISNA(VLOOKUP(A18,'Données projet'!$A$139:$I$159,7,0)),0%,VLOOKUP(A18,'Données projet'!$A$139:$I$159,7,0))</f>
        <v>0</v>
      </c>
      <c r="DF18" s="23">
        <f>EXP(-LN(2)/35)*DF17+(1-EXP(-LN(2)/35))/(LN(2)/35)*DB18*DC18*VLOOKUP('Données projet'!$B$13,Paramètres!$A$1:$I$89,3,0)*0.475*44/12</f>
        <v>0</v>
      </c>
      <c r="DG18" s="23">
        <f>EXP(-LN(2)/25)*DG17+(1-EXP(-LN(2)/25))/(LN(2)/25)*Calculateur!DB18*Calculateur!DD18*VLOOKUP('Données projet'!$B$13,Paramètres!$A$1:$I$89,3,0)*0.475*44/12</f>
        <v>7.0799572871567218</v>
      </c>
      <c r="DH18" s="23">
        <f>EXP(-LN(2)/2)*DH17+(1-EXP(-LN(2)/2))/(LN(2)/2)*DB18*DE18*VLOOKUP('Données projet'!$B$13,Paramètres!$A$1:$I$89,3,0)*0.475*44/12</f>
        <v>0</v>
      </c>
      <c r="DI18" s="24">
        <f t="shared" si="15"/>
        <v>7.0799572871567218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>
        <f>VLOOKUP(A18,'Données projet'!$A$165:$I$185,2,0)</f>
        <v>40</v>
      </c>
      <c r="DM18" s="13">
        <f>VLOOKUP(A18,'Données projet'!$A$165:$I$185,9,0)</f>
        <v>2.6666666666666665</v>
      </c>
      <c r="DN18" s="13">
        <f t="array" ref="DN18">INDEX(DM:DM,MIN(IF(ISNUMBER(DM18:DM214),ROW(DM18:DM214),"")))</f>
        <v>2.6666666666666665</v>
      </c>
      <c r="DO18" s="13">
        <f>IF('Données projet'!$A$166&gt;35,DO17+DN18-DW17,IF(A18&lt;'Données projet'!$A$166,$DL$205^A18,IF(A18='Données projet'!$A$166,'Données projet'!$B$166,DO17+DN18-DW17)))</f>
        <v>40</v>
      </c>
      <c r="DP18" s="18">
        <f>DO18*VLOOKUP('Données projet'!$B$14,Paramètres!$A$1:$I$89,3,0)*VLOOKUP('Données projet'!$B$14,Paramètres!$A$1:$I$89,5,0)</f>
        <v>38.064</v>
      </c>
      <c r="DQ18" s="14">
        <f t="shared" si="43"/>
        <v>11.484037726234551</v>
      </c>
      <c r="DR18" s="22">
        <f t="shared" si="16"/>
        <v>86.296165706525173</v>
      </c>
      <c r="DS18" s="62">
        <f t="shared" si="17"/>
        <v>290.7929156394062</v>
      </c>
      <c r="DT18" s="62">
        <f ca="1">AVERAGE(OFFSET($DS$3,0,0,'Données projet'!$E$14+1,1))-AVERAGE(OFFSET($H$3,0,0,'Données projet'!$E$14+1,1))</f>
        <v>364.63161066507769</v>
      </c>
      <c r="DU18" s="62">
        <f t="shared" si="44"/>
        <v>355.44729904860708</v>
      </c>
      <c r="DV18" s="16">
        <f>IF(ISNA(VLOOKUP(A18,'Données projet'!$A$165:$I$185,3,0)),0,VLOOKUP(A18,'Données projet'!$A$165:$I$185,3,0))</f>
        <v>1</v>
      </c>
      <c r="DW18" s="16">
        <f>IF(ISNA(VLOOKUP(A18,'Données projet'!$A$165:$I$185,4,0)),0,VLOOKUP(A18,'Données projet'!$A$165:$I$185,4,0))</f>
        <v>3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>
        <f>EXP(-LN(2)/35)*EA17+(1-EXP(-LN(2)/35))/(LN(2)/35)*DW18*DX18*VLOOKUP('Données projet'!$B$14,Paramètres!$A$1:$I$89,3,0)*0.475*44/12</f>
        <v>0</v>
      </c>
      <c r="EB18" s="23">
        <f>EXP(-LN(2)/25)*EB17+(1-EXP(-LN(2)/25))/(LN(2)/25)*Calculateur!DW18*Calculateur!DY18*VLOOKUP('Données projet'!$B$14,Paramètres!$A$1:$I$89,3,0)*0.475*44/12</f>
        <v>0</v>
      </c>
      <c r="EC18" s="23">
        <f>EXP(-LN(2)/2)*EC17+(1-EXP(-LN(2)/2))/(LN(2)/2)*DW18*DZ18*VLOOKUP('Données projet'!$B$14,Paramètres!$A$1:$I$89,3,0)*0.475*44/12</f>
        <v>0</v>
      </c>
      <c r="ED18" s="24">
        <f t="shared" si="18"/>
        <v>0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>
        <f>VLOOKUP(A18,'Données projet'!$A$191:$I$211,2,0)</f>
        <v>40</v>
      </c>
      <c r="EH18" s="13">
        <f>VLOOKUP(A18,'Données projet'!$A$191:$I$211,9,0)</f>
        <v>2.6666666666666665</v>
      </c>
      <c r="EI18" s="13">
        <f t="array" ref="EI18">INDEX(EH:EH,MIN(IF(ISNUMBER(EH18:EH214),ROW(EH18:EH214),"")))</f>
        <v>2.6666666666666665</v>
      </c>
      <c r="EJ18" s="13">
        <f>IF('Données projet'!$A$192&gt;35,EJ17+EI18-ER17,IF(A18&lt;'Données projet'!$A$192,$EG$205^A18,IF(A18='Données projet'!$A$192,'Données projet'!$B$192,EJ17+EI18-ER17)))</f>
        <v>40</v>
      </c>
      <c r="EK18" s="18">
        <f>EJ18*VLOOKUP('Données projet'!$B$15,Paramètres!$A$1:$I$89,3,0)*VLOOKUP('Données projet'!$B$15,Paramètres!$A$1:$I$89,5,0)</f>
        <v>29.327999999999996</v>
      </c>
      <c r="EL18" s="14">
        <f t="shared" si="45"/>
        <v>9.1210079777371842</v>
      </c>
      <c r="EM18" s="22">
        <f t="shared" si="19"/>
        <v>66.965355561225593</v>
      </c>
      <c r="EN18" s="62">
        <f t="shared" si="20"/>
        <v>271.46210549410665</v>
      </c>
      <c r="EO18" s="62">
        <f ca="1">AVERAGE(OFFSET($EN$3,0,0,'Données projet'!$E$15+1,1))-AVERAGE(OFFSET($H$3,0,0,'Données projet'!$E$15+1,1))</f>
        <v>293.59366973965774</v>
      </c>
      <c r="EP18" s="62">
        <f t="shared" si="46"/>
        <v>288.13804536120426</v>
      </c>
      <c r="EQ18" s="16">
        <f>IF(ISNA(VLOOKUP(A18,'Données projet'!$A$191:$I$211,3,0)),0,VLOOKUP(A18,'Données projet'!$A$191:$I$211,3,0))</f>
        <v>1</v>
      </c>
      <c r="ER18" s="16">
        <f>IF(ISNA(VLOOKUP(A18,'Données projet'!$A$191:$I$211,4,0)),0,VLOOKUP(A18,'Données projet'!$A$191:$I$211,4,0))</f>
        <v>3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>
        <f>EXP(-LN(2)/35)*EV17+(1-EXP(-LN(2)/35))/(LN(2)/35)*ER18*ES18*VLOOKUP('Données projet'!$B$15,Paramètres!$A$1:$I$89,3,0)*0.475*44/12</f>
        <v>0</v>
      </c>
      <c r="EW18" s="23">
        <f>EXP(-LN(2)/25)*EW17+(1-EXP(-LN(2)/25))/(LN(2)/25)*Calculateur!ER18*Calculateur!ET18*VLOOKUP('Données projet'!$B$15,Paramètres!$A$1:$I$89,3,0)*0.475*44/12</f>
        <v>0</v>
      </c>
      <c r="EX18" s="23">
        <f>EXP(-LN(2)/2)*EX17+(1-EXP(-LN(2)/2))/(LN(2)/2)*ER18*EU18*VLOOKUP('Données projet'!$B$15,Paramètres!$A$1:$I$89,3,0)*0.475*44/12</f>
        <v>0</v>
      </c>
      <c r="EY18" s="24">
        <f t="shared" si="21"/>
        <v>0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>
        <f>VLOOKUP(A18,'Données projet'!$A$217:$I$237,2,0)</f>
        <v>40</v>
      </c>
      <c r="FC18" s="13">
        <f>VLOOKUP(A18,'Données projet'!$A$217:$I$237,9,0)</f>
        <v>2.6666666666666665</v>
      </c>
      <c r="FD18" s="13">
        <f t="array" ref="FD18">INDEX(FC:FC,MIN(IF(ISNUMBER(FC18:FC214),ROW(FC18:FC214),"")))</f>
        <v>2.6666666666666665</v>
      </c>
      <c r="FE18" s="13">
        <f>IF('Données projet'!$A$218&gt;35,FE17+FD18-FM17,IF(A18&lt;'Données projet'!$A$218,$FB$205^A18,IF(A18='Données projet'!$A$218,'Données projet'!$B$218,FE17+FD18-FM17)))</f>
        <v>40</v>
      </c>
      <c r="FF18" s="18">
        <f>FE18*VLOOKUP('Données projet'!$B$16,Paramètres!$A$1:$I$89,3,0)*VLOOKUP('Données projet'!$B$16,Paramètres!$A$1:$I$89,5,0)</f>
        <v>38.688000000000002</v>
      </c>
      <c r="FG18" s="14">
        <f t="shared" si="47"/>
        <v>11.650229083154354</v>
      </c>
      <c r="FH18" s="22">
        <f t="shared" si="22"/>
        <v>87.672415653160499</v>
      </c>
      <c r="FI18" s="62">
        <f t="shared" si="23"/>
        <v>292.16916558604157</v>
      </c>
      <c r="FJ18" s="62">
        <f ca="1">AVERAGE(OFFSET($FI$3,0,0,'Données projet'!$E$16+1,1))-AVERAGE(OFFSET($H$3,0,0,'Données projet'!$E$16+1,1))</f>
        <v>369.69145521630799</v>
      </c>
      <c r="FK18" s="62">
        <f t="shared" si="48"/>
        <v>360.24112103688719</v>
      </c>
      <c r="FL18" s="16">
        <f>IF(ISNA(VLOOKUP(A18,'Données projet'!$A$217:$I$237,3,0)),0,VLOOKUP(A18,'Données projet'!$A$217:$I$237,3,0))</f>
        <v>1</v>
      </c>
      <c r="FM18" s="16">
        <f>IF(ISNA(VLOOKUP(A18,'Données projet'!$A$217:$I$237,4,0)),0,VLOOKUP(A18,'Données projet'!$A$217:$I$237,4,0))</f>
        <v>3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>
        <f>EXP(-LN(2)/35)*FQ17+(1-EXP(-LN(2)/35))/(LN(2)/35)*FM18*FN18*VLOOKUP('Données projet'!$B$16,Paramètres!$A$1:$I$89,3,0)*0.475*44/12</f>
        <v>0</v>
      </c>
      <c r="FR18" s="23">
        <f>EXP(-LN(2)/25)*FR17+(1-EXP(-LN(2)/25))/(LN(2)/25)*Calculateur!FM18*Calculateur!FO18*VLOOKUP('Données projet'!$B$16,Paramètres!$A$1:$I$89,3,0)*0.475*44/12</f>
        <v>0</v>
      </c>
      <c r="FS18" s="23">
        <f>EXP(-LN(2)/2)*FS17+(1-EXP(-LN(2)/2))/(LN(2)/2)*FM18*FP18*VLOOKUP('Données projet'!$B$16,Paramètres!$A$1:$I$89,3,0)*0.475*44/12</f>
        <v>0</v>
      </c>
      <c r="FT18" s="24">
        <f t="shared" si="24"/>
        <v>0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>
        <f>VLOOKUP(A18,'Données projet'!$A$243:$I$263,2,0)</f>
        <v>40</v>
      </c>
      <c r="FX18" s="13">
        <f>VLOOKUP(A18,'Données projet'!$A$243:$I$263,9,0)</f>
        <v>2.6666666666666665</v>
      </c>
      <c r="FY18" s="13">
        <f t="array" ref="FY18">INDEX(FX:FX,MIN(IF(ISNUMBER(FX18:FX214),ROW(FX18:FX214),"")))</f>
        <v>2.6666666666666665</v>
      </c>
      <c r="FZ18" s="13">
        <f>IF('Données projet'!$A$244&gt;35,FZ17+FY18-GH17,IF(A18&lt;'Données projet'!$A$244,$FW$205^A18,IF(A18='Données projet'!$A$244,'Données projet'!$B$244,FZ17+FY18-GH17)))</f>
        <v>40</v>
      </c>
      <c r="GA18" s="18">
        <f>FZ18*VLOOKUP('Données projet'!$B$17,Paramètres!$A$1:$I$89,3,0)*VLOOKUP('Données projet'!$B$17,Paramètres!$A$1:$I$89,5,0)</f>
        <v>43.055999999999997</v>
      </c>
      <c r="GB18" s="14">
        <f t="shared" si="49"/>
        <v>12.80513687072918</v>
      </c>
      <c r="GC18" s="22">
        <f t="shared" si="25"/>
        <v>97.291480049853305</v>
      </c>
      <c r="GD18" s="62">
        <f t="shared" si="26"/>
        <v>301.78822998273438</v>
      </c>
      <c r="GE18" s="62">
        <f ca="1">AVERAGE(OFFSET($GD$3,0,0,'Données projet'!$E$17+1,1))-AVERAGE(OFFSET($H$3,0,0,'Données projet'!$E$17+1,1))</f>
        <v>405.06394904053946</v>
      </c>
      <c r="GF18" s="62">
        <f t="shared" si="50"/>
        <v>393.75247087518198</v>
      </c>
      <c r="GG18" s="16">
        <f>IF(ISNA(VLOOKUP(A18,'Données projet'!$A$243:$I$263,3,0)),0,VLOOKUP(A18,'Données projet'!$A$243:$I$263,3,0))</f>
        <v>1</v>
      </c>
      <c r="GH18" s="16">
        <f>IF(ISNA(VLOOKUP(A18,'Données projet'!$A$243:$I$263,4,0)),0,VLOOKUP(A18,'Données projet'!$A$243:$I$263,4,0))</f>
        <v>3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>
        <f>EXP(-LN(2)/35)*GL17+(1-EXP(-LN(2)/35))/(LN(2)/35)*GH18*GI18*VLOOKUP('Données projet'!$B$17,Paramètres!$A$1:$I$89,3,0)*0.475*44/12</f>
        <v>0</v>
      </c>
      <c r="GM18" s="23">
        <f>EXP(-LN(2)/25)*GM17+(1-EXP(-LN(2)/25))/(LN(2)/25)*Calculateur!GH18*Calculateur!GJ18*VLOOKUP('Données projet'!$B$17,Paramètres!$A$1:$I$89,3,0)*0.475*44/12</f>
        <v>0</v>
      </c>
      <c r="GN18" s="23">
        <f>EXP(-LN(2)/2)*GN17+(1-EXP(-LN(2)/2))/(LN(2)/2)*GH18*GK18*VLOOKUP('Données projet'!$B$17,Paramètres!$A$1:$I$89,3,0)*0.475*44/12</f>
        <v>0</v>
      </c>
      <c r="GO18" s="23">
        <f t="shared" si="27"/>
        <v>0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>
        <f>VLOOKUP(A18,'Données projet'!$A$269:$I$289,2,0)</f>
        <v>40</v>
      </c>
      <c r="GS18" s="13">
        <f>VLOOKUP(A18,'Données projet'!$A$269:$I$289,9,0)</f>
        <v>2.6666666666666665</v>
      </c>
      <c r="GT18" s="13">
        <f t="array" ref="GT18">INDEX(GS:GS,MIN(IF(ISNUMBER(GS18:GS214),ROW(GS18:GS214),"")))</f>
        <v>2.6666666666666665</v>
      </c>
      <c r="GU18" s="13">
        <f>IF('Données projet'!$A$270&gt;35,GU17+GT18-HC17,IF(A18&lt;'Données projet'!$A$270,$GR$205^A18,IF(A18='Données projet'!$A$270,'Données projet'!$B$270,GU17+GT18-HC17)))</f>
        <v>40</v>
      </c>
      <c r="GV18" s="18">
        <f>GU18*VLOOKUP('Données projet'!$B$18,Paramètres!$A$1:$I$89,3,0)*VLOOKUP('Données projet'!$B$18,Paramètres!$A$1:$I$89,5,0)</f>
        <v>26.832000000000001</v>
      </c>
      <c r="GW18" s="14">
        <f t="shared" si="51"/>
        <v>8.4315980680326312</v>
      </c>
      <c r="GX18" s="22">
        <f t="shared" si="28"/>
        <v>61.4174333018235</v>
      </c>
      <c r="GY18" s="62">
        <f t="shared" si="29"/>
        <v>265.91418323470452</v>
      </c>
      <c r="GZ18" s="62">
        <f ca="1">AVERAGE(OFFSET($GY$3,0,0,'Données projet'!$E$18+1,1))-AVERAGE(OFFSET($H$3,0,0,'Données projet'!$E$18+1,1))</f>
        <v>273.21861937609918</v>
      </c>
      <c r="HA18" s="62">
        <f t="shared" si="52"/>
        <v>268.83004886965318</v>
      </c>
      <c r="HB18" s="16">
        <f>IF(ISNA(VLOOKUP(A18,'Données projet'!$A$269:$I$289,3,0)),0,VLOOKUP(A18,'Données projet'!$A$269:$I$289,3,0))</f>
        <v>1</v>
      </c>
      <c r="HC18" s="16">
        <f>IF(ISNA(VLOOKUP(A18,'Données projet'!$A$269:$I$289,4,0)),0,VLOOKUP(A18,'Données projet'!$A$269:$I$289,4,0))</f>
        <v>3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>
        <f>EXP(-LN(2)/35)*HG17+(1-EXP(-LN(2)/35))/(LN(2)/35)*HC18*HD18*VLOOKUP('Données projet'!$B$18,Paramètres!$A$1:$I$89,3,0)*0.475*44/12</f>
        <v>0</v>
      </c>
      <c r="HH18" s="23">
        <f>EXP(-LN(2)/25)*HH17+(1-EXP(-LN(2)/25))/(LN(2)/25)*Calculateur!HC18*Calculateur!HE18*VLOOKUP('Données projet'!$B$18,Paramètres!$A$1:$I$89,3,0)*0.475*44/12</f>
        <v>0</v>
      </c>
      <c r="HI18" s="23">
        <f>EXP(-LN(2)/2)*HI17+(1-EXP(-LN(2)/2))/(LN(2)/2)*HC18*HF18*VLOOKUP('Données projet'!$B$18,Paramètres!$A$1:$I$89,3,0)*0.475*44/12</f>
        <v>0</v>
      </c>
      <c r="HJ18" s="24">
        <f t="shared" si="30"/>
        <v>0</v>
      </c>
    </row>
    <row r="19" spans="1:218" s="5" customFormat="1" x14ac:dyDescent="0.4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2.4423076923076925</v>
      </c>
      <c r="N19" s="14">
        <f>IF('Données projet'!$A$36&gt;35,N18+M19-V18,IF(A19&lt;'Données projet'!$A$36,$K$205^A19,IF(A19='Données projet'!$A$36,'Données projet'!$B$36,N18+M19-V18)))</f>
        <v>39.076923076923087</v>
      </c>
      <c r="O19" s="14">
        <f>N19*VLOOKUP('Données projet'!$B$9,Paramètres!$A$1:$I$89,3,0)*VLOOKUP('Données projet'!$B$9,Paramètres!$A$1:$I$89,5,0)</f>
        <v>35.356800000000007</v>
      </c>
      <c r="P19" s="14">
        <f t="shared" si="33"/>
        <v>10.759268985483914</v>
      </c>
      <c r="Q19" s="22">
        <f t="shared" si="2"/>
        <v>80.318820149717823</v>
      </c>
      <c r="R19" s="62">
        <f t="shared" si="0"/>
        <v>287.26086607183186</v>
      </c>
      <c r="S19" s="62">
        <f ca="1">AVERAGE(OFFSET($R$3,0,0,'Données projet'!$E$9+1,1))-AVERAGE(OFFSET($H$3,0,0,'Données projet'!$E$9+1,1))</f>
        <v>432.80275651765203</v>
      </c>
      <c r="T19" s="62">
        <f t="shared" si="34"/>
        <v>203.89279893419919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14.88</v>
      </c>
      <c r="AI19" s="14">
        <f>IF('Données projet'!$A$62&gt;35,AI18+AH19-AQ18,IF(A19&lt;'Données projet'!$A$62,$AF$205^A19,IF(A19='Données projet'!$A$62,'Données projet'!$B$62,AI18+AH19-AQ18)))</f>
        <v>44.172042517775871</v>
      </c>
      <c r="AJ19" s="14">
        <f>AI19*VLOOKUP('Données projet'!$B$10,Paramètres!$A$1:$I$89,3,0)*VLOOKUP('Données projet'!$B$10,Paramètres!$A$1:$I$89,5,0)</f>
        <v>19.524042792856935</v>
      </c>
      <c r="AK19" s="14">
        <f t="shared" si="35"/>
        <v>6.3664817245471932</v>
      </c>
      <c r="AL19" s="22">
        <f t="shared" si="4"/>
        <v>45.092663534478852</v>
      </c>
      <c r="AM19" s="62">
        <f t="shared" si="5"/>
        <v>252.03470945659291</v>
      </c>
      <c r="AN19" s="62">
        <f ca="1">AVERAGE(OFFSET($AM$3,0,0,'Données projet'!$E$10+1,1))-AVERAGE(OFFSET($H$3,0,0,'Données projet'!$E$10+1,1))</f>
        <v>413.08876898406481</v>
      </c>
      <c r="AO19" s="62">
        <f t="shared" si="36"/>
        <v>520.31320932826566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14.88</v>
      </c>
      <c r="BD19" s="13">
        <f>IF('Données projet'!$A$88&gt;35,BD18+BC19-BL18,IF(A19&lt;'Données projet'!$A$88,$BA$205^A19,IF(A19='Données projet'!$A$88,'Données projet'!$B$88,BD18+BC19-BL18)))</f>
        <v>44.172042517775871</v>
      </c>
      <c r="BE19" s="14">
        <f>BD19*VLOOKUP('Données projet'!$B$11,Paramètres!$A$1:$I$89,3,0)*VLOOKUP('Données projet'!$B$11,Paramètres!$A$1:$I$89,5,0)</f>
        <v>24.692171767436712</v>
      </c>
      <c r="BF19" s="14">
        <f t="shared" si="37"/>
        <v>7.8346112708701385</v>
      </c>
      <c r="BG19" s="22">
        <f t="shared" si="7"/>
        <v>56.650813791717759</v>
      </c>
      <c r="BH19" s="62">
        <f t="shared" si="8"/>
        <v>263.59285971383184</v>
      </c>
      <c r="BI19" s="62">
        <f ca="1">AVERAGE(OFFSET($BH$3,0,0,'Données projet'!$E$11+1,1))-AVERAGE(OFFSET($H$3,0,0,'Données projet'!$E$11+1,1))</f>
        <v>507.66185230065889</v>
      </c>
      <c r="BJ19" s="62">
        <f t="shared" si="38"/>
        <v>640.14375617778342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4.7916666665000003</v>
      </c>
      <c r="BY19" s="13">
        <f>IF('Données projet'!$A$114&gt;35,BY18+BX19-CG18,IF(A19&lt;'Données projet'!$A$114,$BV$205^A19,IF(A19='Données projet'!$A$114,'Données projet'!$B$114,BY18+BX19-CG18)))</f>
        <v>38.478069561854525</v>
      </c>
      <c r="BZ19" s="14">
        <f>BY19*VLOOKUP('Données projet'!$B$12,Paramètres!$A$1:$I$89,3,0)*VLOOKUP('Données projet'!$B$12,Paramètres!$A$1:$I$89,5,0)</f>
        <v>18.007736554947918</v>
      </c>
      <c r="CA19" s="14">
        <f t="shared" si="39"/>
        <v>5.9275571627923389</v>
      </c>
      <c r="CB19" s="22">
        <f t="shared" si="10"/>
        <v>41.687303225064277</v>
      </c>
      <c r="CC19" s="62">
        <f t="shared" si="11"/>
        <v>248.62934914717835</v>
      </c>
      <c r="CD19" s="62">
        <f ca="1">AVERAGE(OFFSET($CC$3,0,0,'Données projet'!$E$12+1,1))-AVERAGE(OFFSET($H$3,0,0,'Données projet'!$E$12+1,1))</f>
        <v>289.21044803824958</v>
      </c>
      <c r="CE19" s="62">
        <f t="shared" si="40"/>
        <v>196.11836398299445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>
        <f>EXP(-LN(2)/35)*CK18+(1-EXP(-LN(2)/35))/(LN(2)/35)*CG19*CH19*VLOOKUP('Données projet'!$B$12,Paramètres!$A$1:$I$89,3,0)*0.475*44/12</f>
        <v>0</v>
      </c>
      <c r="CL19" s="23">
        <f>EXP(-LN(2)/25)*CL18+(1-EXP(-LN(2)/25))/(LN(2)/25)*Calculateur!CG19*Calculateur!CI19*VLOOKUP('Données projet'!$B$12,Paramètres!$A$1:$I$89,3,0)*0.475*44/12</f>
        <v>0</v>
      </c>
      <c r="CM19" s="23">
        <f>EXP(-LN(2)/2)*CM18+(1-EXP(-LN(2)/2))/(LN(2)/2)*CG19*CJ19*VLOOKUP('Données projet'!$B$12,Paramètres!$A$1:$I$89,3,0)*0.475*44/12</f>
        <v>0</v>
      </c>
      <c r="CN19" s="24">
        <f t="shared" si="12"/>
        <v>0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12.6</v>
      </c>
      <c r="CT19" s="13">
        <f>IF('Données projet'!$A$140&gt;35,CT18+CS19-DB18,IF(A19&lt;'Données projet'!$A$140,$CQ$205^A19,IF(A19='Données projet'!$A$140,'Données projet'!$B$140,CT18+CS19-DB18)))</f>
        <v>129.6</v>
      </c>
      <c r="CU19" s="18">
        <f>CT19*VLOOKUP('Données projet'!$B$13,Paramètres!$A$1:$I$89,3,0)*VLOOKUP('Données projet'!$B$13,Paramètres!$A$1:$I$89,5,0)</f>
        <v>117.26208</v>
      </c>
      <c r="CV19" s="14">
        <f t="shared" si="41"/>
        <v>31.035569170075775</v>
      </c>
      <c r="CW19" s="22">
        <f t="shared" si="13"/>
        <v>258.28507230454863</v>
      </c>
      <c r="CX19" s="62">
        <f t="shared" si="14"/>
        <v>465.2271182266627</v>
      </c>
      <c r="CY19" s="62">
        <f ca="1">AVERAGE(OFFSET($CX$3,0,0,'Données projet'!$E$13+1,1))-AVERAGE(OFFSET($H$3,0,0,'Données projet'!$E$13+1,1))</f>
        <v>376.68007030857598</v>
      </c>
      <c r="CZ19" s="62">
        <f t="shared" si="42"/>
        <v>532.90758914457626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>
        <f>EXP(-LN(2)/35)*DF18+(1-EXP(-LN(2)/35))/(LN(2)/35)*DB19*DC19*VLOOKUP('Données projet'!$B$13,Paramètres!$A$1:$I$89,3,0)*0.475*44/12</f>
        <v>0</v>
      </c>
      <c r="DG19" s="23">
        <f>EXP(-LN(2)/25)*DG18+(1-EXP(-LN(2)/25))/(LN(2)/25)*Calculateur!DB19*Calculateur!DD19*VLOOKUP('Données projet'!$B$13,Paramètres!$A$1:$I$89,3,0)*0.475*44/12</f>
        <v>6.8863554828206492</v>
      </c>
      <c r="DH19" s="23">
        <f>EXP(-LN(2)/2)*DH18+(1-EXP(-LN(2)/2))/(LN(2)/2)*DB19*DE19*VLOOKUP('Données projet'!$B$13,Paramètres!$A$1:$I$89,3,0)*0.475*44/12</f>
        <v>0</v>
      </c>
      <c r="DI19" s="24">
        <f t="shared" si="15"/>
        <v>6.8863554828206492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9.6</v>
      </c>
      <c r="DO19" s="13">
        <f>IF('Données projet'!$A$166&gt;35,DO18+DN19-DW18,IF(A19&lt;'Données projet'!$A$166,$DL$205^A19,IF(A19='Données projet'!$A$166,'Données projet'!$B$166,DO18+DN19-DW18)))</f>
        <v>46.6</v>
      </c>
      <c r="DP19" s="18">
        <f>DO19*VLOOKUP('Données projet'!$B$14,Paramètres!$A$1:$I$89,3,0)*VLOOKUP('Données projet'!$B$14,Paramètres!$A$1:$I$89,5,0)</f>
        <v>44.344560000000001</v>
      </c>
      <c r="DQ19" s="14">
        <f t="shared" si="43"/>
        <v>13.14317220538102</v>
      </c>
      <c r="DR19" s="22">
        <f t="shared" si="16"/>
        <v>100.12446692437193</v>
      </c>
      <c r="DS19" s="62">
        <f t="shared" si="17"/>
        <v>307.06651284648598</v>
      </c>
      <c r="DT19" s="62">
        <f ca="1">AVERAGE(OFFSET($DS$3,0,0,'Données projet'!$E$14+1,1))-AVERAGE(OFFSET($H$3,0,0,'Données projet'!$E$14+1,1))</f>
        <v>364.63161066507769</v>
      </c>
      <c r="DU19" s="62">
        <f t="shared" si="44"/>
        <v>355.44729904860708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>
        <f>EXP(-LN(2)/35)*EA18+(1-EXP(-LN(2)/35))/(LN(2)/35)*DW19*DX19*VLOOKUP('Données projet'!$B$14,Paramètres!$A$1:$I$89,3,0)*0.475*44/12</f>
        <v>0</v>
      </c>
      <c r="EB19" s="23">
        <f>EXP(-LN(2)/25)*EB18+(1-EXP(-LN(2)/25))/(LN(2)/25)*Calculateur!DW19*Calculateur!DY19*VLOOKUP('Données projet'!$B$14,Paramètres!$A$1:$I$89,3,0)*0.475*44/12</f>
        <v>0</v>
      </c>
      <c r="EC19" s="23">
        <f>EXP(-LN(2)/2)*EC18+(1-EXP(-LN(2)/2))/(LN(2)/2)*DW19*DZ19*VLOOKUP('Données projet'!$B$14,Paramètres!$A$1:$I$89,3,0)*0.475*44/12</f>
        <v>0</v>
      </c>
      <c r="ED19" s="24">
        <f t="shared" si="18"/>
        <v>0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9.6</v>
      </c>
      <c r="EJ19" s="13">
        <f>IF('Données projet'!$A$192&gt;35,EJ18+EI19-ER18,IF(A19&lt;'Données projet'!$A$192,$EG$205^A19,IF(A19='Données projet'!$A$192,'Données projet'!$B$192,EJ18+EI19-ER18)))</f>
        <v>46.6</v>
      </c>
      <c r="EK19" s="18">
        <f>EJ19*VLOOKUP('Données projet'!$B$15,Paramètres!$A$1:$I$89,3,0)*VLOOKUP('Données projet'!$B$15,Paramètres!$A$1:$I$89,5,0)</f>
        <v>34.167120000000004</v>
      </c>
      <c r="EL19" s="14">
        <f t="shared" si="45"/>
        <v>10.438748234359947</v>
      </c>
      <c r="EM19" s="22">
        <f t="shared" si="19"/>
        <v>77.688553841510242</v>
      </c>
      <c r="EN19" s="62">
        <f t="shared" si="20"/>
        <v>284.63059976362433</v>
      </c>
      <c r="EO19" s="62">
        <f ca="1">AVERAGE(OFFSET($EN$3,0,0,'Données projet'!$E$15+1,1))-AVERAGE(OFFSET($H$3,0,0,'Données projet'!$E$15+1,1))</f>
        <v>293.59366973965774</v>
      </c>
      <c r="EP19" s="62">
        <f t="shared" si="46"/>
        <v>288.13804536120426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>
        <f>EXP(-LN(2)/35)*EV18+(1-EXP(-LN(2)/35))/(LN(2)/35)*ER19*ES19*VLOOKUP('Données projet'!$B$15,Paramètres!$A$1:$I$89,3,0)*0.475*44/12</f>
        <v>0</v>
      </c>
      <c r="EW19" s="23">
        <f>EXP(-LN(2)/25)*EW18+(1-EXP(-LN(2)/25))/(LN(2)/25)*Calculateur!ER19*Calculateur!ET19*VLOOKUP('Données projet'!$B$15,Paramètres!$A$1:$I$89,3,0)*0.475*44/12</f>
        <v>0</v>
      </c>
      <c r="EX19" s="23">
        <f>EXP(-LN(2)/2)*EX18+(1-EXP(-LN(2)/2))/(LN(2)/2)*ER19*EU19*VLOOKUP('Données projet'!$B$15,Paramètres!$A$1:$I$89,3,0)*0.475*44/12</f>
        <v>0</v>
      </c>
      <c r="EY19" s="24">
        <f t="shared" si="21"/>
        <v>0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9.6</v>
      </c>
      <c r="FE19" s="13">
        <f>IF('Données projet'!$A$218&gt;35,FE18+FD19-FM18,IF(A19&lt;'Données projet'!$A$218,$FB$205^A19,IF(A19='Données projet'!$A$218,'Données projet'!$B$218,FE18+FD19-FM18)))</f>
        <v>46.6</v>
      </c>
      <c r="FF19" s="18">
        <f>FE19*VLOOKUP('Données projet'!$B$16,Paramètres!$A$1:$I$89,3,0)*VLOOKUP('Données projet'!$B$16,Paramètres!$A$1:$I$89,5,0)</f>
        <v>45.07152</v>
      </c>
      <c r="FG19" s="14">
        <f t="shared" si="47"/>
        <v>13.333373742080356</v>
      </c>
      <c r="FH19" s="22">
        <f t="shared" si="22"/>
        <v>101.72185660078993</v>
      </c>
      <c r="FI19" s="62">
        <f t="shared" si="23"/>
        <v>308.66390252290398</v>
      </c>
      <c r="FJ19" s="62">
        <f ca="1">AVERAGE(OFFSET($FI$3,0,0,'Données projet'!$E$16+1,1))-AVERAGE(OFFSET($H$3,0,0,'Données projet'!$E$16+1,1))</f>
        <v>369.69145521630799</v>
      </c>
      <c r="FK19" s="62">
        <f t="shared" si="48"/>
        <v>360.24112103688719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>
        <f>EXP(-LN(2)/35)*FQ18+(1-EXP(-LN(2)/35))/(LN(2)/35)*FM19*FN19*VLOOKUP('Données projet'!$B$16,Paramètres!$A$1:$I$89,3,0)*0.475*44/12</f>
        <v>0</v>
      </c>
      <c r="FR19" s="23">
        <f>EXP(-LN(2)/25)*FR18+(1-EXP(-LN(2)/25))/(LN(2)/25)*Calculateur!FM19*Calculateur!FO19*VLOOKUP('Données projet'!$B$16,Paramètres!$A$1:$I$89,3,0)*0.475*44/12</f>
        <v>0</v>
      </c>
      <c r="FS19" s="23">
        <f>EXP(-LN(2)/2)*FS18+(1-EXP(-LN(2)/2))/(LN(2)/2)*FM19*FP19*VLOOKUP('Données projet'!$B$16,Paramètres!$A$1:$I$89,3,0)*0.475*44/12</f>
        <v>0</v>
      </c>
      <c r="FT19" s="24">
        <f t="shared" si="24"/>
        <v>0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9.6</v>
      </c>
      <c r="FZ19" s="13">
        <f>IF('Données projet'!$A$244&gt;35,FZ18+FY19-GH18,IF(A19&lt;'Données projet'!$A$244,$FW$205^A19,IF(A19='Données projet'!$A$244,'Données projet'!$B$244,FZ18+FY19-GH18)))</f>
        <v>46.6</v>
      </c>
      <c r="GA19" s="18">
        <f>FZ19*VLOOKUP('Données projet'!$B$17,Paramètres!$A$1:$I$89,3,0)*VLOOKUP('Données projet'!$B$17,Paramètres!$A$1:$I$89,5,0)</f>
        <v>50.160239999999995</v>
      </c>
      <c r="GB19" s="14">
        <f t="shared" si="49"/>
        <v>14.655134632743033</v>
      </c>
      <c r="GC19" s="22">
        <f t="shared" si="25"/>
        <v>112.88677748536077</v>
      </c>
      <c r="GD19" s="62">
        <f t="shared" si="26"/>
        <v>319.82882340747483</v>
      </c>
      <c r="GE19" s="62">
        <f ca="1">AVERAGE(OFFSET($GD$3,0,0,'Données projet'!$E$17+1,1))-AVERAGE(OFFSET($H$3,0,0,'Données projet'!$E$17+1,1))</f>
        <v>405.06394904053946</v>
      </c>
      <c r="GF19" s="62">
        <f t="shared" si="50"/>
        <v>393.75247087518198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>
        <f>EXP(-LN(2)/35)*GL18+(1-EXP(-LN(2)/35))/(LN(2)/35)*GH19*GI19*VLOOKUP('Données projet'!$B$17,Paramètres!$A$1:$I$89,3,0)*0.475*44/12</f>
        <v>0</v>
      </c>
      <c r="GM19" s="23">
        <f>EXP(-LN(2)/25)*GM18+(1-EXP(-LN(2)/25))/(LN(2)/25)*Calculateur!GH19*Calculateur!GJ19*VLOOKUP('Données projet'!$B$17,Paramètres!$A$1:$I$89,3,0)*0.475*44/12</f>
        <v>0</v>
      </c>
      <c r="GN19" s="23">
        <f>EXP(-LN(2)/2)*GN18+(1-EXP(-LN(2)/2))/(LN(2)/2)*GH19*GK19*VLOOKUP('Données projet'!$B$17,Paramètres!$A$1:$I$89,3,0)*0.475*44/12</f>
        <v>0</v>
      </c>
      <c r="GO19" s="23">
        <f t="shared" si="27"/>
        <v>0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9.6</v>
      </c>
      <c r="GU19" s="13">
        <f>IF('Données projet'!$A$270&gt;35,GU18+GT19-HC18,IF(A19&lt;'Données projet'!$A$270,$GR$205^A19,IF(A19='Données projet'!$A$270,'Données projet'!$B$270,GU18+GT19-HC18)))</f>
        <v>46.6</v>
      </c>
      <c r="GV19" s="18">
        <f>GU19*VLOOKUP('Données projet'!$B$18,Paramètres!$A$1:$I$89,3,0)*VLOOKUP('Données projet'!$B$18,Paramètres!$A$1:$I$89,5,0)</f>
        <v>31.25928</v>
      </c>
      <c r="GW19" s="14">
        <f t="shared" si="51"/>
        <v>9.6497371409320873</v>
      </c>
      <c r="GX19" s="22">
        <f t="shared" si="28"/>
        <v>71.249871520456722</v>
      </c>
      <c r="GY19" s="62">
        <f t="shared" si="29"/>
        <v>278.1919174425708</v>
      </c>
      <c r="GZ19" s="62">
        <f ca="1">AVERAGE(OFFSET($GY$3,0,0,'Données projet'!$E$18+1,1))-AVERAGE(OFFSET($H$3,0,0,'Données projet'!$E$18+1,1))</f>
        <v>273.21861937609918</v>
      </c>
      <c r="HA19" s="62">
        <f t="shared" si="52"/>
        <v>268.83004886965318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>
        <f>EXP(-LN(2)/35)*HG18+(1-EXP(-LN(2)/35))/(LN(2)/35)*HC19*HD19*VLOOKUP('Données projet'!$B$18,Paramètres!$A$1:$I$89,3,0)*0.475*44/12</f>
        <v>0</v>
      </c>
      <c r="HH19" s="23">
        <f>EXP(-LN(2)/25)*HH18+(1-EXP(-LN(2)/25))/(LN(2)/25)*Calculateur!HC19*Calculateur!HE19*VLOOKUP('Données projet'!$B$18,Paramètres!$A$1:$I$89,3,0)*0.475*44/12</f>
        <v>0</v>
      </c>
      <c r="HI19" s="23">
        <f>EXP(-LN(2)/2)*HI18+(1-EXP(-LN(2)/2))/(LN(2)/2)*HC19*HF19*VLOOKUP('Données projet'!$B$18,Paramètres!$A$1:$I$89,3,0)*0.475*44/12</f>
        <v>0</v>
      </c>
      <c r="HJ19" s="24">
        <f t="shared" si="30"/>
        <v>0</v>
      </c>
    </row>
    <row r="20" spans="1:218" s="5" customFormat="1" x14ac:dyDescent="0.4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2.4423076923076925</v>
      </c>
      <c r="N20" s="14">
        <f>IF('Données projet'!$A$36&gt;35,N19+M20-V19,IF(A20&lt;'Données projet'!$A$36,$K$205^A20,IF(A20='Données projet'!$A$36,'Données projet'!$B$36,N19+M20-V19)))</f>
        <v>41.519230769230781</v>
      </c>
      <c r="O20" s="14">
        <f>N20*VLOOKUP('Données projet'!$B$9,Paramètres!$A$1:$I$89,3,0)*VLOOKUP('Données projet'!$B$9,Paramètres!$A$1:$I$89,5,0)</f>
        <v>37.566600000000008</v>
      </c>
      <c r="P20" s="14">
        <f t="shared" si="33"/>
        <v>11.351336951915854</v>
      </c>
      <c r="Q20" s="22">
        <f t="shared" si="2"/>
        <v>85.198740191253449</v>
      </c>
      <c r="R20" s="62">
        <f t="shared" si="0"/>
        <v>294.56486450712617</v>
      </c>
      <c r="S20" s="62">
        <f ca="1">AVERAGE(OFFSET($R$3,0,0,'Données projet'!$E$9+1,1))-AVERAGE(OFFSET($H$3,0,0,'Données projet'!$E$9+1,1))</f>
        <v>432.80275651765203</v>
      </c>
      <c r="T20" s="62">
        <f t="shared" si="34"/>
        <v>203.89279893419919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14.88</v>
      </c>
      <c r="AI20" s="14">
        <f>IF('Données projet'!$A$62&gt;35,AI19+AH20-AQ19,IF(A20&lt;'Données projet'!$A$62,$AF$205^A20,IF(A20='Données projet'!$A$62,'Données projet'!$B$62,AI19+AH20-AQ19)))</f>
        <v>55.971790397133688</v>
      </c>
      <c r="AJ20" s="14">
        <f>AI20*VLOOKUP('Données projet'!$B$10,Paramètres!$A$1:$I$89,3,0)*VLOOKUP('Données projet'!$B$10,Paramètres!$A$1:$I$89,5,0)</f>
        <v>24.739531355533096</v>
      </c>
      <c r="AK20" s="14">
        <f t="shared" si="35"/>
        <v>7.8478874572260047</v>
      </c>
      <c r="AL20" s="22">
        <f t="shared" si="4"/>
        <v>56.756421098888758</v>
      </c>
      <c r="AM20" s="62">
        <f t="shared" si="5"/>
        <v>266.12254541476148</v>
      </c>
      <c r="AN20" s="62">
        <f ca="1">AVERAGE(OFFSET($AM$3,0,0,'Données projet'!$E$10+1,1))-AVERAGE(OFFSET($H$3,0,0,'Données projet'!$E$10+1,1))</f>
        <v>413.08876898406481</v>
      </c>
      <c r="AO20" s="62">
        <f t="shared" si="36"/>
        <v>520.31320932826566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14.88</v>
      </c>
      <c r="BD20" s="13">
        <f>IF('Données projet'!$A$88&gt;35,BD19+BC20-BL19,IF(A20&lt;'Données projet'!$A$88,$BA$205^A20,IF(A20='Données projet'!$A$88,'Données projet'!$B$88,BD19+BC20-BL19)))</f>
        <v>55.971790397133688</v>
      </c>
      <c r="BE20" s="14">
        <f>BD20*VLOOKUP('Données projet'!$B$11,Paramètres!$A$1:$I$89,3,0)*VLOOKUP('Données projet'!$B$11,Paramètres!$A$1:$I$89,5,0)</f>
        <v>31.28823083199773</v>
      </c>
      <c r="BF20" s="14">
        <f t="shared" si="37"/>
        <v>9.6576335541552591</v>
      </c>
      <c r="BG20" s="22">
        <f t="shared" si="7"/>
        <v>71.314047139216441</v>
      </c>
      <c r="BH20" s="62">
        <f t="shared" si="8"/>
        <v>280.68017145508918</v>
      </c>
      <c r="BI20" s="62">
        <f ca="1">AVERAGE(OFFSET($BH$3,0,0,'Données projet'!$E$11+1,1))-AVERAGE(OFFSET($H$3,0,0,'Données projet'!$E$11+1,1))</f>
        <v>507.66185230065889</v>
      </c>
      <c r="BJ20" s="62">
        <f t="shared" si="38"/>
        <v>640.14375617778342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4.7916666665000003</v>
      </c>
      <c r="BY20" s="13">
        <f>IF('Données projet'!$A$114&gt;35,BY19+BX20-CG19,IF(A20&lt;'Données projet'!$A$114,$BV$205^A20,IF(A20='Données projet'!$A$114,'Données projet'!$B$114,BY19+BX20-CG19)))</f>
        <v>48.338047612400075</v>
      </c>
      <c r="BZ20" s="14">
        <f>BY20*VLOOKUP('Données projet'!$B$12,Paramètres!$A$1:$I$89,3,0)*VLOOKUP('Données projet'!$B$12,Paramètres!$A$1:$I$89,5,0)</f>
        <v>22.622206282603237</v>
      </c>
      <c r="CA20" s="14">
        <f t="shared" si="39"/>
        <v>7.2513547800345437</v>
      </c>
      <c r="CB20" s="22">
        <f t="shared" si="10"/>
        <v>52.029785517427463</v>
      </c>
      <c r="CC20" s="62">
        <f t="shared" si="11"/>
        <v>261.39590983330021</v>
      </c>
      <c r="CD20" s="62">
        <f ca="1">AVERAGE(OFFSET($CC$3,0,0,'Données projet'!$E$12+1,1))-AVERAGE(OFFSET($H$3,0,0,'Données projet'!$E$12+1,1))</f>
        <v>289.21044803824958</v>
      </c>
      <c r="CE20" s="62">
        <f t="shared" si="40"/>
        <v>196.11836398299445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>
        <f>EXP(-LN(2)/35)*CK19+(1-EXP(-LN(2)/35))/(LN(2)/35)*CG20*CH20*VLOOKUP('Données projet'!$B$12,Paramètres!$A$1:$I$89,3,0)*0.475*44/12</f>
        <v>0</v>
      </c>
      <c r="CL20" s="23">
        <f>EXP(-LN(2)/25)*CL19+(1-EXP(-LN(2)/25))/(LN(2)/25)*Calculateur!CG20*Calculateur!CI20*VLOOKUP('Données projet'!$B$12,Paramètres!$A$1:$I$89,3,0)*0.475*44/12</f>
        <v>0</v>
      </c>
      <c r="CM20" s="23">
        <f>EXP(-LN(2)/2)*CM19+(1-EXP(-LN(2)/2))/(LN(2)/2)*CG20*CJ20*VLOOKUP('Données projet'!$B$12,Paramètres!$A$1:$I$89,3,0)*0.475*44/12</f>
        <v>0</v>
      </c>
      <c r="CN20" s="24">
        <f t="shared" si="12"/>
        <v>0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12.6</v>
      </c>
      <c r="CT20" s="13">
        <f>IF('Données projet'!$A$140&gt;35,CT19+CS20-DB19,IF(A20&lt;'Données projet'!$A$140,$CQ$205^A20,IF(A20='Données projet'!$A$140,'Données projet'!$B$140,CT19+CS20-DB19)))</f>
        <v>142.19999999999999</v>
      </c>
      <c r="CU20" s="18">
        <f>CT20*VLOOKUP('Données projet'!$B$13,Paramètres!$A$1:$I$89,3,0)*VLOOKUP('Données projet'!$B$13,Paramètres!$A$1:$I$89,5,0)</f>
        <v>128.66255999999998</v>
      </c>
      <c r="CV20" s="14">
        <f t="shared" si="41"/>
        <v>33.687130461083775</v>
      </c>
      <c r="CW20" s="22">
        <f t="shared" si="13"/>
        <v>282.75904421972086</v>
      </c>
      <c r="CX20" s="62">
        <f t="shared" si="14"/>
        <v>492.12516853559362</v>
      </c>
      <c r="CY20" s="62">
        <f ca="1">AVERAGE(OFFSET($CX$3,0,0,'Données projet'!$E$13+1,1))-AVERAGE(OFFSET($H$3,0,0,'Données projet'!$E$13+1,1))</f>
        <v>376.68007030857598</v>
      </c>
      <c r="CZ20" s="62">
        <f t="shared" si="42"/>
        <v>532.90758914457626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>
        <f>EXP(-LN(2)/35)*DF19+(1-EXP(-LN(2)/35))/(LN(2)/35)*DB20*DC20*VLOOKUP('Données projet'!$B$13,Paramètres!$A$1:$I$89,3,0)*0.475*44/12</f>
        <v>0</v>
      </c>
      <c r="DG20" s="23">
        <f>EXP(-LN(2)/25)*DG19+(1-EXP(-LN(2)/25))/(LN(2)/25)*Calculateur!DB20*Calculateur!DD20*VLOOKUP('Données projet'!$B$13,Paramètres!$A$1:$I$89,3,0)*0.475*44/12</f>
        <v>6.6980477300052224</v>
      </c>
      <c r="DH20" s="23">
        <f>EXP(-LN(2)/2)*DH19+(1-EXP(-LN(2)/2))/(LN(2)/2)*DB20*DE20*VLOOKUP('Données projet'!$B$13,Paramètres!$A$1:$I$89,3,0)*0.475*44/12</f>
        <v>0</v>
      </c>
      <c r="DI20" s="24">
        <f t="shared" si="15"/>
        <v>6.6980477300052224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9.6</v>
      </c>
      <c r="DO20" s="13">
        <f>IF('Données projet'!$A$166&gt;35,DO19+DN20-DW19,IF(A20&lt;'Données projet'!$A$166,$DL$205^A20,IF(A20='Données projet'!$A$166,'Données projet'!$B$166,DO19+DN20-DW19)))</f>
        <v>56.2</v>
      </c>
      <c r="DP20" s="18">
        <f>DO20*VLOOKUP('Données projet'!$B$14,Paramètres!$A$1:$I$89,3,0)*VLOOKUP('Données projet'!$B$14,Paramètres!$A$1:$I$89,5,0)</f>
        <v>53.479920000000007</v>
      </c>
      <c r="DQ20" s="14">
        <f t="shared" si="43"/>
        <v>15.508914817521113</v>
      </c>
      <c r="DR20" s="22">
        <f t="shared" si="16"/>
        <v>120.15555397384929</v>
      </c>
      <c r="DS20" s="62">
        <f t="shared" si="17"/>
        <v>329.52167828972199</v>
      </c>
      <c r="DT20" s="62">
        <f ca="1">AVERAGE(OFFSET($DS$3,0,0,'Données projet'!$E$14+1,1))-AVERAGE(OFFSET($H$3,0,0,'Données projet'!$E$14+1,1))</f>
        <v>364.63161066507769</v>
      </c>
      <c r="DU20" s="62">
        <f t="shared" si="44"/>
        <v>355.44729904860708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>
        <f>EXP(-LN(2)/35)*EA19+(1-EXP(-LN(2)/35))/(LN(2)/35)*DW20*DX20*VLOOKUP('Données projet'!$B$14,Paramètres!$A$1:$I$89,3,0)*0.475*44/12</f>
        <v>0</v>
      </c>
      <c r="EB20" s="23">
        <f>EXP(-LN(2)/25)*EB19+(1-EXP(-LN(2)/25))/(LN(2)/25)*Calculateur!DW20*Calculateur!DY20*VLOOKUP('Données projet'!$B$14,Paramètres!$A$1:$I$89,3,0)*0.475*44/12</f>
        <v>0</v>
      </c>
      <c r="EC20" s="23">
        <f>EXP(-LN(2)/2)*EC19+(1-EXP(-LN(2)/2))/(LN(2)/2)*DW20*DZ20*VLOOKUP('Données projet'!$B$14,Paramètres!$A$1:$I$89,3,0)*0.475*44/12</f>
        <v>0</v>
      </c>
      <c r="ED20" s="24">
        <f t="shared" si="18"/>
        <v>0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9.6</v>
      </c>
      <c r="EJ20" s="13">
        <f>IF('Données projet'!$A$192&gt;35,EJ19+EI20-ER19,IF(A20&lt;'Données projet'!$A$192,$EG$205^A20,IF(A20='Données projet'!$A$192,'Données projet'!$B$192,EJ19+EI20-ER19)))</f>
        <v>56.2</v>
      </c>
      <c r="EK20" s="18">
        <f>EJ20*VLOOKUP('Données projet'!$B$15,Paramètres!$A$1:$I$89,3,0)*VLOOKUP('Données projet'!$B$15,Paramètres!$A$1:$I$89,5,0)</f>
        <v>41.205840000000002</v>
      </c>
      <c r="EL20" s="14">
        <f t="shared" si="45"/>
        <v>12.317700372361823</v>
      </c>
      <c r="EM20" s="22">
        <f t="shared" si="19"/>
        <v>93.220166148530168</v>
      </c>
      <c r="EN20" s="62">
        <f t="shared" si="20"/>
        <v>302.58629046440291</v>
      </c>
      <c r="EO20" s="62">
        <f ca="1">AVERAGE(OFFSET($EN$3,0,0,'Données projet'!$E$15+1,1))-AVERAGE(OFFSET($H$3,0,0,'Données projet'!$E$15+1,1))</f>
        <v>293.59366973965774</v>
      </c>
      <c r="EP20" s="62">
        <f t="shared" si="46"/>
        <v>288.13804536120426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>
        <f>EXP(-LN(2)/35)*EV19+(1-EXP(-LN(2)/35))/(LN(2)/35)*ER20*ES20*VLOOKUP('Données projet'!$B$15,Paramètres!$A$1:$I$89,3,0)*0.475*44/12</f>
        <v>0</v>
      </c>
      <c r="EW20" s="23">
        <f>EXP(-LN(2)/25)*EW19+(1-EXP(-LN(2)/25))/(LN(2)/25)*Calculateur!ER20*Calculateur!ET20*VLOOKUP('Données projet'!$B$15,Paramètres!$A$1:$I$89,3,0)*0.475*44/12</f>
        <v>0</v>
      </c>
      <c r="EX20" s="23">
        <f>EXP(-LN(2)/2)*EX19+(1-EXP(-LN(2)/2))/(LN(2)/2)*ER20*EU20*VLOOKUP('Données projet'!$B$15,Paramètres!$A$1:$I$89,3,0)*0.475*44/12</f>
        <v>0</v>
      </c>
      <c r="EY20" s="24">
        <f t="shared" si="21"/>
        <v>0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9.6</v>
      </c>
      <c r="FE20" s="13">
        <f>IF('Données projet'!$A$218&gt;35,FE19+FD20-FM19,IF(A20&lt;'Données projet'!$A$218,$FB$205^A20,IF(A20='Données projet'!$A$218,'Données projet'!$B$218,FE19+FD20-FM19)))</f>
        <v>56.2</v>
      </c>
      <c r="FF20" s="18">
        <f>FE20*VLOOKUP('Données projet'!$B$16,Paramètres!$A$1:$I$89,3,0)*VLOOKUP('Données projet'!$B$16,Paramètres!$A$1:$I$89,5,0)</f>
        <v>54.356640000000006</v>
      </c>
      <c r="FG20" s="14">
        <f t="shared" si="47"/>
        <v>15.733352220055027</v>
      </c>
      <c r="FH20" s="22">
        <f t="shared" si="22"/>
        <v>122.07340311659584</v>
      </c>
      <c r="FI20" s="62">
        <f t="shared" si="23"/>
        <v>331.43952743246859</v>
      </c>
      <c r="FJ20" s="62">
        <f ca="1">AVERAGE(OFFSET($FI$3,0,0,'Données projet'!$E$16+1,1))-AVERAGE(OFFSET($H$3,0,0,'Données projet'!$E$16+1,1))</f>
        <v>369.69145521630799</v>
      </c>
      <c r="FK20" s="62">
        <f t="shared" si="48"/>
        <v>360.24112103688719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>
        <f>EXP(-LN(2)/35)*FQ19+(1-EXP(-LN(2)/35))/(LN(2)/35)*FM20*FN20*VLOOKUP('Données projet'!$B$16,Paramètres!$A$1:$I$89,3,0)*0.475*44/12</f>
        <v>0</v>
      </c>
      <c r="FR20" s="23">
        <f>EXP(-LN(2)/25)*FR19+(1-EXP(-LN(2)/25))/(LN(2)/25)*Calculateur!FM20*Calculateur!FO20*VLOOKUP('Données projet'!$B$16,Paramètres!$A$1:$I$89,3,0)*0.475*44/12</f>
        <v>0</v>
      </c>
      <c r="FS20" s="23">
        <f>EXP(-LN(2)/2)*FS19+(1-EXP(-LN(2)/2))/(LN(2)/2)*FM20*FP20*VLOOKUP('Données projet'!$B$16,Paramètres!$A$1:$I$89,3,0)*0.475*44/12</f>
        <v>0</v>
      </c>
      <c r="FT20" s="24">
        <f t="shared" si="24"/>
        <v>0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9.6</v>
      </c>
      <c r="FZ20" s="13">
        <f>IF('Données projet'!$A$244&gt;35,FZ19+FY20-GH19,IF(A20&lt;'Données projet'!$A$244,$FW$205^A20,IF(A20='Données projet'!$A$244,'Données projet'!$B$244,FZ19+FY20-GH19)))</f>
        <v>56.2</v>
      </c>
      <c r="GA20" s="18">
        <f>FZ20*VLOOKUP('Données projet'!$B$17,Paramètres!$A$1:$I$89,3,0)*VLOOKUP('Données projet'!$B$17,Paramètres!$A$1:$I$89,5,0)</f>
        <v>60.493679999999998</v>
      </c>
      <c r="GB20" s="14">
        <f t="shared" si="49"/>
        <v>17.293027216478315</v>
      </c>
      <c r="GC20" s="22">
        <f t="shared" si="25"/>
        <v>135.47851506869969</v>
      </c>
      <c r="GD20" s="62">
        <f t="shared" si="26"/>
        <v>344.84463938457242</v>
      </c>
      <c r="GE20" s="62">
        <f ca="1">AVERAGE(OFFSET($GD$3,0,0,'Données projet'!$E$17+1,1))-AVERAGE(OFFSET($H$3,0,0,'Données projet'!$E$17+1,1))</f>
        <v>405.06394904053946</v>
      </c>
      <c r="GF20" s="62">
        <f t="shared" si="50"/>
        <v>393.75247087518198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>
        <f>EXP(-LN(2)/35)*GL19+(1-EXP(-LN(2)/35))/(LN(2)/35)*GH20*GI20*VLOOKUP('Données projet'!$B$17,Paramètres!$A$1:$I$89,3,0)*0.475*44/12</f>
        <v>0</v>
      </c>
      <c r="GM20" s="23">
        <f>EXP(-LN(2)/25)*GM19+(1-EXP(-LN(2)/25))/(LN(2)/25)*Calculateur!GH20*Calculateur!GJ20*VLOOKUP('Données projet'!$B$17,Paramètres!$A$1:$I$89,3,0)*0.475*44/12</f>
        <v>0</v>
      </c>
      <c r="GN20" s="23">
        <f>EXP(-LN(2)/2)*GN19+(1-EXP(-LN(2)/2))/(LN(2)/2)*GH20*GK20*VLOOKUP('Données projet'!$B$17,Paramètres!$A$1:$I$89,3,0)*0.475*44/12</f>
        <v>0</v>
      </c>
      <c r="GO20" s="23">
        <f t="shared" si="27"/>
        <v>0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9.6</v>
      </c>
      <c r="GU20" s="13">
        <f>IF('Données projet'!$A$270&gt;35,GU19+GT20-HC19,IF(A20&lt;'Données projet'!$A$270,$GR$205^A20,IF(A20='Données projet'!$A$270,'Données projet'!$B$270,GU19+GT20-HC19)))</f>
        <v>56.2</v>
      </c>
      <c r="GV20" s="18">
        <f>GU20*VLOOKUP('Données projet'!$B$18,Paramètres!$A$1:$I$89,3,0)*VLOOKUP('Données projet'!$B$18,Paramètres!$A$1:$I$89,5,0)</f>
        <v>37.69896</v>
      </c>
      <c r="GW20" s="14">
        <f t="shared" si="51"/>
        <v>11.38666898611536</v>
      </c>
      <c r="GX20" s="22">
        <f t="shared" si="28"/>
        <v>85.490803817484263</v>
      </c>
      <c r="GY20" s="62">
        <f t="shared" si="29"/>
        <v>294.85692813335697</v>
      </c>
      <c r="GZ20" s="62">
        <f ca="1">AVERAGE(OFFSET($GY$3,0,0,'Données projet'!$E$18+1,1))-AVERAGE(OFFSET($H$3,0,0,'Données projet'!$E$18+1,1))</f>
        <v>273.21861937609918</v>
      </c>
      <c r="HA20" s="62">
        <f t="shared" si="52"/>
        <v>268.83004886965318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>
        <f>EXP(-LN(2)/35)*HG19+(1-EXP(-LN(2)/35))/(LN(2)/35)*HC20*HD20*VLOOKUP('Données projet'!$B$18,Paramètres!$A$1:$I$89,3,0)*0.475*44/12</f>
        <v>0</v>
      </c>
      <c r="HH20" s="23">
        <f>EXP(-LN(2)/25)*HH19+(1-EXP(-LN(2)/25))/(LN(2)/25)*Calculateur!HC20*Calculateur!HE20*VLOOKUP('Données projet'!$B$18,Paramètres!$A$1:$I$89,3,0)*0.475*44/12</f>
        <v>0</v>
      </c>
      <c r="HI20" s="23">
        <f>EXP(-LN(2)/2)*HI19+(1-EXP(-LN(2)/2))/(LN(2)/2)*HC20*HF20*VLOOKUP('Données projet'!$B$18,Paramètres!$A$1:$I$89,3,0)*0.475*44/12</f>
        <v>0</v>
      </c>
      <c r="HJ20" s="24">
        <f t="shared" si="30"/>
        <v>0</v>
      </c>
    </row>
    <row r="21" spans="1:218" s="5" customFormat="1" x14ac:dyDescent="0.4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2.4423076923076925</v>
      </c>
      <c r="N21" s="14">
        <f>IF('Données projet'!$A$36&gt;35,N20+M21-V20,IF(A21&lt;'Données projet'!$A$36,$K$205^A21,IF(A21='Données projet'!$A$36,'Données projet'!$B$36,N20+M21-V20)))</f>
        <v>43.961538461538474</v>
      </c>
      <c r="O21" s="14">
        <f>N21*VLOOKUP('Données projet'!$B$9,Paramètres!$A$1:$I$89,3,0)*VLOOKUP('Données projet'!$B$9,Paramètres!$A$1:$I$89,5,0)</f>
        <v>39.77640000000001</v>
      </c>
      <c r="P21" s="14">
        <f t="shared" si="33"/>
        <v>11.93936238061127</v>
      </c>
      <c r="Q21" s="22">
        <f t="shared" si="2"/>
        <v>90.071619479564632</v>
      </c>
      <c r="R21" s="62">
        <f t="shared" si="0"/>
        <v>301.84097267156773</v>
      </c>
      <c r="S21" s="62">
        <f ca="1">AVERAGE(OFFSET($R$3,0,0,'Données projet'!$E$9+1,1))-AVERAGE(OFFSET($H$3,0,0,'Données projet'!$E$9+1,1))</f>
        <v>432.80275651765203</v>
      </c>
      <c r="T21" s="62">
        <f t="shared" si="34"/>
        <v>203.89279893419919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14.88</v>
      </c>
      <c r="AI21" s="14">
        <f>IF('Données projet'!$A$62&gt;35,AI20+AH21-AQ20,IF(A21&lt;'Données projet'!$A$62,$AF$205^A21,IF(A21='Données projet'!$A$62,'Données projet'!$B$62,AI20+AH21-AQ20)))</f>
        <v>70.923623669879831</v>
      </c>
      <c r="AJ21" s="14">
        <f>AI21*VLOOKUP('Données projet'!$B$10,Paramètres!$A$1:$I$89,3,0)*VLOOKUP('Données projet'!$B$10,Paramètres!$A$1:$I$89,5,0)</f>
        <v>31.348241662086892</v>
      </c>
      <c r="AK21" s="14">
        <f t="shared" si="35"/>
        <v>9.6739989535846291</v>
      </c>
      <c r="AL21" s="22">
        <f t="shared" si="4"/>
        <v>71.447069072294553</v>
      </c>
      <c r="AM21" s="62">
        <f t="shared" si="5"/>
        <v>283.21642226429765</v>
      </c>
      <c r="AN21" s="62">
        <f ca="1">AVERAGE(OFFSET($AM$3,0,0,'Données projet'!$E$10+1,1))-AVERAGE(OFFSET($H$3,0,0,'Données projet'!$E$10+1,1))</f>
        <v>413.08876898406481</v>
      </c>
      <c r="AO21" s="62">
        <f t="shared" si="36"/>
        <v>520.31320932826566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14.88</v>
      </c>
      <c r="BD21" s="13">
        <f>IF('Données projet'!$A$88&gt;35,BD20+BC21-BL20,IF(A21&lt;'Données projet'!$A$88,$BA$205^A21,IF(A21='Données projet'!$A$88,'Données projet'!$B$88,BD20+BC21-BL20)))</f>
        <v>70.923623669879831</v>
      </c>
      <c r="BE21" s="14">
        <f>BD21*VLOOKUP('Données projet'!$B$11,Paramètres!$A$1:$I$89,3,0)*VLOOKUP('Données projet'!$B$11,Paramètres!$A$1:$I$89,5,0)</f>
        <v>39.646305631462823</v>
      </c>
      <c r="BF21" s="14">
        <f t="shared" si="37"/>
        <v>11.904851771412357</v>
      </c>
      <c r="BG21" s="22">
        <f t="shared" si="7"/>
        <v>89.784932476674257</v>
      </c>
      <c r="BH21" s="62">
        <f t="shared" si="8"/>
        <v>301.55428566867738</v>
      </c>
      <c r="BI21" s="62">
        <f ca="1">AVERAGE(OFFSET($BH$3,0,0,'Données projet'!$E$11+1,1))-AVERAGE(OFFSET($H$3,0,0,'Données projet'!$E$11+1,1))</f>
        <v>507.66185230065889</v>
      </c>
      <c r="BJ21" s="62">
        <f t="shared" si="38"/>
        <v>640.14375617778342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4.7916666665000003</v>
      </c>
      <c r="BY21" s="13">
        <f>IF('Données projet'!$A$114&gt;35,BY20+BX21-CG20,IF(A21&lt;'Données projet'!$A$114,$BV$205^A21,IF(A21='Données projet'!$A$114,'Données projet'!$B$114,BY20+BX21-CG20)))</f>
        <v>60.724638049280593</v>
      </c>
      <c r="BZ21" s="14">
        <f>BY21*VLOOKUP('Données projet'!$B$12,Paramètres!$A$1:$I$89,3,0)*VLOOKUP('Données projet'!$B$12,Paramètres!$A$1:$I$89,5,0)</f>
        <v>28.419130607063316</v>
      </c>
      <c r="CA21" s="14">
        <f t="shared" si="39"/>
        <v>8.8707952874737916</v>
      </c>
      <c r="CB21" s="22">
        <f t="shared" si="10"/>
        <v>64.946620932985454</v>
      </c>
      <c r="CC21" s="62">
        <f t="shared" si="11"/>
        <v>276.71597412498858</v>
      </c>
      <c r="CD21" s="62">
        <f ca="1">AVERAGE(OFFSET($CC$3,0,0,'Données projet'!$E$12+1,1))-AVERAGE(OFFSET($H$3,0,0,'Données projet'!$E$12+1,1))</f>
        <v>289.21044803824958</v>
      </c>
      <c r="CE21" s="62">
        <f t="shared" si="40"/>
        <v>196.11836398299445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>
        <f>EXP(-LN(2)/35)*CK20+(1-EXP(-LN(2)/35))/(LN(2)/35)*CG21*CH21*VLOOKUP('Données projet'!$B$12,Paramètres!$A$1:$I$89,3,0)*0.475*44/12</f>
        <v>0</v>
      </c>
      <c r="CL21" s="23">
        <f>EXP(-LN(2)/25)*CL20+(1-EXP(-LN(2)/25))/(LN(2)/25)*Calculateur!CG21*Calculateur!CI21*VLOOKUP('Données projet'!$B$12,Paramètres!$A$1:$I$89,3,0)*0.475*44/12</f>
        <v>0</v>
      </c>
      <c r="CM21" s="23">
        <f>EXP(-LN(2)/2)*CM20+(1-EXP(-LN(2)/2))/(LN(2)/2)*CG21*CJ21*VLOOKUP('Données projet'!$B$12,Paramètres!$A$1:$I$89,3,0)*0.475*44/12</f>
        <v>0</v>
      </c>
      <c r="CN21" s="24">
        <f t="shared" si="12"/>
        <v>0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12.6</v>
      </c>
      <c r="CT21" s="13">
        <f>IF('Données projet'!$A$140&gt;35,CT20+CS21-DB20,IF(A21&lt;'Données projet'!$A$140,$CQ$205^A21,IF(A21='Données projet'!$A$140,'Données projet'!$B$140,CT20+CS21-DB20)))</f>
        <v>154.79999999999998</v>
      </c>
      <c r="CU21" s="18">
        <f>CT21*VLOOKUP('Données projet'!$B$13,Paramètres!$A$1:$I$89,3,0)*VLOOKUP('Données projet'!$B$13,Paramètres!$A$1:$I$89,5,0)</f>
        <v>140.06303999999997</v>
      </c>
      <c r="CV21" s="14">
        <f t="shared" si="41"/>
        <v>36.31144669536954</v>
      </c>
      <c r="CW21" s="22">
        <f t="shared" si="13"/>
        <v>307.18556432776853</v>
      </c>
      <c r="CX21" s="62">
        <f t="shared" si="14"/>
        <v>518.9549175197717</v>
      </c>
      <c r="CY21" s="62">
        <f ca="1">AVERAGE(OFFSET($CX$3,0,0,'Données projet'!$E$13+1,1))-AVERAGE(OFFSET($H$3,0,0,'Données projet'!$E$13+1,1))</f>
        <v>376.68007030857598</v>
      </c>
      <c r="CZ21" s="62">
        <f t="shared" si="42"/>
        <v>532.90758914457626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>
        <f>EXP(-LN(2)/35)*DF20+(1-EXP(-LN(2)/35))/(LN(2)/35)*DB21*DC21*VLOOKUP('Données projet'!$B$13,Paramètres!$A$1:$I$89,3,0)*0.475*44/12</f>
        <v>0</v>
      </c>
      <c r="DG21" s="23">
        <f>EXP(-LN(2)/25)*DG20+(1-EXP(-LN(2)/25))/(LN(2)/25)*Calculateur!DB21*Calculateur!DD21*VLOOKUP('Données projet'!$B$13,Paramètres!$A$1:$I$89,3,0)*0.475*44/12</f>
        <v>6.5148892625932078</v>
      </c>
      <c r="DH21" s="23">
        <f>EXP(-LN(2)/2)*DH20+(1-EXP(-LN(2)/2))/(LN(2)/2)*DB21*DE21*VLOOKUP('Données projet'!$B$13,Paramètres!$A$1:$I$89,3,0)*0.475*44/12</f>
        <v>0</v>
      </c>
      <c r="DI21" s="24">
        <f t="shared" si="15"/>
        <v>6.5148892625932078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9.6</v>
      </c>
      <c r="DO21" s="13">
        <f>IF('Données projet'!$A$166&gt;35,DO20+DN21-DW20,IF(A21&lt;'Données projet'!$A$166,$DL$205^A21,IF(A21='Données projet'!$A$166,'Données projet'!$B$166,DO20+DN21-DW20)))</f>
        <v>65.8</v>
      </c>
      <c r="DP21" s="18">
        <f>DO21*VLOOKUP('Données projet'!$B$14,Paramètres!$A$1:$I$89,3,0)*VLOOKUP('Données projet'!$B$14,Paramètres!$A$1:$I$89,5,0)</f>
        <v>62.615279999999998</v>
      </c>
      <c r="DQ21" s="14">
        <f t="shared" si="43"/>
        <v>17.827843038990409</v>
      </c>
      <c r="DR21" s="22">
        <f t="shared" si="16"/>
        <v>140.10510595957496</v>
      </c>
      <c r="DS21" s="62">
        <f t="shared" si="17"/>
        <v>351.87445915157809</v>
      </c>
      <c r="DT21" s="62">
        <f ca="1">AVERAGE(OFFSET($DS$3,0,0,'Données projet'!$E$14+1,1))-AVERAGE(OFFSET($H$3,0,0,'Données projet'!$E$14+1,1))</f>
        <v>364.63161066507769</v>
      </c>
      <c r="DU21" s="62">
        <f t="shared" si="44"/>
        <v>355.44729904860708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>
        <f>EXP(-LN(2)/35)*EA20+(1-EXP(-LN(2)/35))/(LN(2)/35)*DW21*DX21*VLOOKUP('Données projet'!$B$14,Paramètres!$A$1:$I$89,3,0)*0.475*44/12</f>
        <v>0</v>
      </c>
      <c r="EB21" s="23">
        <f>EXP(-LN(2)/25)*EB20+(1-EXP(-LN(2)/25))/(LN(2)/25)*Calculateur!DW21*Calculateur!DY21*VLOOKUP('Données projet'!$B$14,Paramètres!$A$1:$I$89,3,0)*0.475*44/12</f>
        <v>0</v>
      </c>
      <c r="EC21" s="23">
        <f>EXP(-LN(2)/2)*EC20+(1-EXP(-LN(2)/2))/(LN(2)/2)*DW21*DZ21*VLOOKUP('Données projet'!$B$14,Paramètres!$A$1:$I$89,3,0)*0.475*44/12</f>
        <v>0</v>
      </c>
      <c r="ED21" s="24">
        <f t="shared" si="18"/>
        <v>0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9.6</v>
      </c>
      <c r="EJ21" s="13">
        <f>IF('Données projet'!$A$192&gt;35,EJ20+EI21-ER20,IF(A21&lt;'Données projet'!$A$192,$EG$205^A21,IF(A21='Données projet'!$A$192,'Données projet'!$B$192,EJ20+EI21-ER20)))</f>
        <v>65.8</v>
      </c>
      <c r="EK21" s="18">
        <f>EJ21*VLOOKUP('Données projet'!$B$15,Paramètres!$A$1:$I$89,3,0)*VLOOKUP('Données projet'!$B$15,Paramètres!$A$1:$I$89,5,0)</f>
        <v>48.24456</v>
      </c>
      <c r="EL21" s="14">
        <f t="shared" si="45"/>
        <v>14.159470950971405</v>
      </c>
      <c r="EM21" s="22">
        <f t="shared" si="19"/>
        <v>108.68702057294185</v>
      </c>
      <c r="EN21" s="62">
        <f t="shared" si="20"/>
        <v>320.45637376494494</v>
      </c>
      <c r="EO21" s="62">
        <f ca="1">AVERAGE(OFFSET($EN$3,0,0,'Données projet'!$E$15+1,1))-AVERAGE(OFFSET($H$3,0,0,'Données projet'!$E$15+1,1))</f>
        <v>293.59366973965774</v>
      </c>
      <c r="EP21" s="62">
        <f t="shared" si="46"/>
        <v>288.13804536120426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>
        <f>EXP(-LN(2)/35)*EV20+(1-EXP(-LN(2)/35))/(LN(2)/35)*ER21*ES21*VLOOKUP('Données projet'!$B$15,Paramètres!$A$1:$I$89,3,0)*0.475*44/12</f>
        <v>0</v>
      </c>
      <c r="EW21" s="23">
        <f>EXP(-LN(2)/25)*EW20+(1-EXP(-LN(2)/25))/(LN(2)/25)*Calculateur!ER21*Calculateur!ET21*VLOOKUP('Données projet'!$B$15,Paramètres!$A$1:$I$89,3,0)*0.475*44/12</f>
        <v>0</v>
      </c>
      <c r="EX21" s="23">
        <f>EXP(-LN(2)/2)*EX20+(1-EXP(-LN(2)/2))/(LN(2)/2)*ER21*EU21*VLOOKUP('Données projet'!$B$15,Paramètres!$A$1:$I$89,3,0)*0.475*44/12</f>
        <v>0</v>
      </c>
      <c r="EY21" s="24">
        <f t="shared" si="21"/>
        <v>0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9.6</v>
      </c>
      <c r="FE21" s="13">
        <f>IF('Données projet'!$A$218&gt;35,FE20+FD21-FM20,IF(A21&lt;'Données projet'!$A$218,$FB$205^A21,IF(A21='Données projet'!$A$218,'Données projet'!$B$218,FE20+FD21-FM20)))</f>
        <v>65.8</v>
      </c>
      <c r="FF21" s="18">
        <f>FE21*VLOOKUP('Données projet'!$B$16,Paramètres!$A$1:$I$89,3,0)*VLOOKUP('Données projet'!$B$16,Paramètres!$A$1:$I$89,5,0)</f>
        <v>63.641759999999998</v>
      </c>
      <c r="FG21" s="14">
        <f t="shared" si="47"/>
        <v>18.085838832476412</v>
      </c>
      <c r="FH21" s="22">
        <f t="shared" si="22"/>
        <v>142.34223463322976</v>
      </c>
      <c r="FI21" s="62">
        <f t="shared" si="23"/>
        <v>354.11158782523285</v>
      </c>
      <c r="FJ21" s="62">
        <f ca="1">AVERAGE(OFFSET($FI$3,0,0,'Données projet'!$E$16+1,1))-AVERAGE(OFFSET($H$3,0,0,'Données projet'!$E$16+1,1))</f>
        <v>369.69145521630799</v>
      </c>
      <c r="FK21" s="62">
        <f t="shared" si="48"/>
        <v>360.24112103688719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>
        <f>EXP(-LN(2)/35)*FQ20+(1-EXP(-LN(2)/35))/(LN(2)/35)*FM21*FN21*VLOOKUP('Données projet'!$B$16,Paramètres!$A$1:$I$89,3,0)*0.475*44/12</f>
        <v>0</v>
      </c>
      <c r="FR21" s="23">
        <f>EXP(-LN(2)/25)*FR20+(1-EXP(-LN(2)/25))/(LN(2)/25)*Calculateur!FM21*Calculateur!FO21*VLOOKUP('Données projet'!$B$16,Paramètres!$A$1:$I$89,3,0)*0.475*44/12</f>
        <v>0</v>
      </c>
      <c r="FS21" s="23">
        <f>EXP(-LN(2)/2)*FS20+(1-EXP(-LN(2)/2))/(LN(2)/2)*FM21*FP21*VLOOKUP('Données projet'!$B$16,Paramètres!$A$1:$I$89,3,0)*0.475*44/12</f>
        <v>0</v>
      </c>
      <c r="FT21" s="24">
        <f t="shared" si="24"/>
        <v>0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9.6</v>
      </c>
      <c r="FZ21" s="13">
        <f>IF('Données projet'!$A$244&gt;35,FZ20+FY21-GH20,IF(A21&lt;'Données projet'!$A$244,$FW$205^A21,IF(A21='Données projet'!$A$244,'Données projet'!$B$244,FZ20+FY21-GH20)))</f>
        <v>65.8</v>
      </c>
      <c r="GA21" s="18">
        <f>FZ21*VLOOKUP('Données projet'!$B$17,Paramètres!$A$1:$I$89,3,0)*VLOOKUP('Données projet'!$B$17,Paramètres!$A$1:$I$89,5,0)</f>
        <v>70.827119999999994</v>
      </c>
      <c r="GB21" s="14">
        <f t="shared" si="49"/>
        <v>19.878719982140034</v>
      </c>
      <c r="GC21" s="22">
        <f t="shared" si="25"/>
        <v>157.97933796889387</v>
      </c>
      <c r="GD21" s="62">
        <f t="shared" si="26"/>
        <v>369.74869116089701</v>
      </c>
      <c r="GE21" s="62">
        <f ca="1">AVERAGE(OFFSET($GD$3,0,0,'Données projet'!$E$17+1,1))-AVERAGE(OFFSET($H$3,0,0,'Données projet'!$E$17+1,1))</f>
        <v>405.06394904053946</v>
      </c>
      <c r="GF21" s="62">
        <f t="shared" si="50"/>
        <v>393.75247087518198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>
        <f>EXP(-LN(2)/35)*GL20+(1-EXP(-LN(2)/35))/(LN(2)/35)*GH21*GI21*VLOOKUP('Données projet'!$B$17,Paramètres!$A$1:$I$89,3,0)*0.475*44/12</f>
        <v>0</v>
      </c>
      <c r="GM21" s="23">
        <f>EXP(-LN(2)/25)*GM20+(1-EXP(-LN(2)/25))/(LN(2)/25)*Calculateur!GH21*Calculateur!GJ21*VLOOKUP('Données projet'!$B$17,Paramètres!$A$1:$I$89,3,0)*0.475*44/12</f>
        <v>0</v>
      </c>
      <c r="GN21" s="23">
        <f>EXP(-LN(2)/2)*GN20+(1-EXP(-LN(2)/2))/(LN(2)/2)*GH21*GK21*VLOOKUP('Données projet'!$B$17,Paramètres!$A$1:$I$89,3,0)*0.475*44/12</f>
        <v>0</v>
      </c>
      <c r="GO21" s="23">
        <f t="shared" si="27"/>
        <v>0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9.6</v>
      </c>
      <c r="GU21" s="13">
        <f>IF('Données projet'!$A$270&gt;35,GU20+GT21-HC20,IF(A21&lt;'Données projet'!$A$270,$GR$205^A21,IF(A21='Données projet'!$A$270,'Données projet'!$B$270,GU20+GT21-HC20)))</f>
        <v>65.8</v>
      </c>
      <c r="GV21" s="18">
        <f>GU21*VLOOKUP('Données projet'!$B$18,Paramètres!$A$1:$I$89,3,0)*VLOOKUP('Données projet'!$B$18,Paramètres!$A$1:$I$89,5,0)</f>
        <v>44.138639999999995</v>
      </c>
      <c r="GW21" s="14">
        <f t="shared" si="51"/>
        <v>13.089229634046784</v>
      </c>
      <c r="GX21" s="22">
        <f t="shared" si="28"/>
        <v>99.671872945964807</v>
      </c>
      <c r="GY21" s="62">
        <f t="shared" si="29"/>
        <v>311.44122613796793</v>
      </c>
      <c r="GZ21" s="62">
        <f ca="1">AVERAGE(OFFSET($GY$3,0,0,'Données projet'!$E$18+1,1))-AVERAGE(OFFSET($H$3,0,0,'Données projet'!$E$18+1,1))</f>
        <v>273.21861937609918</v>
      </c>
      <c r="HA21" s="62">
        <f t="shared" si="52"/>
        <v>268.83004886965318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>
        <f>EXP(-LN(2)/35)*HG20+(1-EXP(-LN(2)/35))/(LN(2)/35)*HC21*HD21*VLOOKUP('Données projet'!$B$18,Paramètres!$A$1:$I$89,3,0)*0.475*44/12</f>
        <v>0</v>
      </c>
      <c r="HH21" s="23">
        <f>EXP(-LN(2)/25)*HH20+(1-EXP(-LN(2)/25))/(LN(2)/25)*Calculateur!HC21*Calculateur!HE21*VLOOKUP('Données projet'!$B$18,Paramètres!$A$1:$I$89,3,0)*0.475*44/12</f>
        <v>0</v>
      </c>
      <c r="HI21" s="23">
        <f>EXP(-LN(2)/2)*HI20+(1-EXP(-LN(2)/2))/(LN(2)/2)*HC21*HF21*VLOOKUP('Données projet'!$B$18,Paramètres!$A$1:$I$89,3,0)*0.475*44/12</f>
        <v>0</v>
      </c>
      <c r="HJ21" s="24">
        <f t="shared" si="30"/>
        <v>0</v>
      </c>
    </row>
    <row r="22" spans="1:218" s="5" customFormat="1" x14ac:dyDescent="0.4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2.4423076923076925</v>
      </c>
      <c r="N22" s="14">
        <f>IF('Données projet'!$A$36&gt;35,N21+M22-V21,IF(A22&lt;'Données projet'!$A$36,$K$205^A22,IF(A22='Données projet'!$A$36,'Données projet'!$B$36,N21+M22-V21)))</f>
        <v>46.403846153846168</v>
      </c>
      <c r="O22" s="14">
        <f>N22*VLOOKUP('Données projet'!$B$9,Paramètres!$A$1:$I$89,3,0)*VLOOKUP('Données projet'!$B$9,Paramètres!$A$1:$I$89,5,0)</f>
        <v>41.986200000000011</v>
      </c>
      <c r="P22" s="14">
        <f t="shared" si="33"/>
        <v>12.523595454155831</v>
      </c>
      <c r="Q22" s="22">
        <f t="shared" si="2"/>
        <v>94.937893749321418</v>
      </c>
      <c r="R22" s="62">
        <f t="shared" si="0"/>
        <v>309.08998799234496</v>
      </c>
      <c r="S22" s="62">
        <f ca="1">AVERAGE(OFFSET($R$3,0,0,'Données projet'!$E$9+1,1))-AVERAGE(OFFSET($H$3,0,0,'Données projet'!$E$9+1,1))</f>
        <v>432.80275651765203</v>
      </c>
      <c r="T22" s="62">
        <f t="shared" si="34"/>
        <v>203.89279893419919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14.88</v>
      </c>
      <c r="AI22" s="14">
        <f>IF('Données projet'!$A$62&gt;35,AI21+AH22-AQ21,IF(A22&lt;'Données projet'!$A$62,$AF$205^A22,IF(A22='Données projet'!$A$62,'Données projet'!$B$62,AI21+AH22-AQ21)))</f>
        <v>89.869563913830646</v>
      </c>
      <c r="AJ22" s="14">
        <f>AI22*VLOOKUP('Données projet'!$B$10,Paramètres!$A$1:$I$89,3,0)*VLOOKUP('Données projet'!$B$10,Paramètres!$A$1:$I$89,5,0)</f>
        <v>39.722347249913149</v>
      </c>
      <c r="AK22" s="14">
        <f t="shared" si="35"/>
        <v>11.925025207616377</v>
      </c>
      <c r="AL22" s="22">
        <f t="shared" si="4"/>
        <v>89.952507030197253</v>
      </c>
      <c r="AM22" s="62">
        <f t="shared" si="5"/>
        <v>304.10460127322079</v>
      </c>
      <c r="AN22" s="62">
        <f ca="1">AVERAGE(OFFSET($AM$3,0,0,'Données projet'!$E$10+1,1))-AVERAGE(OFFSET($H$3,0,0,'Données projet'!$E$10+1,1))</f>
        <v>413.08876898406481</v>
      </c>
      <c r="AO22" s="62">
        <f t="shared" si="36"/>
        <v>520.31320932826566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14.88</v>
      </c>
      <c r="BD22" s="13">
        <f>IF('Données projet'!$A$88&gt;35,BD21+BC22-BL21,IF(A22&lt;'Données projet'!$A$88,$BA$205^A22,IF(A22='Données projet'!$A$88,'Données projet'!$B$88,BD21+BC22-BL21)))</f>
        <v>89.869563913830646</v>
      </c>
      <c r="BE22" s="14">
        <f>BD22*VLOOKUP('Données projet'!$B$11,Paramètres!$A$1:$I$89,3,0)*VLOOKUP('Données projet'!$B$11,Paramètres!$A$1:$I$89,5,0)</f>
        <v>50.237086227831334</v>
      </c>
      <c r="BF22" s="14">
        <f t="shared" si="37"/>
        <v>14.674971348267983</v>
      </c>
      <c r="BG22" s="22">
        <f t="shared" si="7"/>
        <v>113.05516694503963</v>
      </c>
      <c r="BH22" s="62">
        <f t="shared" si="8"/>
        <v>327.20726118806317</v>
      </c>
      <c r="BI22" s="62">
        <f ca="1">AVERAGE(OFFSET($BH$3,0,0,'Données projet'!$E$11+1,1))-AVERAGE(OFFSET($H$3,0,0,'Données projet'!$E$11+1,1))</f>
        <v>507.66185230065889</v>
      </c>
      <c r="BJ22" s="62">
        <f t="shared" si="38"/>
        <v>640.14375617778342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4.7916666665000003</v>
      </c>
      <c r="BY22" s="13">
        <f>IF('Données projet'!$A$114&gt;35,BY21+BX22-CG21,IF(A22&lt;'Données projet'!$A$114,$BV$205^A22,IF(A22='Données projet'!$A$114,'Données projet'!$B$114,BY21+BX22-CG21)))</f>
        <v>76.285283505538047</v>
      </c>
      <c r="BZ22" s="14">
        <f>BY22*VLOOKUP('Données projet'!$B$12,Paramètres!$A$1:$I$89,3,0)*VLOOKUP('Données projet'!$B$12,Paramètres!$A$1:$I$89,5,0)</f>
        <v>35.701512680591804</v>
      </c>
      <c r="CA22" s="14">
        <f t="shared" si="39"/>
        <v>10.851904426043317</v>
      </c>
      <c r="CB22" s="22">
        <f t="shared" si="10"/>
        <v>81.080534794056163</v>
      </c>
      <c r="CC22" s="62">
        <f t="shared" si="11"/>
        <v>295.23262903707968</v>
      </c>
      <c r="CD22" s="62">
        <f ca="1">AVERAGE(OFFSET($CC$3,0,0,'Données projet'!$E$12+1,1))-AVERAGE(OFFSET($H$3,0,0,'Données projet'!$E$12+1,1))</f>
        <v>289.21044803824958</v>
      </c>
      <c r="CE22" s="62">
        <f t="shared" si="40"/>
        <v>196.11836398299445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>
        <f>EXP(-LN(2)/35)*CK21+(1-EXP(-LN(2)/35))/(LN(2)/35)*CG22*CH22*VLOOKUP('Données projet'!$B$12,Paramètres!$A$1:$I$89,3,0)*0.475*44/12</f>
        <v>0</v>
      </c>
      <c r="CL22" s="23">
        <f>EXP(-LN(2)/25)*CL21+(1-EXP(-LN(2)/25))/(LN(2)/25)*Calculateur!CG22*Calculateur!CI22*VLOOKUP('Données projet'!$B$12,Paramètres!$A$1:$I$89,3,0)*0.475*44/12</f>
        <v>0</v>
      </c>
      <c r="CM22" s="23">
        <f>EXP(-LN(2)/2)*CM21+(1-EXP(-LN(2)/2))/(LN(2)/2)*CG22*CJ22*VLOOKUP('Données projet'!$B$12,Paramètres!$A$1:$I$89,3,0)*0.475*44/12</f>
        <v>0</v>
      </c>
      <c r="CN22" s="24">
        <f t="shared" si="12"/>
        <v>0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12.6</v>
      </c>
      <c r="CT22" s="13">
        <f>IF('Données projet'!$A$140&gt;35,CT21+CS22-DB21,IF(A22&lt;'Données projet'!$A$140,$CQ$205^A22,IF(A22='Données projet'!$A$140,'Données projet'!$B$140,CT21+CS22-DB21)))</f>
        <v>167.39999999999998</v>
      </c>
      <c r="CU22" s="18">
        <f>CT22*VLOOKUP('Données projet'!$B$13,Paramètres!$A$1:$I$89,3,0)*VLOOKUP('Données projet'!$B$13,Paramètres!$A$1:$I$89,5,0)</f>
        <v>151.46351999999999</v>
      </c>
      <c r="CV22" s="14">
        <f t="shared" si="41"/>
        <v>38.910987614777085</v>
      </c>
      <c r="CW22" s="22">
        <f t="shared" si="13"/>
        <v>331.56893409573678</v>
      </c>
      <c r="CX22" s="62">
        <f t="shared" si="14"/>
        <v>545.72102833876033</v>
      </c>
      <c r="CY22" s="62">
        <f ca="1">AVERAGE(OFFSET($CX$3,0,0,'Données projet'!$E$13+1,1))-AVERAGE(OFFSET($H$3,0,0,'Données projet'!$E$13+1,1))</f>
        <v>376.68007030857598</v>
      </c>
      <c r="CZ22" s="62">
        <f t="shared" si="42"/>
        <v>532.90758914457626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>
        <f>EXP(-LN(2)/35)*DF21+(1-EXP(-LN(2)/35))/(LN(2)/35)*DB22*DC22*VLOOKUP('Données projet'!$B$13,Paramètres!$A$1:$I$89,3,0)*0.475*44/12</f>
        <v>0</v>
      </c>
      <c r="DG22" s="23">
        <f>EXP(-LN(2)/25)*DG21+(1-EXP(-LN(2)/25))/(LN(2)/25)*Calculateur!DB22*Calculateur!DD22*VLOOKUP('Données projet'!$B$13,Paramètres!$A$1:$I$89,3,0)*0.475*44/12</f>
        <v>6.3367392731044605</v>
      </c>
      <c r="DH22" s="23">
        <f>EXP(-LN(2)/2)*DH21+(1-EXP(-LN(2)/2))/(LN(2)/2)*DB22*DE22*VLOOKUP('Données projet'!$B$13,Paramètres!$A$1:$I$89,3,0)*0.475*44/12</f>
        <v>0</v>
      </c>
      <c r="DI22" s="24">
        <f t="shared" si="15"/>
        <v>6.3367392731044605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9.6</v>
      </c>
      <c r="DO22" s="13">
        <f>IF('Données projet'!$A$166&gt;35,DO21+DN22-DW21,IF(A22&lt;'Données projet'!$A$166,$DL$205^A22,IF(A22='Données projet'!$A$166,'Données projet'!$B$166,DO21+DN22-DW21)))</f>
        <v>75.399999999999991</v>
      </c>
      <c r="DP22" s="18">
        <f>DO22*VLOOKUP('Données projet'!$B$14,Paramètres!$A$1:$I$89,3,0)*VLOOKUP('Données projet'!$B$14,Paramètres!$A$1:$I$89,5,0)</f>
        <v>71.75063999999999</v>
      </c>
      <c r="DQ22" s="14">
        <f t="shared" si="43"/>
        <v>20.107576209927593</v>
      </c>
      <c r="DR22" s="22">
        <f t="shared" si="16"/>
        <v>159.98639323229054</v>
      </c>
      <c r="DS22" s="62">
        <f t="shared" si="17"/>
        <v>374.13848747531404</v>
      </c>
      <c r="DT22" s="62">
        <f ca="1">AVERAGE(OFFSET($DS$3,0,0,'Données projet'!$E$14+1,1))-AVERAGE(OFFSET($H$3,0,0,'Données projet'!$E$14+1,1))</f>
        <v>364.63161066507769</v>
      </c>
      <c r="DU22" s="62">
        <f t="shared" si="44"/>
        <v>355.44729904860708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>
        <f>EXP(-LN(2)/35)*EA21+(1-EXP(-LN(2)/35))/(LN(2)/35)*DW22*DX22*VLOOKUP('Données projet'!$B$14,Paramètres!$A$1:$I$89,3,0)*0.475*44/12</f>
        <v>0</v>
      </c>
      <c r="EB22" s="23">
        <f>EXP(-LN(2)/25)*EB21+(1-EXP(-LN(2)/25))/(LN(2)/25)*Calculateur!DW22*Calculateur!DY22*VLOOKUP('Données projet'!$B$14,Paramètres!$A$1:$I$89,3,0)*0.475*44/12</f>
        <v>0</v>
      </c>
      <c r="EC22" s="23">
        <f>EXP(-LN(2)/2)*EC21+(1-EXP(-LN(2)/2))/(LN(2)/2)*DW22*DZ22*VLOOKUP('Données projet'!$B$14,Paramètres!$A$1:$I$89,3,0)*0.475*44/12</f>
        <v>0</v>
      </c>
      <c r="ED22" s="24">
        <f t="shared" si="18"/>
        <v>0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9.6</v>
      </c>
      <c r="EJ22" s="13">
        <f>IF('Données projet'!$A$192&gt;35,EJ21+EI22-ER21,IF(A22&lt;'Données projet'!$A$192,$EG$205^A22,IF(A22='Données projet'!$A$192,'Données projet'!$B$192,EJ21+EI22-ER21)))</f>
        <v>75.399999999999991</v>
      </c>
      <c r="EK22" s="18">
        <f>EJ22*VLOOKUP('Données projet'!$B$15,Paramètres!$A$1:$I$89,3,0)*VLOOKUP('Données projet'!$B$15,Paramètres!$A$1:$I$89,5,0)</f>
        <v>55.283279999999998</v>
      </c>
      <c r="EL22" s="14">
        <f t="shared" si="45"/>
        <v>15.970111505706679</v>
      </c>
      <c r="EM22" s="22">
        <f t="shared" si="19"/>
        <v>124.0996568724391</v>
      </c>
      <c r="EN22" s="62">
        <f t="shared" si="20"/>
        <v>338.25175111546264</v>
      </c>
      <c r="EO22" s="62">
        <f ca="1">AVERAGE(OFFSET($EN$3,0,0,'Données projet'!$E$15+1,1))-AVERAGE(OFFSET($H$3,0,0,'Données projet'!$E$15+1,1))</f>
        <v>293.59366973965774</v>
      </c>
      <c r="EP22" s="62">
        <f t="shared" si="46"/>
        <v>288.13804536120426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>
        <f>EXP(-LN(2)/35)*EV21+(1-EXP(-LN(2)/35))/(LN(2)/35)*ER22*ES22*VLOOKUP('Données projet'!$B$15,Paramètres!$A$1:$I$89,3,0)*0.475*44/12</f>
        <v>0</v>
      </c>
      <c r="EW22" s="23">
        <f>EXP(-LN(2)/25)*EW21+(1-EXP(-LN(2)/25))/(LN(2)/25)*Calculateur!ER22*Calculateur!ET22*VLOOKUP('Données projet'!$B$15,Paramètres!$A$1:$I$89,3,0)*0.475*44/12</f>
        <v>0</v>
      </c>
      <c r="EX22" s="23">
        <f>EXP(-LN(2)/2)*EX21+(1-EXP(-LN(2)/2))/(LN(2)/2)*ER22*EU22*VLOOKUP('Données projet'!$B$15,Paramètres!$A$1:$I$89,3,0)*0.475*44/12</f>
        <v>0</v>
      </c>
      <c r="EY22" s="24">
        <f t="shared" si="21"/>
        <v>0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9.6</v>
      </c>
      <c r="FE22" s="13">
        <f>IF('Données projet'!$A$218&gt;35,FE21+FD22-FM21,IF(A22&lt;'Données projet'!$A$218,$FB$205^A22,IF(A22='Données projet'!$A$218,'Données projet'!$B$218,FE21+FD22-FM21)))</f>
        <v>75.399999999999991</v>
      </c>
      <c r="FF22" s="18">
        <f>FE22*VLOOKUP('Données projet'!$B$16,Paramètres!$A$1:$I$89,3,0)*VLOOKUP('Données projet'!$B$16,Paramètres!$A$1:$I$89,5,0)</f>
        <v>72.926879999999997</v>
      </c>
      <c r="FG22" s="14">
        <f t="shared" si="47"/>
        <v>20.398563182833673</v>
      </c>
      <c r="FH22" s="22">
        <f t="shared" si="22"/>
        <v>162.5418135434353</v>
      </c>
      <c r="FI22" s="62">
        <f t="shared" si="23"/>
        <v>376.69390778645879</v>
      </c>
      <c r="FJ22" s="62">
        <f ca="1">AVERAGE(OFFSET($FI$3,0,0,'Données projet'!$E$16+1,1))-AVERAGE(OFFSET($H$3,0,0,'Données projet'!$E$16+1,1))</f>
        <v>369.69145521630799</v>
      </c>
      <c r="FK22" s="62">
        <f t="shared" si="48"/>
        <v>360.24112103688719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>
        <f>EXP(-LN(2)/35)*FQ21+(1-EXP(-LN(2)/35))/(LN(2)/35)*FM22*FN22*VLOOKUP('Données projet'!$B$16,Paramètres!$A$1:$I$89,3,0)*0.475*44/12</f>
        <v>0</v>
      </c>
      <c r="FR22" s="23">
        <f>EXP(-LN(2)/25)*FR21+(1-EXP(-LN(2)/25))/(LN(2)/25)*Calculateur!FM22*Calculateur!FO22*VLOOKUP('Données projet'!$B$16,Paramètres!$A$1:$I$89,3,0)*0.475*44/12</f>
        <v>0</v>
      </c>
      <c r="FS22" s="23">
        <f>EXP(-LN(2)/2)*FS21+(1-EXP(-LN(2)/2))/(LN(2)/2)*FM22*FP22*VLOOKUP('Données projet'!$B$16,Paramètres!$A$1:$I$89,3,0)*0.475*44/12</f>
        <v>0</v>
      </c>
      <c r="FT22" s="24">
        <f t="shared" si="24"/>
        <v>0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9.6</v>
      </c>
      <c r="FZ22" s="13">
        <f>IF('Données projet'!$A$244&gt;35,FZ21+FY22-GH21,IF(A22&lt;'Données projet'!$A$244,$FW$205^A22,IF(A22='Données projet'!$A$244,'Données projet'!$B$244,FZ21+FY22-GH21)))</f>
        <v>75.399999999999991</v>
      </c>
      <c r="GA22" s="18">
        <f>FZ22*VLOOKUP('Données projet'!$B$17,Paramètres!$A$1:$I$89,3,0)*VLOOKUP('Données projet'!$B$17,Paramètres!$A$1:$I$89,5,0)</f>
        <v>81.16055999999999</v>
      </c>
      <c r="GB22" s="14">
        <f t="shared" si="49"/>
        <v>22.420708782464498</v>
      </c>
      <c r="GC22" s="22">
        <f t="shared" si="25"/>
        <v>180.40404312945898</v>
      </c>
      <c r="GD22" s="62">
        <f t="shared" si="26"/>
        <v>394.55613737248251</v>
      </c>
      <c r="GE22" s="62">
        <f ca="1">AVERAGE(OFFSET($GD$3,0,0,'Données projet'!$E$17+1,1))-AVERAGE(OFFSET($H$3,0,0,'Données projet'!$E$17+1,1))</f>
        <v>405.06394904053946</v>
      </c>
      <c r="GF22" s="62">
        <f t="shared" si="50"/>
        <v>393.75247087518198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>
        <f>EXP(-LN(2)/35)*GL21+(1-EXP(-LN(2)/35))/(LN(2)/35)*GH22*GI22*VLOOKUP('Données projet'!$B$17,Paramètres!$A$1:$I$89,3,0)*0.475*44/12</f>
        <v>0</v>
      </c>
      <c r="GM22" s="23">
        <f>EXP(-LN(2)/25)*GM21+(1-EXP(-LN(2)/25))/(LN(2)/25)*Calculateur!GH22*Calculateur!GJ22*VLOOKUP('Données projet'!$B$17,Paramètres!$A$1:$I$89,3,0)*0.475*44/12</f>
        <v>0</v>
      </c>
      <c r="GN22" s="23">
        <f>EXP(-LN(2)/2)*GN21+(1-EXP(-LN(2)/2))/(LN(2)/2)*GH22*GK22*VLOOKUP('Données projet'!$B$17,Paramètres!$A$1:$I$89,3,0)*0.475*44/12</f>
        <v>0</v>
      </c>
      <c r="GO22" s="23">
        <f t="shared" si="27"/>
        <v>0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9.6</v>
      </c>
      <c r="GU22" s="13">
        <f>IF('Données projet'!$A$270&gt;35,GU21+GT22-HC21,IF(A22&lt;'Données projet'!$A$270,$GR$205^A22,IF(A22='Données projet'!$A$270,'Données projet'!$B$270,GU21+GT22-HC21)))</f>
        <v>75.399999999999991</v>
      </c>
      <c r="GV22" s="18">
        <f>GU22*VLOOKUP('Données projet'!$B$18,Paramètres!$A$1:$I$89,3,0)*VLOOKUP('Données projet'!$B$18,Paramètres!$A$1:$I$89,5,0)</f>
        <v>50.578319999999998</v>
      </c>
      <c r="GW22" s="14">
        <f t="shared" si="51"/>
        <v>14.763013215913022</v>
      </c>
      <c r="GX22" s="22">
        <f t="shared" si="28"/>
        <v>113.80282201771517</v>
      </c>
      <c r="GY22" s="62">
        <f t="shared" si="29"/>
        <v>327.95491626073868</v>
      </c>
      <c r="GZ22" s="62">
        <f ca="1">AVERAGE(OFFSET($GY$3,0,0,'Données projet'!$E$18+1,1))-AVERAGE(OFFSET($H$3,0,0,'Données projet'!$E$18+1,1))</f>
        <v>273.21861937609918</v>
      </c>
      <c r="HA22" s="62">
        <f t="shared" si="52"/>
        <v>268.83004886965318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>
        <f>EXP(-LN(2)/35)*HG21+(1-EXP(-LN(2)/35))/(LN(2)/35)*HC22*HD22*VLOOKUP('Données projet'!$B$18,Paramètres!$A$1:$I$89,3,0)*0.475*44/12</f>
        <v>0</v>
      </c>
      <c r="HH22" s="23">
        <f>EXP(-LN(2)/25)*HH21+(1-EXP(-LN(2)/25))/(LN(2)/25)*Calculateur!HC22*Calculateur!HE22*VLOOKUP('Données projet'!$B$18,Paramètres!$A$1:$I$89,3,0)*0.475*44/12</f>
        <v>0</v>
      </c>
      <c r="HI22" s="23">
        <f>EXP(-LN(2)/2)*HI21+(1-EXP(-LN(2)/2))/(LN(2)/2)*HC22*HF22*VLOOKUP('Données projet'!$B$18,Paramètres!$A$1:$I$89,3,0)*0.475*44/12</f>
        <v>0</v>
      </c>
      <c r="HJ22" s="24">
        <f t="shared" si="30"/>
        <v>0</v>
      </c>
    </row>
    <row r="23" spans="1:218" s="5" customFormat="1" x14ac:dyDescent="0.4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2.4423076923076925</v>
      </c>
      <c r="N23" s="14">
        <f>IF('Données projet'!$A$36&gt;35,N22+M23-V22,IF(A23&lt;'Données projet'!$A$36,$K$205^A23,IF(A23='Données projet'!$A$36,'Données projet'!$B$36,N22+M23-V22)))</f>
        <v>48.846153846153861</v>
      </c>
      <c r="O23" s="14">
        <f>N23*VLOOKUP('Données projet'!$B$9,Paramètres!$A$1:$I$89,3,0)*VLOOKUP('Données projet'!$B$9,Paramètres!$A$1:$I$89,5,0)</f>
        <v>44.196000000000012</v>
      </c>
      <c r="P23" s="14">
        <f t="shared" si="33"/>
        <v>13.104258532731833</v>
      </c>
      <c r="Q23" s="22">
        <f t="shared" si="2"/>
        <v>99.797950277841281</v>
      </c>
      <c r="R23" s="62">
        <f t="shared" si="0"/>
        <v>316.31265316473701</v>
      </c>
      <c r="S23" s="62">
        <f ca="1">AVERAGE(OFFSET($R$3,0,0,'Données projet'!$E$9+1,1))-AVERAGE(OFFSET($H$3,0,0,'Données projet'!$E$9+1,1))</f>
        <v>432.80275651765203</v>
      </c>
      <c r="T23" s="62">
        <f t="shared" si="34"/>
        <v>203.89279893419919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 t="e">
        <f>VLOOKUP(A23,'Données projet'!$A$61:$I$81,2,0)</f>
        <v>#N/A</v>
      </c>
      <c r="AG23" s="13" t="e">
        <f>VLOOKUP(A23,'Données projet'!$A$61:$I$81,9,0)</f>
        <v>#N/A</v>
      </c>
      <c r="AH23" s="13">
        <f t="array" ref="AH23">INDEX(AG:AG,MIN(IF(ISNUMBER(AG23:AG219),ROW(AG23:AG219),"")))</f>
        <v>14.88</v>
      </c>
      <c r="AI23" s="14">
        <f>IF('Données projet'!$A$62&gt;35,AI22+AH23-AQ22,IF(A23&lt;'Données projet'!$A$62,$AF$205^A23,IF(A23='Données projet'!$A$62,'Données projet'!$B$62,AI22+AH23-AQ22)))</f>
        <v>113.8765632683271</v>
      </c>
      <c r="AJ23" s="14">
        <f>AI23*VLOOKUP('Données projet'!$B$10,Paramètres!$A$1:$I$89,3,0)*VLOOKUP('Données projet'!$B$10,Paramètres!$A$1:$I$89,5,0)</f>
        <v>50.333440964600584</v>
      </c>
      <c r="AK23" s="14">
        <f t="shared" si="35"/>
        <v>14.699838906804155</v>
      </c>
      <c r="AL23" s="22">
        <f t="shared" si="4"/>
        <v>113.26629577602993</v>
      </c>
      <c r="AM23" s="62">
        <f t="shared" si="5"/>
        <v>329.78099866292564</v>
      </c>
      <c r="AN23" s="62">
        <f ca="1">AVERAGE(OFFSET($AM$3,0,0,'Données projet'!$E$10+1,1))-AVERAGE(OFFSET($H$3,0,0,'Données projet'!$E$10+1,1))</f>
        <v>413.08876898406481</v>
      </c>
      <c r="AO23" s="62">
        <f t="shared" si="36"/>
        <v>520.31320932826566</v>
      </c>
      <c r="AP23" s="16">
        <f>IF(ISNA(VLOOKUP(A23,'Données projet'!$A$61:$I$81,3,0)),0,VLOOKUP(A23,'Données projet'!$A$61:$I$81,3,0))</f>
        <v>0</v>
      </c>
      <c r="AQ23" s="16">
        <f>IF(ISNA(VLOOKUP(A23,'Données projet'!$A$61:$I$81,4,0)),0,VLOOKUP(A23,'Données projet'!$A$61:$I$81,4,0))</f>
        <v>0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0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0</v>
      </c>
      <c r="AX23" s="23">
        <f t="shared" si="6"/>
        <v>0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14.88</v>
      </c>
      <c r="BD23" s="13">
        <f>IF('Données projet'!$A$88&gt;35,BD22+BC23-BL22,IF(A23&lt;'Données projet'!$A$88,$BA$205^A23,IF(A23='Données projet'!$A$88,'Données projet'!$B$88,BD22+BC23-BL22)))</f>
        <v>113.8765632683271</v>
      </c>
      <c r="BE23" s="14">
        <f>BD23*VLOOKUP('Données projet'!$B$11,Paramètres!$A$1:$I$89,3,0)*VLOOKUP('Données projet'!$B$11,Paramètres!$A$1:$I$89,5,0)</f>
        <v>63.656998866994854</v>
      </c>
      <c r="BF23" s="14">
        <f t="shared" si="37"/>
        <v>18.089665306848016</v>
      </c>
      <c r="BG23" s="22">
        <f t="shared" si="7"/>
        <v>142.37544010277634</v>
      </c>
      <c r="BH23" s="62">
        <f t="shared" si="8"/>
        <v>358.89014298967209</v>
      </c>
      <c r="BI23" s="62">
        <f ca="1">AVERAGE(OFFSET($BH$3,0,0,'Données projet'!$E$11+1,1))-AVERAGE(OFFSET($H$3,0,0,'Données projet'!$E$11+1,1))</f>
        <v>507.66185230065889</v>
      </c>
      <c r="BJ23" s="62">
        <f t="shared" si="38"/>
        <v>640.14375617778342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>
        <f>VLOOKUP(A23,'Données projet'!$A$113:$I$133,2,0)</f>
        <v>95.833333330000002</v>
      </c>
      <c r="BW23" s="13">
        <f>VLOOKUP(A23,'Données projet'!$A$113:$I$133,9,0)</f>
        <v>4.7916666665000003</v>
      </c>
      <c r="BX23" s="13">
        <f t="array" ref="BX23">INDEX(BW:BW,MIN(IF(ISNUMBER(BW23:BW219),ROW(BW23:BW219),"")))</f>
        <v>4.7916666665000003</v>
      </c>
      <c r="BY23" s="13">
        <f>IF('Données projet'!$A$114&gt;35,BY22+BX23-CG22,IF(A23&lt;'Données projet'!$A$114,$BV$205^A23,IF(A23='Données projet'!$A$114,'Données projet'!$B$114,BY22+BX23-CG22)))</f>
        <v>95.833333330000002</v>
      </c>
      <c r="BZ23" s="14">
        <f>BY23*VLOOKUP('Données projet'!$B$12,Paramètres!$A$1:$I$89,3,0)*VLOOKUP('Données projet'!$B$12,Paramètres!$A$1:$I$89,5,0)</f>
        <v>44.849999998440005</v>
      </c>
      <c r="CA23" s="14">
        <f t="shared" si="39"/>
        <v>13.275453423919002</v>
      </c>
      <c r="CB23" s="22">
        <f t="shared" si="10"/>
        <v>101.2351647106086</v>
      </c>
      <c r="CC23" s="62">
        <f t="shared" si="11"/>
        <v>317.74986759750431</v>
      </c>
      <c r="CD23" s="62">
        <f ca="1">AVERAGE(OFFSET($CC$3,0,0,'Données projet'!$E$12+1,1))-AVERAGE(OFFSET($H$3,0,0,'Données projet'!$E$12+1,1))</f>
        <v>289.21044803824958</v>
      </c>
      <c r="CE23" s="62">
        <f t="shared" si="40"/>
        <v>196.11836398299445</v>
      </c>
      <c r="CF23" s="16">
        <f>IF(ISNA(VLOOKUP(A23,'Données projet'!$A$113:$I$133,3,0)),0,VLOOKUP(A23,'Données projet'!$A$113:$I$133,3,0))</f>
        <v>1</v>
      </c>
      <c r="CG23" s="16">
        <f>IF(ISNA(VLOOKUP(A23,'Données projet'!$A$113:$I$133,4,0)),0,VLOOKUP(A23,'Données projet'!$A$113:$I$133,4,0))</f>
        <v>19.166666670000001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>
        <f>EXP(-LN(2)/35)*CK22+(1-EXP(-LN(2)/35))/(LN(2)/35)*CG23*CH23*VLOOKUP('Données projet'!$B$12,Paramètres!$A$1:$I$89,3,0)*0.475*44/12</f>
        <v>0</v>
      </c>
      <c r="CL23" s="23">
        <f>EXP(-LN(2)/25)*CL22+(1-EXP(-LN(2)/25))/(LN(2)/25)*Calculateur!CG23*Calculateur!CI23*VLOOKUP('Données projet'!$B$12,Paramètres!$A$1:$I$89,3,0)*0.475*44/12</f>
        <v>0</v>
      </c>
      <c r="CM23" s="23">
        <f>EXP(-LN(2)/2)*CM22+(1-EXP(-LN(2)/2))/(LN(2)/2)*CG23*CJ23*VLOOKUP('Données projet'!$B$12,Paramètres!$A$1:$I$89,3,0)*0.475*44/12</f>
        <v>0</v>
      </c>
      <c r="CN23" s="24">
        <f t="shared" si="12"/>
        <v>0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>
        <f>VLOOKUP(A23,'Données projet'!$A$139:$I$159,2,0)</f>
        <v>180</v>
      </c>
      <c r="CR23" s="13">
        <f>VLOOKUP(A23,'Données projet'!$A$139:$I$159,9,0)</f>
        <v>12.6</v>
      </c>
      <c r="CS23" s="13">
        <f t="array" ref="CS23">INDEX(CR:CR,MIN(IF(ISNUMBER(CR23:CR219),ROW(CR23:CR219),"")))</f>
        <v>12.6</v>
      </c>
      <c r="CT23" s="13">
        <f>IF('Données projet'!$A$140&gt;35,CT22+CS23-DB22,IF(A23&lt;'Données projet'!$A$140,$CQ$205^A23,IF(A23='Données projet'!$A$140,'Données projet'!$B$140,CT22+CS23-DB22)))</f>
        <v>179.99999999999997</v>
      </c>
      <c r="CU23" s="18">
        <f>CT23*VLOOKUP('Données projet'!$B$13,Paramètres!$A$1:$I$89,3,0)*VLOOKUP('Données projet'!$B$13,Paramètres!$A$1:$I$89,5,0)</f>
        <v>162.86399999999998</v>
      </c>
      <c r="CV23" s="14">
        <f t="shared" si="41"/>
        <v>41.487830069509123</v>
      </c>
      <c r="CW23" s="22">
        <f t="shared" si="13"/>
        <v>355.91277070439497</v>
      </c>
      <c r="CX23" s="62">
        <f t="shared" si="14"/>
        <v>572.42747359129066</v>
      </c>
      <c r="CY23" s="62">
        <f ca="1">AVERAGE(OFFSET($CX$3,0,0,'Données projet'!$E$13+1,1))-AVERAGE(OFFSET($H$3,0,0,'Données projet'!$E$13+1,1))</f>
        <v>376.68007030857598</v>
      </c>
      <c r="CZ23" s="62">
        <f t="shared" si="42"/>
        <v>532.90758914457626</v>
      </c>
      <c r="DA23" s="16">
        <f>IF(ISNA(VLOOKUP(A23,'Données projet'!$A$139:$I$159,3,0)),0,VLOOKUP(A23,'Données projet'!$A$139:$I$159,3,0))</f>
        <v>4</v>
      </c>
      <c r="DB23" s="16">
        <f>IF(ISNA(VLOOKUP(A23,'Données projet'!$A$139:$I$159,4,0)),0,VLOOKUP(A23,'Données projet'!$A$139:$I$159,4,0))</f>
        <v>18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0.15</v>
      </c>
      <c r="DE23" s="17">
        <f>IF(ISNA(VLOOKUP(A23,'Données projet'!$A$139:$I$159,7,0)),0%,VLOOKUP(A23,'Données projet'!$A$139:$I$159,7,0))</f>
        <v>0</v>
      </c>
      <c r="DF23" s="23">
        <f>EXP(-LN(2)/35)*DF22+(1-EXP(-LN(2)/35))/(LN(2)/35)*DB23*DC23*VLOOKUP('Données projet'!$B$13,Paramètres!$A$1:$I$89,3,0)*0.475*44/12</f>
        <v>0</v>
      </c>
      <c r="DG23" s="23">
        <f>EXP(-LN(2)/25)*DG22+(1-EXP(-LN(2)/25))/(LN(2)/25)*Calculateur!DB23*Calculateur!DD23*VLOOKUP('Données projet'!$B$13,Paramètres!$A$1:$I$89,3,0)*0.475*44/12</f>
        <v>8.8534473531950599</v>
      </c>
      <c r="DH23" s="23">
        <f>EXP(-LN(2)/2)*DH22+(1-EXP(-LN(2)/2))/(LN(2)/2)*DB23*DE23*VLOOKUP('Données projet'!$B$13,Paramètres!$A$1:$I$89,3,0)*0.475*44/12</f>
        <v>0</v>
      </c>
      <c r="DI23" s="24">
        <f t="shared" si="15"/>
        <v>8.8534473531950599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>
        <f>VLOOKUP(A23,'Données projet'!$A$165:$I$185,2,0)</f>
        <v>85</v>
      </c>
      <c r="DM23" s="13">
        <f>VLOOKUP(A23,'Données projet'!$A$165:$I$185,9,0)</f>
        <v>9.6</v>
      </c>
      <c r="DN23" s="13">
        <f t="array" ref="DN23">INDEX(DM:DM,MIN(IF(ISNUMBER(DM23:DM219),ROW(DM23:DM219),"")))</f>
        <v>9.6</v>
      </c>
      <c r="DO23" s="13">
        <f>IF('Données projet'!$A$166&gt;35,DO22+DN23-DW22,IF(A23&lt;'Données projet'!$A$166,$DL$205^A23,IF(A23='Données projet'!$A$166,'Données projet'!$B$166,DO22+DN23-DW22)))</f>
        <v>84.999999999999986</v>
      </c>
      <c r="DP23" s="18">
        <f>DO23*VLOOKUP('Données projet'!$B$14,Paramètres!$A$1:$I$89,3,0)*VLOOKUP('Données projet'!$B$14,Paramètres!$A$1:$I$89,5,0)</f>
        <v>80.885999999999981</v>
      </c>
      <c r="DQ23" s="14">
        <f t="shared" si="43"/>
        <v>22.353676673691044</v>
      </c>
      <c r="DR23" s="22">
        <f t="shared" si="16"/>
        <v>179.80910354001185</v>
      </c>
      <c r="DS23" s="62">
        <f t="shared" si="17"/>
        <v>396.32380642690759</v>
      </c>
      <c r="DT23" s="62">
        <f ca="1">AVERAGE(OFFSET($DS$3,0,0,'Données projet'!$E$14+1,1))-AVERAGE(OFFSET($H$3,0,0,'Données projet'!$E$14+1,1))</f>
        <v>364.63161066507769</v>
      </c>
      <c r="DU23" s="62">
        <f t="shared" si="44"/>
        <v>355.44729904860708</v>
      </c>
      <c r="DV23" s="16">
        <f>IF(ISNA(VLOOKUP(A23,'Données projet'!$A$165:$I$185,3,0)),0,VLOOKUP(A23,'Données projet'!$A$165:$I$185,3,0))</f>
        <v>2</v>
      </c>
      <c r="DW23" s="16">
        <f>IF(ISNA(VLOOKUP(A23,'Données projet'!$A$165:$I$185,4,0)),0,VLOOKUP(A23,'Données projet'!$A$165:$I$185,4,0))</f>
        <v>25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>
        <f>EXP(-LN(2)/35)*EA22+(1-EXP(-LN(2)/35))/(LN(2)/35)*DW23*DX23*VLOOKUP('Données projet'!$B$14,Paramètres!$A$1:$I$89,3,0)*0.475*44/12</f>
        <v>0</v>
      </c>
      <c r="EB23" s="23">
        <f>EXP(-LN(2)/25)*EB22+(1-EXP(-LN(2)/25))/(LN(2)/25)*Calculateur!DW23*Calculateur!DY23*VLOOKUP('Données projet'!$B$14,Paramètres!$A$1:$I$89,3,0)*0.475*44/12</f>
        <v>0</v>
      </c>
      <c r="EC23" s="23">
        <f>EXP(-LN(2)/2)*EC22+(1-EXP(-LN(2)/2))/(LN(2)/2)*DW23*DZ23*VLOOKUP('Données projet'!$B$14,Paramètres!$A$1:$I$89,3,0)*0.475*44/12</f>
        <v>0</v>
      </c>
      <c r="ED23" s="24">
        <f t="shared" si="18"/>
        <v>0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>
        <f>VLOOKUP(A23,'Données projet'!$A$191:$I$211,2,0)</f>
        <v>85</v>
      </c>
      <c r="EH23" s="13">
        <f>VLOOKUP(A23,'Données projet'!$A$191:$I$211,9,0)</f>
        <v>9.6</v>
      </c>
      <c r="EI23" s="13">
        <f t="array" ref="EI23">INDEX(EH:EH,MIN(IF(ISNUMBER(EH23:EH219),ROW(EH23:EH219),"")))</f>
        <v>9.6</v>
      </c>
      <c r="EJ23" s="13">
        <f>IF('Données projet'!$A$192&gt;35,EJ22+EI23-ER22,IF(A23&lt;'Données projet'!$A$192,$EG$205^A23,IF(A23='Données projet'!$A$192,'Données projet'!$B$192,EJ22+EI23-ER22)))</f>
        <v>84.999999999999986</v>
      </c>
      <c r="EK23" s="18">
        <f>EJ23*VLOOKUP('Données projet'!$B$15,Paramètres!$A$1:$I$89,3,0)*VLOOKUP('Données projet'!$B$15,Paramètres!$A$1:$I$89,5,0)</f>
        <v>62.321999999999981</v>
      </c>
      <c r="EL23" s="14">
        <f t="shared" si="45"/>
        <v>17.754039836243702</v>
      </c>
      <c r="EM23" s="22">
        <f t="shared" si="19"/>
        <v>139.46576938145776</v>
      </c>
      <c r="EN23" s="62">
        <f t="shared" si="20"/>
        <v>355.98047226835348</v>
      </c>
      <c r="EO23" s="62">
        <f ca="1">AVERAGE(OFFSET($EN$3,0,0,'Données projet'!$E$15+1,1))-AVERAGE(OFFSET($H$3,0,0,'Données projet'!$E$15+1,1))</f>
        <v>293.59366973965774</v>
      </c>
      <c r="EP23" s="62">
        <f t="shared" si="46"/>
        <v>288.13804536120426</v>
      </c>
      <c r="EQ23" s="16">
        <f>IF(ISNA(VLOOKUP(A23,'Données projet'!$A$191:$I$211,3,0)),0,VLOOKUP(A23,'Données projet'!$A$191:$I$211,3,0))</f>
        <v>2</v>
      </c>
      <c r="ER23" s="16">
        <f>IF(ISNA(VLOOKUP(A23,'Données projet'!$A$191:$I$211,4,0)),0,VLOOKUP(A23,'Données projet'!$A$191:$I$211,4,0))</f>
        <v>25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>
        <f>EXP(-LN(2)/35)*EV22+(1-EXP(-LN(2)/35))/(LN(2)/35)*ER23*ES23*VLOOKUP('Données projet'!$B$15,Paramètres!$A$1:$I$89,3,0)*0.475*44/12</f>
        <v>0</v>
      </c>
      <c r="EW23" s="23">
        <f>EXP(-LN(2)/25)*EW22+(1-EXP(-LN(2)/25))/(LN(2)/25)*Calculateur!ER23*Calculateur!ET23*VLOOKUP('Données projet'!$B$15,Paramètres!$A$1:$I$89,3,0)*0.475*44/12</f>
        <v>0</v>
      </c>
      <c r="EX23" s="23">
        <f>EXP(-LN(2)/2)*EX22+(1-EXP(-LN(2)/2))/(LN(2)/2)*ER23*EU23*VLOOKUP('Données projet'!$B$15,Paramètres!$A$1:$I$89,3,0)*0.475*44/12</f>
        <v>0</v>
      </c>
      <c r="EY23" s="24">
        <f t="shared" si="21"/>
        <v>0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>
        <f>VLOOKUP(A23,'Données projet'!$A$217:$I$237,2,0)</f>
        <v>85</v>
      </c>
      <c r="FC23" s="13">
        <f>VLOOKUP(A23,'Données projet'!$A$217:$I$237,9,0)</f>
        <v>9.6</v>
      </c>
      <c r="FD23" s="13">
        <f t="array" ref="FD23">INDEX(FC:FC,MIN(IF(ISNUMBER(FC23:FC219),ROW(FC23:FC219),"")))</f>
        <v>9.6</v>
      </c>
      <c r="FE23" s="13">
        <f>IF('Données projet'!$A$218&gt;35,FE22+FD23-FM22,IF(A23&lt;'Données projet'!$A$218,$FB$205^A23,IF(A23='Données projet'!$A$218,'Données projet'!$B$218,FE22+FD23-FM22)))</f>
        <v>84.999999999999986</v>
      </c>
      <c r="FF23" s="18">
        <f>FE23*VLOOKUP('Données projet'!$B$16,Paramètres!$A$1:$I$89,3,0)*VLOOKUP('Données projet'!$B$16,Paramètres!$A$1:$I$89,5,0)</f>
        <v>82.211999999999989</v>
      </c>
      <c r="FG23" s="14">
        <f t="shared" si="47"/>
        <v>22.677168109987932</v>
      </c>
      <c r="FH23" s="22">
        <f t="shared" si="22"/>
        <v>182.6819677915623</v>
      </c>
      <c r="FI23" s="62">
        <f t="shared" si="23"/>
        <v>399.19667067845802</v>
      </c>
      <c r="FJ23" s="62">
        <f ca="1">AVERAGE(OFFSET($FI$3,0,0,'Données projet'!$E$16+1,1))-AVERAGE(OFFSET($H$3,0,0,'Données projet'!$E$16+1,1))</f>
        <v>369.69145521630799</v>
      </c>
      <c r="FK23" s="62">
        <f t="shared" si="48"/>
        <v>360.24112103688719</v>
      </c>
      <c r="FL23" s="16">
        <f>IF(ISNA(VLOOKUP(A23,'Données projet'!$A$217:$I$237,3,0)),0,VLOOKUP(A23,'Données projet'!$A$217:$I$237,3,0))</f>
        <v>2</v>
      </c>
      <c r="FM23" s="16">
        <f>IF(ISNA(VLOOKUP(A23,'Données projet'!$A$217:$I$237,4,0)),0,VLOOKUP(A23,'Données projet'!$A$217:$I$237,4,0))</f>
        <v>25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>
        <f>EXP(-LN(2)/35)*FQ22+(1-EXP(-LN(2)/35))/(LN(2)/35)*FM23*FN23*VLOOKUP('Données projet'!$B$16,Paramètres!$A$1:$I$89,3,0)*0.475*44/12</f>
        <v>0</v>
      </c>
      <c r="FR23" s="23">
        <f>EXP(-LN(2)/25)*FR22+(1-EXP(-LN(2)/25))/(LN(2)/25)*Calculateur!FM23*Calculateur!FO23*VLOOKUP('Données projet'!$B$16,Paramètres!$A$1:$I$89,3,0)*0.475*44/12</f>
        <v>0</v>
      </c>
      <c r="FS23" s="23">
        <f>EXP(-LN(2)/2)*FS22+(1-EXP(-LN(2)/2))/(LN(2)/2)*FM23*FP23*VLOOKUP('Données projet'!$B$16,Paramètres!$A$1:$I$89,3,0)*0.475*44/12</f>
        <v>0</v>
      </c>
      <c r="FT23" s="24">
        <f t="shared" si="24"/>
        <v>0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>
        <f>VLOOKUP(A23,'Données projet'!$A$243:$I$263,2,0)</f>
        <v>85</v>
      </c>
      <c r="FX23" s="13">
        <f>VLOOKUP(A23,'Données projet'!$A$243:$I$263,9,0)</f>
        <v>9.6</v>
      </c>
      <c r="FY23" s="13">
        <f t="array" ref="FY23">INDEX(FX:FX,MIN(IF(ISNUMBER(FX23:FX219),ROW(FX23:FX219),"")))</f>
        <v>9.6</v>
      </c>
      <c r="FZ23" s="13">
        <f>IF('Données projet'!$A$244&gt;35,FZ22+FY23-GH22,IF(A23&lt;'Données projet'!$A$244,$FW$205^A23,IF(A23='Données projet'!$A$244,'Données projet'!$B$244,FZ22+FY23-GH22)))</f>
        <v>84.999999999999986</v>
      </c>
      <c r="GA23" s="18">
        <f>FZ23*VLOOKUP('Données projet'!$B$17,Paramètres!$A$1:$I$89,3,0)*VLOOKUP('Données projet'!$B$17,Paramètres!$A$1:$I$89,5,0)</f>
        <v>91.493999999999986</v>
      </c>
      <c r="GB23" s="14">
        <f t="shared" si="49"/>
        <v>24.925195840896517</v>
      </c>
      <c r="GC23" s="22">
        <f t="shared" si="25"/>
        <v>202.76343275622807</v>
      </c>
      <c r="GD23" s="62">
        <f t="shared" si="26"/>
        <v>419.27813564312379</v>
      </c>
      <c r="GE23" s="62">
        <f ca="1">AVERAGE(OFFSET($GD$3,0,0,'Données projet'!$E$17+1,1))-AVERAGE(OFFSET($H$3,0,0,'Données projet'!$E$17+1,1))</f>
        <v>405.06394904053946</v>
      </c>
      <c r="GF23" s="62">
        <f t="shared" si="50"/>
        <v>393.75247087518198</v>
      </c>
      <c r="GG23" s="16">
        <f>IF(ISNA(VLOOKUP(A23,'Données projet'!$A$243:$I$263,3,0)),0,VLOOKUP(A23,'Données projet'!$A$243:$I$263,3,0))</f>
        <v>2</v>
      </c>
      <c r="GH23" s="16">
        <f>IF(ISNA(VLOOKUP(A23,'Données projet'!$A$243:$I$263,4,0)),0,VLOOKUP(A23,'Données projet'!$A$243:$I$263,4,0))</f>
        <v>25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>
        <f>EXP(-LN(2)/35)*GL22+(1-EXP(-LN(2)/35))/(LN(2)/35)*GH23*GI23*VLOOKUP('Données projet'!$B$17,Paramètres!$A$1:$I$89,3,0)*0.475*44/12</f>
        <v>0</v>
      </c>
      <c r="GM23" s="23">
        <f>EXP(-LN(2)/25)*GM22+(1-EXP(-LN(2)/25))/(LN(2)/25)*Calculateur!GH23*Calculateur!GJ23*VLOOKUP('Données projet'!$B$17,Paramètres!$A$1:$I$89,3,0)*0.475*44/12</f>
        <v>0</v>
      </c>
      <c r="GN23" s="23">
        <f>EXP(-LN(2)/2)*GN22+(1-EXP(-LN(2)/2))/(LN(2)/2)*GH23*GK23*VLOOKUP('Données projet'!$B$17,Paramètres!$A$1:$I$89,3,0)*0.475*44/12</f>
        <v>0</v>
      </c>
      <c r="GO23" s="23">
        <f t="shared" si="27"/>
        <v>0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>
        <f>VLOOKUP(A23,'Données projet'!$A$269:$I$289,2,0)</f>
        <v>85</v>
      </c>
      <c r="GS23" s="13">
        <f>VLOOKUP(A23,'Données projet'!$A$269:$I$289,9,0)</f>
        <v>9.6</v>
      </c>
      <c r="GT23" s="13">
        <f t="array" ref="GT23">INDEX(GS:GS,MIN(IF(ISNUMBER(GS23:GS219),ROW(GS23:GS219),"")))</f>
        <v>9.6</v>
      </c>
      <c r="GU23" s="13">
        <f>IF('Données projet'!$A$270&gt;35,GU22+GT23-HC22,IF(A23&lt;'Données projet'!$A$270,$GR$205^A23,IF(A23='Données projet'!$A$270,'Données projet'!$B$270,GU22+GT23-HC22)))</f>
        <v>84.999999999999986</v>
      </c>
      <c r="GV23" s="18">
        <f>GU23*VLOOKUP('Données projet'!$B$18,Paramètres!$A$1:$I$89,3,0)*VLOOKUP('Données projet'!$B$18,Paramètres!$A$1:$I$89,5,0)</f>
        <v>57.017999999999986</v>
      </c>
      <c r="GW23" s="14">
        <f t="shared" si="51"/>
        <v>16.412103612717626</v>
      </c>
      <c r="GX23" s="22">
        <f t="shared" si="28"/>
        <v>127.89076379214983</v>
      </c>
      <c r="GY23" s="62">
        <f t="shared" si="29"/>
        <v>344.40546667904556</v>
      </c>
      <c r="GZ23" s="62">
        <f ca="1">AVERAGE(OFFSET($GY$3,0,0,'Données projet'!$E$18+1,1))-AVERAGE(OFFSET($H$3,0,0,'Données projet'!$E$18+1,1))</f>
        <v>273.21861937609918</v>
      </c>
      <c r="HA23" s="62">
        <f t="shared" si="52"/>
        <v>268.83004886965318</v>
      </c>
      <c r="HB23" s="16">
        <f>IF(ISNA(VLOOKUP(A23,'Données projet'!$A$269:$I$289,3,0)),0,VLOOKUP(A23,'Données projet'!$A$269:$I$289,3,0))</f>
        <v>2</v>
      </c>
      <c r="HC23" s="16">
        <f>IF(ISNA(VLOOKUP(A23,'Données projet'!$A$269:$I$289,4,0)),0,VLOOKUP(A23,'Données projet'!$A$269:$I$289,4,0))</f>
        <v>25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>
        <f>EXP(-LN(2)/35)*HG22+(1-EXP(-LN(2)/35))/(LN(2)/35)*HC23*HD23*VLOOKUP('Données projet'!$B$18,Paramètres!$A$1:$I$89,3,0)*0.475*44/12</f>
        <v>0</v>
      </c>
      <c r="HH23" s="23">
        <f>EXP(-LN(2)/25)*HH22+(1-EXP(-LN(2)/25))/(LN(2)/25)*Calculateur!HC23*Calculateur!HE23*VLOOKUP('Données projet'!$B$18,Paramètres!$A$1:$I$89,3,0)*0.475*44/12</f>
        <v>0</v>
      </c>
      <c r="HI23" s="23">
        <f>EXP(-LN(2)/2)*HI22+(1-EXP(-LN(2)/2))/(LN(2)/2)*HC23*HF23*VLOOKUP('Données projet'!$B$18,Paramètres!$A$1:$I$89,3,0)*0.475*44/12</f>
        <v>0</v>
      </c>
      <c r="HJ23" s="24">
        <f t="shared" si="30"/>
        <v>0</v>
      </c>
    </row>
    <row r="24" spans="1:218" s="5" customFormat="1" x14ac:dyDescent="0.4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2.4423076923076925</v>
      </c>
      <c r="N24" s="14">
        <f>IF('Données projet'!$A$36&gt;35,N23+M24-V23,IF(A24&lt;'Données projet'!$A$36,$K$205^A24,IF(A24='Données projet'!$A$36,'Données projet'!$B$36,N23+M24-V23)))</f>
        <v>51.288461538461554</v>
      </c>
      <c r="O24" s="14">
        <f>N24*VLOOKUP('Données projet'!$B$9,Paramètres!$A$1:$I$89,3,0)*VLOOKUP('Données projet'!$B$9,Paramètres!$A$1:$I$89,5,0)</f>
        <v>46.405800000000013</v>
      </c>
      <c r="P24" s="14">
        <f t="shared" si="33"/>
        <v>13.681550484401901</v>
      </c>
      <c r="Q24" s="22">
        <f t="shared" si="2"/>
        <v>104.652135427</v>
      </c>
      <c r="R24" s="62">
        <f t="shared" si="0"/>
        <v>323.5096638028744</v>
      </c>
      <c r="S24" s="62">
        <f ca="1">AVERAGE(OFFSET($R$3,0,0,'Données projet'!$E$9+1,1))-AVERAGE(OFFSET($H$3,0,0,'Données projet'!$E$9+1,1))</f>
        <v>432.80275651765203</v>
      </c>
      <c r="T24" s="62">
        <f t="shared" si="34"/>
        <v>203.89279893419919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14.88</v>
      </c>
      <c r="AI24" s="14">
        <f>IF('Données projet'!$A$62&gt;35,AI23+AH24-AQ23,IF(A24&lt;'Données projet'!$A$62,$AF$205^A24,IF(A24='Données projet'!$A$62,'Données projet'!$B$62,AI23+AH24-AQ23)))</f>
        <v>144.29659049240797</v>
      </c>
      <c r="AJ24" s="14">
        <f>AI24*VLOOKUP('Données projet'!$B$10,Paramètres!$A$1:$I$89,3,0)*VLOOKUP('Données projet'!$B$10,Paramètres!$A$1:$I$89,5,0)</f>
        <v>63.779092997644327</v>
      </c>
      <c r="AK24" s="14">
        <f t="shared" si="35"/>
        <v>18.120319255005196</v>
      </c>
      <c r="AL24" s="22">
        <f t="shared" si="4"/>
        <v>142.64147634003123</v>
      </c>
      <c r="AM24" s="62">
        <f t="shared" si="5"/>
        <v>361.49900471590558</v>
      </c>
      <c r="AN24" s="62">
        <f ca="1">AVERAGE(OFFSET($AM$3,0,0,'Données projet'!$E$10+1,1))-AVERAGE(OFFSET($H$3,0,0,'Données projet'!$E$10+1,1))</f>
        <v>413.08876898406481</v>
      </c>
      <c r="AO24" s="62">
        <f t="shared" si="36"/>
        <v>520.31320932826566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0</v>
      </c>
      <c r="AX24" s="23">
        <f t="shared" si="6"/>
        <v>0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14.88</v>
      </c>
      <c r="BD24" s="13">
        <f>IF('Données projet'!$A$88&gt;35,BD23+BC24-BL23,IF(A24&lt;'Données projet'!$A$88,$BA$205^A24,IF(A24='Données projet'!$A$88,'Données projet'!$B$88,BD23+BC24-BL23)))</f>
        <v>144.29659049240797</v>
      </c>
      <c r="BE24" s="14">
        <f>BD24*VLOOKUP('Données projet'!$B$11,Paramètres!$A$1:$I$89,3,0)*VLOOKUP('Données projet'!$B$11,Paramètres!$A$1:$I$89,5,0)</f>
        <v>80.661794085256062</v>
      </c>
      <c r="BF24" s="14">
        <f t="shared" si="37"/>
        <v>22.29891855648512</v>
      </c>
      <c r="BG24" s="22">
        <f t="shared" si="7"/>
        <v>179.32324118436588</v>
      </c>
      <c r="BH24" s="62">
        <f t="shared" si="8"/>
        <v>398.18076956024026</v>
      </c>
      <c r="BI24" s="62">
        <f ca="1">AVERAGE(OFFSET($BH$3,0,0,'Données projet'!$E$11+1,1))-AVERAGE(OFFSET($H$3,0,0,'Données projet'!$E$11+1,1))</f>
        <v>507.66185230065889</v>
      </c>
      <c r="BJ24" s="62">
        <f t="shared" si="38"/>
        <v>640.14375617778342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5.736111113999999</v>
      </c>
      <c r="BY24" s="13">
        <f>IF('Données projet'!$A$114&gt;35,BY23+BX24-CG23,IF(A24&lt;'Données projet'!$A$114,$BV$205^A24,IF(A24='Données projet'!$A$114,'Données projet'!$B$114,BY23+BX24-CG23)))</f>
        <v>82.402777774</v>
      </c>
      <c r="BZ24" s="14">
        <f>BY24*VLOOKUP('Données projet'!$B$12,Paramètres!$A$1:$I$89,3,0)*VLOOKUP('Données projet'!$B$12,Paramètres!$A$1:$I$89,5,0)</f>
        <v>38.564499998232002</v>
      </c>
      <c r="CA24" s="14">
        <f t="shared" si="39"/>
        <v>11.617361964592474</v>
      </c>
      <c r="CB24" s="22">
        <f t="shared" si="10"/>
        <v>87.400076251919288</v>
      </c>
      <c r="CC24" s="62">
        <f t="shared" si="11"/>
        <v>306.25760462779368</v>
      </c>
      <c r="CD24" s="62">
        <f ca="1">AVERAGE(OFFSET($CC$3,0,0,'Données projet'!$E$12+1,1))-AVERAGE(OFFSET($H$3,0,0,'Données projet'!$E$12+1,1))</f>
        <v>289.21044803824958</v>
      </c>
      <c r="CE24" s="62">
        <f t="shared" si="40"/>
        <v>196.11836398299445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>
        <f>EXP(-LN(2)/35)*CK23+(1-EXP(-LN(2)/35))/(LN(2)/35)*CG24*CH24*VLOOKUP('Données projet'!$B$12,Paramètres!$A$1:$I$89,3,0)*0.475*44/12</f>
        <v>0</v>
      </c>
      <c r="CL24" s="23">
        <f>EXP(-LN(2)/25)*CL23+(1-EXP(-LN(2)/25))/(LN(2)/25)*Calculateur!CG24*Calculateur!CI24*VLOOKUP('Données projet'!$B$12,Paramètres!$A$1:$I$89,3,0)*0.475*44/12</f>
        <v>0</v>
      </c>
      <c r="CM24" s="23">
        <f>EXP(-LN(2)/2)*CM23+(1-EXP(-LN(2)/2))/(LN(2)/2)*CG24*CJ24*VLOOKUP('Données projet'!$B$12,Paramètres!$A$1:$I$89,3,0)*0.475*44/12</f>
        <v>0</v>
      </c>
      <c r="CN24" s="24">
        <f t="shared" si="12"/>
        <v>0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10.4</v>
      </c>
      <c r="CT24" s="13">
        <f>IF('Données projet'!$A$140&gt;35,CT23+CS24-DB23,IF(A24&lt;'Données projet'!$A$140,$CQ$205^A24,IF(A24='Données projet'!$A$140,'Données projet'!$B$140,CT23+CS24-DB23)))</f>
        <v>172.39999999999998</v>
      </c>
      <c r="CU24" s="18">
        <f>CT24*VLOOKUP('Données projet'!$B$13,Paramètres!$A$1:$I$89,3,0)*VLOOKUP('Données projet'!$B$13,Paramètres!$A$1:$I$89,5,0)</f>
        <v>155.98751999999996</v>
      </c>
      <c r="CV24" s="14">
        <f t="shared" si="41"/>
        <v>39.936155927663087</v>
      </c>
      <c r="CW24" s="22">
        <f t="shared" si="13"/>
        <v>341.23373557401311</v>
      </c>
      <c r="CX24" s="62">
        <f t="shared" si="14"/>
        <v>560.09126394988743</v>
      </c>
      <c r="CY24" s="62">
        <f ca="1">AVERAGE(OFFSET($CX$3,0,0,'Données projet'!$E$13+1,1))-AVERAGE(OFFSET($H$3,0,0,'Données projet'!$E$13+1,1))</f>
        <v>376.68007030857598</v>
      </c>
      <c r="CZ24" s="62">
        <f t="shared" si="42"/>
        <v>532.90758914457626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>
        <f>EXP(-LN(2)/35)*DF23+(1-EXP(-LN(2)/35))/(LN(2)/35)*DB24*DC24*VLOOKUP('Données projet'!$B$13,Paramètres!$A$1:$I$89,3,0)*0.475*44/12</f>
        <v>0</v>
      </c>
      <c r="DG24" s="23">
        <f>EXP(-LN(2)/25)*DG23+(1-EXP(-LN(2)/25))/(LN(2)/25)*Calculateur!DB24*Calculateur!DD24*VLOOKUP('Données projet'!$B$13,Paramètres!$A$1:$I$89,3,0)*0.475*44/12</f>
        <v>8.6113493697393793</v>
      </c>
      <c r="DH24" s="23">
        <f>EXP(-LN(2)/2)*DH23+(1-EXP(-LN(2)/2))/(LN(2)/2)*DB24*DE24*VLOOKUP('Données projet'!$B$13,Paramètres!$A$1:$I$89,3,0)*0.475*44/12</f>
        <v>0</v>
      </c>
      <c r="DI24" s="24">
        <f t="shared" si="15"/>
        <v>8.6113493697393793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10.6</v>
      </c>
      <c r="DO24" s="13">
        <f>IF('Données projet'!$A$166&gt;35,DO23+DN24-DW23,IF(A24&lt;'Données projet'!$A$166,$DL$205^A24,IF(A24='Données projet'!$A$166,'Données projet'!$B$166,DO23+DN24-DW23)))</f>
        <v>70.59999999999998</v>
      </c>
      <c r="DP24" s="18">
        <f>DO24*VLOOKUP('Données projet'!$B$14,Paramètres!$A$1:$I$89,3,0)*VLOOKUP('Données projet'!$B$14,Paramètres!$A$1:$I$89,5,0)</f>
        <v>67.18295999999998</v>
      </c>
      <c r="DQ24" s="14">
        <f t="shared" si="43"/>
        <v>18.97222366934529</v>
      </c>
      <c r="DR24" s="22">
        <f t="shared" si="16"/>
        <v>150.05361155744299</v>
      </c>
      <c r="DS24" s="62">
        <f t="shared" si="17"/>
        <v>368.91113993331737</v>
      </c>
      <c r="DT24" s="62">
        <f ca="1">AVERAGE(OFFSET($DS$3,0,0,'Données projet'!$E$14+1,1))-AVERAGE(OFFSET($H$3,0,0,'Données projet'!$E$14+1,1))</f>
        <v>364.63161066507769</v>
      </c>
      <c r="DU24" s="62">
        <f t="shared" si="44"/>
        <v>355.44729904860708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>
        <f>EXP(-LN(2)/35)*EA23+(1-EXP(-LN(2)/35))/(LN(2)/35)*DW24*DX24*VLOOKUP('Données projet'!$B$14,Paramètres!$A$1:$I$89,3,0)*0.475*44/12</f>
        <v>0</v>
      </c>
      <c r="EB24" s="23">
        <f>EXP(-LN(2)/25)*EB23+(1-EXP(-LN(2)/25))/(LN(2)/25)*Calculateur!DW24*Calculateur!DY24*VLOOKUP('Données projet'!$B$14,Paramètres!$A$1:$I$89,3,0)*0.475*44/12</f>
        <v>0</v>
      </c>
      <c r="EC24" s="23">
        <f>EXP(-LN(2)/2)*EC23+(1-EXP(-LN(2)/2))/(LN(2)/2)*DW24*DZ24*VLOOKUP('Données projet'!$B$14,Paramètres!$A$1:$I$89,3,0)*0.475*44/12</f>
        <v>0</v>
      </c>
      <c r="ED24" s="24">
        <f t="shared" si="18"/>
        <v>0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10.6</v>
      </c>
      <c r="EJ24" s="13">
        <f>IF('Données projet'!$A$192&gt;35,EJ23+EI24-ER23,IF(A24&lt;'Données projet'!$A$192,$EG$205^A24,IF(A24='Données projet'!$A$192,'Données projet'!$B$192,EJ23+EI24-ER23)))</f>
        <v>70.59999999999998</v>
      </c>
      <c r="EK24" s="18">
        <f>EJ24*VLOOKUP('Données projet'!$B$15,Paramètres!$A$1:$I$89,3,0)*VLOOKUP('Données projet'!$B$15,Paramètres!$A$1:$I$89,5,0)</f>
        <v>51.763919999999985</v>
      </c>
      <c r="EL24" s="14">
        <f t="shared" si="45"/>
        <v>15.06837643420489</v>
      </c>
      <c r="EM24" s="22">
        <f t="shared" si="19"/>
        <v>116.39958295624017</v>
      </c>
      <c r="EN24" s="62">
        <f t="shared" si="20"/>
        <v>335.25711133211456</v>
      </c>
      <c r="EO24" s="62">
        <f ca="1">AVERAGE(OFFSET($EN$3,0,0,'Données projet'!$E$15+1,1))-AVERAGE(OFFSET($H$3,0,0,'Données projet'!$E$15+1,1))</f>
        <v>293.59366973965774</v>
      </c>
      <c r="EP24" s="62">
        <f t="shared" si="46"/>
        <v>288.13804536120426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>
        <f>EXP(-LN(2)/35)*EV23+(1-EXP(-LN(2)/35))/(LN(2)/35)*ER24*ES24*VLOOKUP('Données projet'!$B$15,Paramètres!$A$1:$I$89,3,0)*0.475*44/12</f>
        <v>0</v>
      </c>
      <c r="EW24" s="23">
        <f>EXP(-LN(2)/25)*EW23+(1-EXP(-LN(2)/25))/(LN(2)/25)*Calculateur!ER24*Calculateur!ET24*VLOOKUP('Données projet'!$B$15,Paramètres!$A$1:$I$89,3,0)*0.475*44/12</f>
        <v>0</v>
      </c>
      <c r="EX24" s="23">
        <f>EXP(-LN(2)/2)*EX23+(1-EXP(-LN(2)/2))/(LN(2)/2)*ER24*EU24*VLOOKUP('Données projet'!$B$15,Paramètres!$A$1:$I$89,3,0)*0.475*44/12</f>
        <v>0</v>
      </c>
      <c r="EY24" s="24">
        <f t="shared" si="21"/>
        <v>0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10.6</v>
      </c>
      <c r="FE24" s="13">
        <f>IF('Données projet'!$A$218&gt;35,FE23+FD24-FM23,IF(A24&lt;'Données projet'!$A$218,$FB$205^A24,IF(A24='Données projet'!$A$218,'Données projet'!$B$218,FE23+FD24-FM23)))</f>
        <v>70.59999999999998</v>
      </c>
      <c r="FF24" s="18">
        <f>FE24*VLOOKUP('Données projet'!$B$16,Paramètres!$A$1:$I$89,3,0)*VLOOKUP('Données projet'!$B$16,Paramètres!$A$1:$I$89,5,0)</f>
        <v>68.28431999999998</v>
      </c>
      <c r="FG24" s="14">
        <f t="shared" si="47"/>
        <v>19.246780377583161</v>
      </c>
      <c r="FH24" s="22">
        <f t="shared" si="22"/>
        <v>152.44999982429064</v>
      </c>
      <c r="FI24" s="62">
        <f t="shared" si="23"/>
        <v>371.30752820016505</v>
      </c>
      <c r="FJ24" s="62">
        <f ca="1">AVERAGE(OFFSET($FI$3,0,0,'Données projet'!$E$16+1,1))-AVERAGE(OFFSET($H$3,0,0,'Données projet'!$E$16+1,1))</f>
        <v>369.69145521630799</v>
      </c>
      <c r="FK24" s="62">
        <f t="shared" si="48"/>
        <v>360.24112103688719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>
        <f>EXP(-LN(2)/35)*FQ23+(1-EXP(-LN(2)/35))/(LN(2)/35)*FM24*FN24*VLOOKUP('Données projet'!$B$16,Paramètres!$A$1:$I$89,3,0)*0.475*44/12</f>
        <v>0</v>
      </c>
      <c r="FR24" s="23">
        <f>EXP(-LN(2)/25)*FR23+(1-EXP(-LN(2)/25))/(LN(2)/25)*Calculateur!FM24*Calculateur!FO24*VLOOKUP('Données projet'!$B$16,Paramètres!$A$1:$I$89,3,0)*0.475*44/12</f>
        <v>0</v>
      </c>
      <c r="FS24" s="23">
        <f>EXP(-LN(2)/2)*FS23+(1-EXP(-LN(2)/2))/(LN(2)/2)*FM24*FP24*VLOOKUP('Données projet'!$B$16,Paramètres!$A$1:$I$89,3,0)*0.475*44/12</f>
        <v>0</v>
      </c>
      <c r="FT24" s="24">
        <f t="shared" si="24"/>
        <v>0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10.6</v>
      </c>
      <c r="FZ24" s="13">
        <f>IF('Données projet'!$A$244&gt;35,FZ23+FY24-GH23,IF(A24&lt;'Données projet'!$A$244,$FW$205^A24,IF(A24='Données projet'!$A$244,'Données projet'!$B$244,FZ23+FY24-GH23)))</f>
        <v>70.59999999999998</v>
      </c>
      <c r="GA24" s="18">
        <f>FZ24*VLOOKUP('Données projet'!$B$17,Paramètres!$A$1:$I$89,3,0)*VLOOKUP('Données projet'!$B$17,Paramètres!$A$1:$I$89,5,0)</f>
        <v>75.993839999999977</v>
      </c>
      <c r="GB24" s="14">
        <f t="shared" si="49"/>
        <v>21.15474771326021</v>
      </c>
      <c r="GC24" s="22">
        <f t="shared" si="25"/>
        <v>169.20045693392817</v>
      </c>
      <c r="GD24" s="62">
        <f t="shared" si="26"/>
        <v>388.05798530980258</v>
      </c>
      <c r="GE24" s="62">
        <f ca="1">AVERAGE(OFFSET($GD$3,0,0,'Données projet'!$E$17+1,1))-AVERAGE(OFFSET($H$3,0,0,'Données projet'!$E$17+1,1))</f>
        <v>405.06394904053946</v>
      </c>
      <c r="GF24" s="62">
        <f t="shared" si="50"/>
        <v>393.75247087518198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>
        <f>EXP(-LN(2)/35)*GL23+(1-EXP(-LN(2)/35))/(LN(2)/35)*GH24*GI24*VLOOKUP('Données projet'!$B$17,Paramètres!$A$1:$I$89,3,0)*0.475*44/12</f>
        <v>0</v>
      </c>
      <c r="GM24" s="23">
        <f>EXP(-LN(2)/25)*GM23+(1-EXP(-LN(2)/25))/(LN(2)/25)*Calculateur!GH24*Calculateur!GJ24*VLOOKUP('Données projet'!$B$17,Paramètres!$A$1:$I$89,3,0)*0.475*44/12</f>
        <v>0</v>
      </c>
      <c r="GN24" s="23">
        <f>EXP(-LN(2)/2)*GN23+(1-EXP(-LN(2)/2))/(LN(2)/2)*GH24*GK24*VLOOKUP('Données projet'!$B$17,Paramètres!$A$1:$I$89,3,0)*0.475*44/12</f>
        <v>0</v>
      </c>
      <c r="GO24" s="23">
        <f t="shared" si="27"/>
        <v>0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10.6</v>
      </c>
      <c r="GU24" s="13">
        <f>IF('Données projet'!$A$270&gt;35,GU23+GT24-HC23,IF(A24&lt;'Données projet'!$A$270,$GR$205^A24,IF(A24='Données projet'!$A$270,'Données projet'!$B$270,GU23+GT24-HC23)))</f>
        <v>70.59999999999998</v>
      </c>
      <c r="GV24" s="18">
        <f>GU24*VLOOKUP('Données projet'!$B$18,Paramètres!$A$1:$I$89,3,0)*VLOOKUP('Données projet'!$B$18,Paramètres!$A$1:$I$89,5,0)</f>
        <v>47.358479999999986</v>
      </c>
      <c r="GW24" s="14">
        <f t="shared" si="51"/>
        <v>13.929435643641453</v>
      </c>
      <c r="GX24" s="22">
        <f t="shared" si="28"/>
        <v>106.74311974600884</v>
      </c>
      <c r="GY24" s="62">
        <f t="shared" si="29"/>
        <v>325.60064812188324</v>
      </c>
      <c r="GZ24" s="62">
        <f ca="1">AVERAGE(OFFSET($GY$3,0,0,'Données projet'!$E$18+1,1))-AVERAGE(OFFSET($H$3,0,0,'Données projet'!$E$18+1,1))</f>
        <v>273.21861937609918</v>
      </c>
      <c r="HA24" s="62">
        <f t="shared" si="52"/>
        <v>268.83004886965318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>
        <f>EXP(-LN(2)/35)*HG23+(1-EXP(-LN(2)/35))/(LN(2)/35)*HC24*HD24*VLOOKUP('Données projet'!$B$18,Paramètres!$A$1:$I$89,3,0)*0.475*44/12</f>
        <v>0</v>
      </c>
      <c r="HH24" s="23">
        <f>EXP(-LN(2)/25)*HH23+(1-EXP(-LN(2)/25))/(LN(2)/25)*Calculateur!HC24*Calculateur!HE24*VLOOKUP('Données projet'!$B$18,Paramètres!$A$1:$I$89,3,0)*0.475*44/12</f>
        <v>0</v>
      </c>
      <c r="HI24" s="23">
        <f>EXP(-LN(2)/2)*HI23+(1-EXP(-LN(2)/2))/(LN(2)/2)*HC24*HF24*VLOOKUP('Données projet'!$B$18,Paramètres!$A$1:$I$89,3,0)*0.475*44/12</f>
        <v>0</v>
      </c>
      <c r="HJ24" s="24">
        <f t="shared" si="30"/>
        <v>0</v>
      </c>
    </row>
    <row r="25" spans="1:218" s="5" customFormat="1" x14ac:dyDescent="0.4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 t="e">
        <f>VLOOKUP(A25,'Données projet'!$A$35:$I$55,2,0)</f>
        <v>#N/A</v>
      </c>
      <c r="L25" s="13" t="e">
        <f>VLOOKUP(A25,'Données projet'!$A$35:$I$55,9,0)</f>
        <v>#N/A</v>
      </c>
      <c r="M25" s="13">
        <f t="array" ref="M25">INDEX(L:L,MIN(IF(ISNUMBER(L25:L221),ROW(L25:L221),"")))</f>
        <v>2.4423076923076925</v>
      </c>
      <c r="N25" s="14">
        <f>IF('Données projet'!$A$36&gt;35,N24+M25-V24,IF(A25&lt;'Données projet'!$A$36,$K$205^A25,IF(A25='Données projet'!$A$36,'Données projet'!$B$36,N24+M25-V24)))</f>
        <v>53.730769230769248</v>
      </c>
      <c r="O25" s="14">
        <f>N25*VLOOKUP('Données projet'!$B$9,Paramètres!$A$1:$I$89,3,0)*VLOOKUP('Données projet'!$B$9,Paramètres!$A$1:$I$89,5,0)</f>
        <v>48.615600000000015</v>
      </c>
      <c r="P25" s="14">
        <f t="shared" si="33"/>
        <v>14.255650167206925</v>
      </c>
      <c r="Q25" s="22">
        <f t="shared" si="2"/>
        <v>109.50076070788542</v>
      </c>
      <c r="R25" s="62">
        <f t="shared" si="0"/>
        <v>330.6816746113538</v>
      </c>
      <c r="S25" s="62">
        <f ca="1">AVERAGE(OFFSET($R$3,0,0,'Données projet'!$E$9+1,1))-AVERAGE(OFFSET($H$3,0,0,'Données projet'!$E$9+1,1))</f>
        <v>432.80275651765203</v>
      </c>
      <c r="T25" s="62">
        <f t="shared" si="34"/>
        <v>203.89279893419919</v>
      </c>
      <c r="U25" s="16">
        <f>IF(ISNA(VLOOKUP(A25,'Données projet'!$A$35:$I$55,3,0)),0,VLOOKUP(A25,'Données projet'!$A$35:$I$55,3,0))</f>
        <v>0</v>
      </c>
      <c r="V25" s="16">
        <f>IF(ISNA(VLOOKUP(A25,'Données projet'!$A$35:$I$55,4,0)),0,VLOOKUP(A25,'Données projet'!$A$35:$I$55,4,0))</f>
        <v>0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0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0</v>
      </c>
      <c r="AC25" s="24">
        <f t="shared" si="3"/>
        <v>0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14.88</v>
      </c>
      <c r="AI25" s="14">
        <f>IF('Données projet'!$A$62&gt;35,AI24+AH25-AQ24,IF(A25&lt;'Données projet'!$A$62,$AF$205^A25,IF(A25='Données projet'!$A$62,'Données projet'!$B$62,AI24+AH25-AQ24)))</f>
        <v>182.84276790714176</v>
      </c>
      <c r="AJ25" s="14">
        <f>AI25*VLOOKUP('Données projet'!$B$10,Paramètres!$A$1:$I$89,3,0)*VLOOKUP('Données projet'!$B$10,Paramètres!$A$1:$I$89,5,0)</f>
        <v>80.816503414956671</v>
      </c>
      <c r="AK25" s="14">
        <f t="shared" si="35"/>
        <v>22.336705319357559</v>
      </c>
      <c r="AL25" s="22">
        <f t="shared" si="4"/>
        <v>179.65850521226398</v>
      </c>
      <c r="AM25" s="62">
        <f t="shared" si="5"/>
        <v>400.83941911573237</v>
      </c>
      <c r="AN25" s="62">
        <f ca="1">AVERAGE(OFFSET($AM$3,0,0,'Données projet'!$E$10+1,1))-AVERAGE(OFFSET($H$3,0,0,'Données projet'!$E$10+1,1))</f>
        <v>413.08876898406481</v>
      </c>
      <c r="AO25" s="62">
        <f t="shared" si="36"/>
        <v>520.31320932826566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0</v>
      </c>
      <c r="AX25" s="23">
        <f t="shared" si="6"/>
        <v>0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14.88</v>
      </c>
      <c r="BD25" s="13">
        <f>IF('Données projet'!$A$88&gt;35,BD24+BC25-BL24,IF(A25&lt;'Données projet'!$A$88,$BA$205^A25,IF(A25='Données projet'!$A$88,'Données projet'!$B$88,BD24+BC25-BL24)))</f>
        <v>182.84276790714176</v>
      </c>
      <c r="BE25" s="14">
        <f>BD25*VLOOKUP('Données projet'!$B$11,Paramètres!$A$1:$I$89,3,0)*VLOOKUP('Données projet'!$B$11,Paramètres!$A$1:$I$89,5,0)</f>
        <v>102.20910726009224</v>
      </c>
      <c r="BF25" s="14">
        <f t="shared" si="37"/>
        <v>27.487615738281306</v>
      </c>
      <c r="BG25" s="22">
        <f t="shared" si="7"/>
        <v>225.88845922216728</v>
      </c>
      <c r="BH25" s="62">
        <f t="shared" si="8"/>
        <v>447.06937312563571</v>
      </c>
      <c r="BI25" s="62">
        <f ca="1">AVERAGE(OFFSET($BH$3,0,0,'Données projet'!$E$11+1,1))-AVERAGE(OFFSET($H$3,0,0,'Données projet'!$E$11+1,1))</f>
        <v>507.66185230065889</v>
      </c>
      <c r="BJ25" s="62">
        <f t="shared" si="38"/>
        <v>640.14375617778342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5.736111113999999</v>
      </c>
      <c r="BY25" s="13">
        <f>IF('Données projet'!$A$114&gt;35,BY24+BX25-CG24,IF(A25&lt;'Données projet'!$A$114,$BV$205^A25,IF(A25='Données projet'!$A$114,'Données projet'!$B$114,BY24+BX25-CG24)))</f>
        <v>88.138888887999997</v>
      </c>
      <c r="BZ25" s="14">
        <f>BY25*VLOOKUP('Données projet'!$B$12,Paramètres!$A$1:$I$89,3,0)*VLOOKUP('Données projet'!$B$12,Paramètres!$A$1:$I$89,5,0)</f>
        <v>41.248999999583994</v>
      </c>
      <c r="CA25" s="14">
        <f t="shared" si="39"/>
        <v>12.329099760408253</v>
      </c>
      <c r="CB25" s="22">
        <f t="shared" si="10"/>
        <v>93.315190415319819</v>
      </c>
      <c r="CC25" s="62">
        <f t="shared" si="11"/>
        <v>314.49610431878818</v>
      </c>
      <c r="CD25" s="62">
        <f ca="1">AVERAGE(OFFSET($CC$3,0,0,'Données projet'!$E$12+1,1))-AVERAGE(OFFSET($H$3,0,0,'Données projet'!$E$12+1,1))</f>
        <v>289.21044803824958</v>
      </c>
      <c r="CE25" s="62">
        <f t="shared" si="40"/>
        <v>196.11836398299445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>
        <f>EXP(-LN(2)/35)*CK24+(1-EXP(-LN(2)/35))/(LN(2)/35)*CG25*CH25*VLOOKUP('Données projet'!$B$12,Paramètres!$A$1:$I$89,3,0)*0.475*44/12</f>
        <v>0</v>
      </c>
      <c r="CL25" s="23">
        <f>EXP(-LN(2)/25)*CL24+(1-EXP(-LN(2)/25))/(LN(2)/25)*Calculateur!CG25*Calculateur!CI25*VLOOKUP('Données projet'!$B$12,Paramètres!$A$1:$I$89,3,0)*0.475*44/12</f>
        <v>0</v>
      </c>
      <c r="CM25" s="23">
        <f>EXP(-LN(2)/2)*CM24+(1-EXP(-LN(2)/2))/(LN(2)/2)*CG25*CJ25*VLOOKUP('Données projet'!$B$12,Paramètres!$A$1:$I$89,3,0)*0.475*44/12</f>
        <v>0</v>
      </c>
      <c r="CN25" s="24">
        <f t="shared" si="12"/>
        <v>0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10.4</v>
      </c>
      <c r="CT25" s="13">
        <f>IF('Données projet'!$A$140&gt;35,CT24+CS25-DB24,IF(A25&lt;'Données projet'!$A$140,$CQ$205^A25,IF(A25='Données projet'!$A$140,'Données projet'!$B$140,CT24+CS25-DB24)))</f>
        <v>182.79999999999998</v>
      </c>
      <c r="CU25" s="18">
        <f>CT25*VLOOKUP('Données projet'!$B$13,Paramètres!$A$1:$I$89,3,0)*VLOOKUP('Données projet'!$B$13,Paramètres!$A$1:$I$89,5,0)</f>
        <v>165.39743999999999</v>
      </c>
      <c r="CV25" s="14">
        <f t="shared" si="41"/>
        <v>42.057562385840804</v>
      </c>
      <c r="CW25" s="22">
        <f t="shared" si="13"/>
        <v>361.31746248867267</v>
      </c>
      <c r="CX25" s="62">
        <f t="shared" si="14"/>
        <v>582.49837639214104</v>
      </c>
      <c r="CY25" s="62">
        <f ca="1">AVERAGE(OFFSET($CX$3,0,0,'Données projet'!$E$13+1,1))-AVERAGE(OFFSET($H$3,0,0,'Données projet'!$E$13+1,1))</f>
        <v>376.68007030857598</v>
      </c>
      <c r="CZ25" s="62">
        <f t="shared" si="42"/>
        <v>532.90758914457626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>
        <f>EXP(-LN(2)/35)*DF24+(1-EXP(-LN(2)/35))/(LN(2)/35)*DB25*DC25*VLOOKUP('Données projet'!$B$13,Paramètres!$A$1:$I$89,3,0)*0.475*44/12</f>
        <v>0</v>
      </c>
      <c r="DG25" s="23">
        <f>EXP(-LN(2)/25)*DG24+(1-EXP(-LN(2)/25))/(LN(2)/25)*Calculateur!DB25*Calculateur!DD25*VLOOKUP('Données projet'!$B$13,Paramètres!$A$1:$I$89,3,0)*0.475*44/12</f>
        <v>8.3758715683726734</v>
      </c>
      <c r="DH25" s="23">
        <f>EXP(-LN(2)/2)*DH24+(1-EXP(-LN(2)/2))/(LN(2)/2)*DB25*DE25*VLOOKUP('Données projet'!$B$13,Paramètres!$A$1:$I$89,3,0)*0.475*44/12</f>
        <v>0</v>
      </c>
      <c r="DI25" s="24">
        <f t="shared" si="15"/>
        <v>8.3758715683726734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10.6</v>
      </c>
      <c r="DO25" s="13">
        <f>IF('Données projet'!$A$166&gt;35,DO24+DN25-DW24,IF(A25&lt;'Données projet'!$A$166,$DL$205^A25,IF(A25='Données projet'!$A$166,'Données projet'!$B$166,DO24+DN25-DW24)))</f>
        <v>81.199999999999974</v>
      </c>
      <c r="DP25" s="18">
        <f>DO25*VLOOKUP('Données projet'!$B$14,Paramètres!$A$1:$I$89,3,0)*VLOOKUP('Données projet'!$B$14,Paramètres!$A$1:$I$89,5,0)</f>
        <v>77.269919999999971</v>
      </c>
      <c r="DQ25" s="14">
        <f t="shared" si="43"/>
        <v>21.468322447355082</v>
      </c>
      <c r="DR25" s="22">
        <f t="shared" si="16"/>
        <v>171.96910559581002</v>
      </c>
      <c r="DS25" s="62">
        <f t="shared" si="17"/>
        <v>393.15001949927841</v>
      </c>
      <c r="DT25" s="62">
        <f ca="1">AVERAGE(OFFSET($DS$3,0,0,'Données projet'!$E$14+1,1))-AVERAGE(OFFSET($H$3,0,0,'Données projet'!$E$14+1,1))</f>
        <v>364.63161066507769</v>
      </c>
      <c r="DU25" s="62">
        <f t="shared" si="44"/>
        <v>355.44729904860708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>
        <f>EXP(-LN(2)/35)*EA24+(1-EXP(-LN(2)/35))/(LN(2)/35)*DW25*DX25*VLOOKUP('Données projet'!$B$14,Paramètres!$A$1:$I$89,3,0)*0.475*44/12</f>
        <v>0</v>
      </c>
      <c r="EB25" s="23">
        <f>EXP(-LN(2)/25)*EB24+(1-EXP(-LN(2)/25))/(LN(2)/25)*Calculateur!DW25*Calculateur!DY25*VLOOKUP('Données projet'!$B$14,Paramètres!$A$1:$I$89,3,0)*0.475*44/12</f>
        <v>0</v>
      </c>
      <c r="EC25" s="23">
        <f>EXP(-LN(2)/2)*EC24+(1-EXP(-LN(2)/2))/(LN(2)/2)*DW25*DZ25*VLOOKUP('Données projet'!$B$14,Paramètres!$A$1:$I$89,3,0)*0.475*44/12</f>
        <v>0</v>
      </c>
      <c r="ED25" s="24">
        <f t="shared" si="18"/>
        <v>0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10.6</v>
      </c>
      <c r="EJ25" s="13">
        <f>IF('Données projet'!$A$192&gt;35,EJ24+EI25-ER24,IF(A25&lt;'Données projet'!$A$192,$EG$205^A25,IF(A25='Données projet'!$A$192,'Données projet'!$B$192,EJ24+EI25-ER24)))</f>
        <v>81.199999999999974</v>
      </c>
      <c r="EK25" s="18">
        <f>EJ25*VLOOKUP('Données projet'!$B$15,Paramètres!$A$1:$I$89,3,0)*VLOOKUP('Données projet'!$B$15,Paramètres!$A$1:$I$89,5,0)</f>
        <v>59.535839999999979</v>
      </c>
      <c r="EL25" s="14">
        <f t="shared" si="45"/>
        <v>17.050861811750952</v>
      </c>
      <c r="EM25" s="22">
        <f t="shared" si="19"/>
        <v>133.38850565546619</v>
      </c>
      <c r="EN25" s="62">
        <f t="shared" si="20"/>
        <v>354.56941955893456</v>
      </c>
      <c r="EO25" s="62">
        <f ca="1">AVERAGE(OFFSET($EN$3,0,0,'Données projet'!$E$15+1,1))-AVERAGE(OFFSET($H$3,0,0,'Données projet'!$E$15+1,1))</f>
        <v>293.59366973965774</v>
      </c>
      <c r="EP25" s="62">
        <f t="shared" si="46"/>
        <v>288.13804536120426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>
        <f>EXP(-LN(2)/35)*EV24+(1-EXP(-LN(2)/35))/(LN(2)/35)*ER25*ES25*VLOOKUP('Données projet'!$B$15,Paramètres!$A$1:$I$89,3,0)*0.475*44/12</f>
        <v>0</v>
      </c>
      <c r="EW25" s="23">
        <f>EXP(-LN(2)/25)*EW24+(1-EXP(-LN(2)/25))/(LN(2)/25)*Calculateur!ER25*Calculateur!ET25*VLOOKUP('Données projet'!$B$15,Paramètres!$A$1:$I$89,3,0)*0.475*44/12</f>
        <v>0</v>
      </c>
      <c r="EX25" s="23">
        <f>EXP(-LN(2)/2)*EX24+(1-EXP(-LN(2)/2))/(LN(2)/2)*ER25*EU25*VLOOKUP('Données projet'!$B$15,Paramètres!$A$1:$I$89,3,0)*0.475*44/12</f>
        <v>0</v>
      </c>
      <c r="EY25" s="24">
        <f t="shared" si="21"/>
        <v>0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10.6</v>
      </c>
      <c r="FE25" s="13">
        <f>IF('Données projet'!$A$218&gt;35,FE24+FD25-FM24,IF(A25&lt;'Données projet'!$A$218,$FB$205^A25,IF(A25='Données projet'!$A$218,'Données projet'!$B$218,FE24+FD25-FM24)))</f>
        <v>81.199999999999974</v>
      </c>
      <c r="FF25" s="18">
        <f>FE25*VLOOKUP('Données projet'!$B$16,Paramètres!$A$1:$I$89,3,0)*VLOOKUP('Données projet'!$B$16,Paramètres!$A$1:$I$89,5,0)</f>
        <v>78.536639999999977</v>
      </c>
      <c r="FG25" s="14">
        <f t="shared" si="47"/>
        <v>21.779001471873372</v>
      </c>
      <c r="FH25" s="22">
        <f t="shared" si="22"/>
        <v>174.7164088968461</v>
      </c>
      <c r="FI25" s="62">
        <f t="shared" si="23"/>
        <v>395.8973228003145</v>
      </c>
      <c r="FJ25" s="62">
        <f ca="1">AVERAGE(OFFSET($FI$3,0,0,'Données projet'!$E$16+1,1))-AVERAGE(OFFSET($H$3,0,0,'Données projet'!$E$16+1,1))</f>
        <v>369.69145521630799</v>
      </c>
      <c r="FK25" s="62">
        <f t="shared" si="48"/>
        <v>360.24112103688719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>
        <f>EXP(-LN(2)/35)*FQ24+(1-EXP(-LN(2)/35))/(LN(2)/35)*FM25*FN25*VLOOKUP('Données projet'!$B$16,Paramètres!$A$1:$I$89,3,0)*0.475*44/12</f>
        <v>0</v>
      </c>
      <c r="FR25" s="23">
        <f>EXP(-LN(2)/25)*FR24+(1-EXP(-LN(2)/25))/(LN(2)/25)*Calculateur!FM25*Calculateur!FO25*VLOOKUP('Données projet'!$B$16,Paramètres!$A$1:$I$89,3,0)*0.475*44/12</f>
        <v>0</v>
      </c>
      <c r="FS25" s="23">
        <f>EXP(-LN(2)/2)*FS24+(1-EXP(-LN(2)/2))/(LN(2)/2)*FM25*FP25*VLOOKUP('Données projet'!$B$16,Paramètres!$A$1:$I$89,3,0)*0.475*44/12</f>
        <v>0</v>
      </c>
      <c r="FT25" s="24">
        <f t="shared" si="24"/>
        <v>0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10.6</v>
      </c>
      <c r="FZ25" s="13">
        <f>IF('Données projet'!$A$244&gt;35,FZ24+FY25-GH24,IF(A25&lt;'Données projet'!$A$244,$FW$205^A25,IF(A25='Données projet'!$A$244,'Données projet'!$B$244,FZ24+FY25-GH24)))</f>
        <v>81.199999999999974</v>
      </c>
      <c r="GA25" s="18">
        <f>FZ25*VLOOKUP('Données projet'!$B$17,Paramètres!$A$1:$I$89,3,0)*VLOOKUP('Données projet'!$B$17,Paramètres!$A$1:$I$89,5,0)</f>
        <v>87.403679999999966</v>
      </c>
      <c r="GB25" s="14">
        <f t="shared" si="49"/>
        <v>23.937992357455155</v>
      </c>
      <c r="GC25" s="22">
        <f t="shared" si="25"/>
        <v>193.92007935590104</v>
      </c>
      <c r="GD25" s="62">
        <f t="shared" si="26"/>
        <v>415.10099325936943</v>
      </c>
      <c r="GE25" s="62">
        <f ca="1">AVERAGE(OFFSET($GD$3,0,0,'Données projet'!$E$17+1,1))-AVERAGE(OFFSET($H$3,0,0,'Données projet'!$E$17+1,1))</f>
        <v>405.06394904053946</v>
      </c>
      <c r="GF25" s="62">
        <f t="shared" si="50"/>
        <v>393.75247087518198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>
        <f>EXP(-LN(2)/35)*GL24+(1-EXP(-LN(2)/35))/(LN(2)/35)*GH25*GI25*VLOOKUP('Données projet'!$B$17,Paramètres!$A$1:$I$89,3,0)*0.475*44/12</f>
        <v>0</v>
      </c>
      <c r="GM25" s="23">
        <f>EXP(-LN(2)/25)*GM24+(1-EXP(-LN(2)/25))/(LN(2)/25)*Calculateur!GH25*Calculateur!GJ25*VLOOKUP('Données projet'!$B$17,Paramètres!$A$1:$I$89,3,0)*0.475*44/12</f>
        <v>0</v>
      </c>
      <c r="GN25" s="23">
        <f>EXP(-LN(2)/2)*GN24+(1-EXP(-LN(2)/2))/(LN(2)/2)*GH25*GK25*VLOOKUP('Données projet'!$B$17,Paramètres!$A$1:$I$89,3,0)*0.475*44/12</f>
        <v>0</v>
      </c>
      <c r="GO25" s="23">
        <f t="shared" si="27"/>
        <v>0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10.6</v>
      </c>
      <c r="GU25" s="13">
        <f>IF('Données projet'!$A$270&gt;35,GU24+GT25-HC24,IF(A25&lt;'Données projet'!$A$270,$GR$205^A25,IF(A25='Données projet'!$A$270,'Données projet'!$B$270,GU24+GT25-HC24)))</f>
        <v>81.199999999999974</v>
      </c>
      <c r="GV25" s="18">
        <f>GU25*VLOOKUP('Données projet'!$B$18,Paramètres!$A$1:$I$89,3,0)*VLOOKUP('Données projet'!$B$18,Paramètres!$A$1:$I$89,5,0)</f>
        <v>54.468959999999988</v>
      </c>
      <c r="GW25" s="14">
        <f t="shared" si="51"/>
        <v>15.762075185238176</v>
      </c>
      <c r="GX25" s="22">
        <f t="shared" si="28"/>
        <v>122.31905294762315</v>
      </c>
      <c r="GY25" s="62">
        <f t="shared" si="29"/>
        <v>343.49996685109153</v>
      </c>
      <c r="GZ25" s="62">
        <f ca="1">AVERAGE(OFFSET($GY$3,0,0,'Données projet'!$E$18+1,1))-AVERAGE(OFFSET($H$3,0,0,'Données projet'!$E$18+1,1))</f>
        <v>273.21861937609918</v>
      </c>
      <c r="HA25" s="62">
        <f t="shared" si="52"/>
        <v>268.83004886965318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>
        <f>EXP(-LN(2)/35)*HG24+(1-EXP(-LN(2)/35))/(LN(2)/35)*HC25*HD25*VLOOKUP('Données projet'!$B$18,Paramètres!$A$1:$I$89,3,0)*0.475*44/12</f>
        <v>0</v>
      </c>
      <c r="HH25" s="23">
        <f>EXP(-LN(2)/25)*HH24+(1-EXP(-LN(2)/25))/(LN(2)/25)*Calculateur!HC25*Calculateur!HE25*VLOOKUP('Données projet'!$B$18,Paramètres!$A$1:$I$89,3,0)*0.475*44/12</f>
        <v>0</v>
      </c>
      <c r="HI25" s="23">
        <f>EXP(-LN(2)/2)*HI24+(1-EXP(-LN(2)/2))/(LN(2)/2)*HC25*HF25*VLOOKUP('Données projet'!$B$18,Paramètres!$A$1:$I$89,3,0)*0.475*44/12</f>
        <v>0</v>
      </c>
      <c r="HJ25" s="24">
        <f t="shared" si="30"/>
        <v>0</v>
      </c>
    </row>
    <row r="26" spans="1:218" s="5" customFormat="1" x14ac:dyDescent="0.4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2.4423076923076925</v>
      </c>
      <c r="N26" s="14">
        <f>IF('Données projet'!$A$36&gt;35,N25+M26-V25,IF(A26&lt;'Données projet'!$A$36,$K$205^A26,IF(A26='Données projet'!$A$36,'Données projet'!$B$36,N25+M26-V25)))</f>
        <v>56.173076923076941</v>
      </c>
      <c r="O26" s="14">
        <f>N26*VLOOKUP('Données projet'!$B$9,Paramètres!$A$1:$I$89,3,0)*VLOOKUP('Données projet'!$B$9,Paramètres!$A$1:$I$89,5,0)</f>
        <v>50.825400000000016</v>
      </c>
      <c r="P26" s="14">
        <f t="shared" si="33"/>
        <v>14.826719260258802</v>
      </c>
      <c r="Q26" s="22">
        <f t="shared" si="2"/>
        <v>114.34410771161743</v>
      </c>
      <c r="R26" s="62">
        <f t="shared" si="0"/>
        <v>337.8293044211639</v>
      </c>
      <c r="S26" s="62">
        <f ca="1">AVERAGE(OFFSET($R$3,0,0,'Données projet'!$E$9+1,1))-AVERAGE(OFFSET($H$3,0,0,'Données projet'!$E$9+1,1))</f>
        <v>432.80275651765203</v>
      </c>
      <c r="T26" s="62">
        <f t="shared" si="34"/>
        <v>203.89279893419919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0</v>
      </c>
      <c r="AC26" s="24">
        <f t="shared" si="3"/>
        <v>0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14.88</v>
      </c>
      <c r="AI26" s="14">
        <f>IF('Données projet'!$A$62&gt;35,AI25+AH26-AQ25,IF(A26&lt;'Données projet'!$A$62,$AF$205^A26,IF(A26='Données projet'!$A$62,'Données projet'!$B$62,AI25+AH26-AQ25)))</f>
        <v>231.68584692029773</v>
      </c>
      <c r="AJ26" s="14">
        <f>AI26*VLOOKUP('Données projet'!$B$10,Paramètres!$A$1:$I$89,3,0)*VLOOKUP('Données projet'!$B$10,Paramètres!$A$1:$I$89,5,0)</f>
        <v>102.40514433877162</v>
      </c>
      <c r="AK26" s="14">
        <f t="shared" si="35"/>
        <v>27.534195038313285</v>
      </c>
      <c r="AL26" s="22">
        <f t="shared" si="4"/>
        <v>226.31101608175618</v>
      </c>
      <c r="AM26" s="62">
        <f t="shared" si="5"/>
        <v>449.79621279130265</v>
      </c>
      <c r="AN26" s="62">
        <f ca="1">AVERAGE(OFFSET($AM$3,0,0,'Données projet'!$E$10+1,1))-AVERAGE(OFFSET($H$3,0,0,'Données projet'!$E$10+1,1))</f>
        <v>413.08876898406481</v>
      </c>
      <c r="AO26" s="62">
        <f t="shared" si="36"/>
        <v>520.31320932826566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0</v>
      </c>
      <c r="AX26" s="23">
        <f t="shared" si="6"/>
        <v>0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14.88</v>
      </c>
      <c r="BD26" s="13">
        <f>IF('Données projet'!$A$88&gt;35,BD25+BC26-BL25,IF(A26&lt;'Données projet'!$A$88,$BA$205^A26,IF(A26='Données projet'!$A$88,'Données projet'!$B$88,BD25+BC26-BL25)))</f>
        <v>231.68584692029773</v>
      </c>
      <c r="BE26" s="14">
        <f>BD26*VLOOKUP('Données projet'!$B$11,Paramètres!$A$1:$I$89,3,0)*VLOOKUP('Données projet'!$B$11,Paramètres!$A$1:$I$89,5,0)</f>
        <v>129.51238842844643</v>
      </c>
      <c r="BF26" s="14">
        <f t="shared" si="37"/>
        <v>33.88366198394273</v>
      </c>
      <c r="BG26" s="22">
        <f t="shared" si="7"/>
        <v>284.58145446824443</v>
      </c>
      <c r="BH26" s="62">
        <f t="shared" si="8"/>
        <v>508.06665117779096</v>
      </c>
      <c r="BI26" s="62">
        <f ca="1">AVERAGE(OFFSET($BH$3,0,0,'Données projet'!$E$11+1,1))-AVERAGE(OFFSET($H$3,0,0,'Données projet'!$E$11+1,1))</f>
        <v>507.66185230065889</v>
      </c>
      <c r="BJ26" s="62">
        <f t="shared" si="38"/>
        <v>640.14375617778342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5.736111113999999</v>
      </c>
      <c r="BY26" s="13">
        <f>IF('Données projet'!$A$114&gt;35,BY25+BX26-CG25,IF(A26&lt;'Données projet'!$A$114,$BV$205^A26,IF(A26='Données projet'!$A$114,'Données projet'!$B$114,BY25+BX26-CG25)))</f>
        <v>93.875000001999993</v>
      </c>
      <c r="BZ26" s="14">
        <f>BY26*VLOOKUP('Données projet'!$B$12,Paramètres!$A$1:$I$89,3,0)*VLOOKUP('Données projet'!$B$12,Paramètres!$A$1:$I$89,5,0)</f>
        <v>43.933500000935993</v>
      </c>
      <c r="CA26" s="14">
        <f t="shared" si="39"/>
        <v>13.035462256253432</v>
      </c>
      <c r="CB26" s="22">
        <f t="shared" si="10"/>
        <v>99.220942597938247</v>
      </c>
      <c r="CC26" s="62">
        <f t="shared" si="11"/>
        <v>322.70613930748476</v>
      </c>
      <c r="CD26" s="62">
        <f ca="1">AVERAGE(OFFSET($CC$3,0,0,'Données projet'!$E$12+1,1))-AVERAGE(OFFSET($H$3,0,0,'Données projet'!$E$12+1,1))</f>
        <v>289.21044803824958</v>
      </c>
      <c r="CE26" s="62">
        <f t="shared" si="40"/>
        <v>196.11836398299445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>
        <f>EXP(-LN(2)/35)*CK25+(1-EXP(-LN(2)/35))/(LN(2)/35)*CG26*CH26*VLOOKUP('Données projet'!$B$12,Paramètres!$A$1:$I$89,3,0)*0.475*44/12</f>
        <v>0</v>
      </c>
      <c r="CL26" s="23">
        <f>EXP(-LN(2)/25)*CL25+(1-EXP(-LN(2)/25))/(LN(2)/25)*Calculateur!CG26*Calculateur!CI26*VLOOKUP('Données projet'!$B$12,Paramètres!$A$1:$I$89,3,0)*0.475*44/12</f>
        <v>0</v>
      </c>
      <c r="CM26" s="23">
        <f>EXP(-LN(2)/2)*CM25+(1-EXP(-LN(2)/2))/(LN(2)/2)*CG26*CJ26*VLOOKUP('Données projet'!$B$12,Paramètres!$A$1:$I$89,3,0)*0.475*44/12</f>
        <v>0</v>
      </c>
      <c r="CN26" s="24">
        <f t="shared" si="12"/>
        <v>0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10.4</v>
      </c>
      <c r="CT26" s="13">
        <f>IF('Données projet'!$A$140&gt;35,CT25+CS26-DB25,IF(A26&lt;'Données projet'!$A$140,$CQ$205^A26,IF(A26='Données projet'!$A$140,'Données projet'!$B$140,CT25+CS26-DB25)))</f>
        <v>193.2</v>
      </c>
      <c r="CU26" s="18">
        <f>CT26*VLOOKUP('Données projet'!$B$13,Paramètres!$A$1:$I$89,3,0)*VLOOKUP('Données projet'!$B$13,Paramètres!$A$1:$I$89,5,0)</f>
        <v>174.80735999999999</v>
      </c>
      <c r="CV26" s="14">
        <f t="shared" si="41"/>
        <v>44.164958649772579</v>
      </c>
      <c r="CW26" s="22">
        <f t="shared" si="13"/>
        <v>381.37678831502052</v>
      </c>
      <c r="CX26" s="62">
        <f t="shared" si="14"/>
        <v>604.86198502456705</v>
      </c>
      <c r="CY26" s="62">
        <f ca="1">AVERAGE(OFFSET($CX$3,0,0,'Données projet'!$E$13+1,1))-AVERAGE(OFFSET($H$3,0,0,'Données projet'!$E$13+1,1))</f>
        <v>376.68007030857598</v>
      </c>
      <c r="CZ26" s="62">
        <f t="shared" si="42"/>
        <v>532.90758914457626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>
        <f>EXP(-LN(2)/35)*DF25+(1-EXP(-LN(2)/35))/(LN(2)/35)*DB26*DC26*VLOOKUP('Données projet'!$B$13,Paramètres!$A$1:$I$89,3,0)*0.475*44/12</f>
        <v>0</v>
      </c>
      <c r="DG26" s="23">
        <f>EXP(-LN(2)/25)*DG25+(1-EXP(-LN(2)/25))/(LN(2)/25)*Calculateur!DB26*Calculateur!DD26*VLOOKUP('Données projet'!$B$13,Paramètres!$A$1:$I$89,3,0)*0.475*44/12</f>
        <v>8.1468329198675811</v>
      </c>
      <c r="DH26" s="23">
        <f>EXP(-LN(2)/2)*DH25+(1-EXP(-LN(2)/2))/(LN(2)/2)*DB26*DE26*VLOOKUP('Données projet'!$B$13,Paramètres!$A$1:$I$89,3,0)*0.475*44/12</f>
        <v>0</v>
      </c>
      <c r="DI26" s="24">
        <f t="shared" si="15"/>
        <v>8.1468329198675811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10.6</v>
      </c>
      <c r="DO26" s="13">
        <f>IF('Données projet'!$A$166&gt;35,DO25+DN26-DW25,IF(A26&lt;'Données projet'!$A$166,$DL$205^A26,IF(A26='Données projet'!$A$166,'Données projet'!$B$166,DO25+DN26-DW25)))</f>
        <v>91.799999999999969</v>
      </c>
      <c r="DP26" s="18">
        <f>DO26*VLOOKUP('Données projet'!$B$14,Paramètres!$A$1:$I$89,3,0)*VLOOKUP('Données projet'!$B$14,Paramètres!$A$1:$I$89,5,0)</f>
        <v>87.356879999999961</v>
      </c>
      <c r="DQ26" s="14">
        <f t="shared" si="43"/>
        <v>23.926666447556975</v>
      </c>
      <c r="DR26" s="22">
        <f t="shared" si="16"/>
        <v>193.81884339616167</v>
      </c>
      <c r="DS26" s="62">
        <f t="shared" si="17"/>
        <v>417.30404010570817</v>
      </c>
      <c r="DT26" s="62">
        <f ca="1">AVERAGE(OFFSET($DS$3,0,0,'Données projet'!$E$14+1,1))-AVERAGE(OFFSET($H$3,0,0,'Données projet'!$E$14+1,1))</f>
        <v>364.63161066507769</v>
      </c>
      <c r="DU26" s="62">
        <f t="shared" si="44"/>
        <v>355.44729904860708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>
        <f>EXP(-LN(2)/35)*EA25+(1-EXP(-LN(2)/35))/(LN(2)/35)*DW26*DX26*VLOOKUP('Données projet'!$B$14,Paramètres!$A$1:$I$89,3,0)*0.475*44/12</f>
        <v>0</v>
      </c>
      <c r="EB26" s="23">
        <f>EXP(-LN(2)/25)*EB25+(1-EXP(-LN(2)/25))/(LN(2)/25)*Calculateur!DW26*Calculateur!DY26*VLOOKUP('Données projet'!$B$14,Paramètres!$A$1:$I$89,3,0)*0.475*44/12</f>
        <v>0</v>
      </c>
      <c r="EC26" s="23">
        <f>EXP(-LN(2)/2)*EC25+(1-EXP(-LN(2)/2))/(LN(2)/2)*DW26*DZ26*VLOOKUP('Données projet'!$B$14,Paramètres!$A$1:$I$89,3,0)*0.475*44/12</f>
        <v>0</v>
      </c>
      <c r="ED26" s="24">
        <f t="shared" si="18"/>
        <v>0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10.6</v>
      </c>
      <c r="EJ26" s="13">
        <f>IF('Données projet'!$A$192&gt;35,EJ25+EI26-ER25,IF(A26&lt;'Données projet'!$A$192,$EG$205^A26,IF(A26='Données projet'!$A$192,'Données projet'!$B$192,EJ25+EI26-ER25)))</f>
        <v>91.799999999999969</v>
      </c>
      <c r="EK26" s="18">
        <f>EJ26*VLOOKUP('Données projet'!$B$15,Paramètres!$A$1:$I$89,3,0)*VLOOKUP('Données projet'!$B$15,Paramètres!$A$1:$I$89,5,0)</f>
        <v>67.307759999999973</v>
      </c>
      <c r="EL26" s="14">
        <f t="shared" si="45"/>
        <v>19.003361078332173</v>
      </c>
      <c r="EM26" s="22">
        <f t="shared" si="19"/>
        <v>150.32520254476182</v>
      </c>
      <c r="EN26" s="62">
        <f t="shared" si="20"/>
        <v>373.81039925430832</v>
      </c>
      <c r="EO26" s="62">
        <f ca="1">AVERAGE(OFFSET($EN$3,0,0,'Données projet'!$E$15+1,1))-AVERAGE(OFFSET($H$3,0,0,'Données projet'!$E$15+1,1))</f>
        <v>293.59366973965774</v>
      </c>
      <c r="EP26" s="62">
        <f t="shared" si="46"/>
        <v>288.13804536120426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>
        <f>EXP(-LN(2)/35)*EV25+(1-EXP(-LN(2)/35))/(LN(2)/35)*ER26*ES26*VLOOKUP('Données projet'!$B$15,Paramètres!$A$1:$I$89,3,0)*0.475*44/12</f>
        <v>0</v>
      </c>
      <c r="EW26" s="23">
        <f>EXP(-LN(2)/25)*EW25+(1-EXP(-LN(2)/25))/(LN(2)/25)*Calculateur!ER26*Calculateur!ET26*VLOOKUP('Données projet'!$B$15,Paramètres!$A$1:$I$89,3,0)*0.475*44/12</f>
        <v>0</v>
      </c>
      <c r="EX26" s="23">
        <f>EXP(-LN(2)/2)*EX25+(1-EXP(-LN(2)/2))/(LN(2)/2)*ER26*EU26*VLOOKUP('Données projet'!$B$15,Paramètres!$A$1:$I$89,3,0)*0.475*44/12</f>
        <v>0</v>
      </c>
      <c r="EY26" s="24">
        <f t="shared" si="21"/>
        <v>0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10.6</v>
      </c>
      <c r="FE26" s="13">
        <f>IF('Données projet'!$A$218&gt;35,FE25+FD26-FM25,IF(A26&lt;'Données projet'!$A$218,$FB$205^A26,IF(A26='Données projet'!$A$218,'Données projet'!$B$218,FE25+FD26-FM25)))</f>
        <v>91.799999999999969</v>
      </c>
      <c r="FF26" s="18">
        <f>FE26*VLOOKUP('Données projet'!$B$16,Paramètres!$A$1:$I$89,3,0)*VLOOKUP('Données projet'!$B$16,Paramètres!$A$1:$I$89,5,0)</f>
        <v>88.788959999999975</v>
      </c>
      <c r="FG26" s="14">
        <f t="shared" si="47"/>
        <v>24.272921419743568</v>
      </c>
      <c r="FH26" s="22">
        <f t="shared" si="22"/>
        <v>196.91611013938666</v>
      </c>
      <c r="FI26" s="62">
        <f t="shared" si="23"/>
        <v>420.40130684893313</v>
      </c>
      <c r="FJ26" s="62">
        <f ca="1">AVERAGE(OFFSET($FI$3,0,0,'Données projet'!$E$16+1,1))-AVERAGE(OFFSET($H$3,0,0,'Données projet'!$E$16+1,1))</f>
        <v>369.69145521630799</v>
      </c>
      <c r="FK26" s="62">
        <f t="shared" si="48"/>
        <v>360.24112103688719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>
        <f>EXP(-LN(2)/35)*FQ25+(1-EXP(-LN(2)/35))/(LN(2)/35)*FM26*FN26*VLOOKUP('Données projet'!$B$16,Paramètres!$A$1:$I$89,3,0)*0.475*44/12</f>
        <v>0</v>
      </c>
      <c r="FR26" s="23">
        <f>EXP(-LN(2)/25)*FR25+(1-EXP(-LN(2)/25))/(LN(2)/25)*Calculateur!FM26*Calculateur!FO26*VLOOKUP('Données projet'!$B$16,Paramètres!$A$1:$I$89,3,0)*0.475*44/12</f>
        <v>0</v>
      </c>
      <c r="FS26" s="23">
        <f>EXP(-LN(2)/2)*FS25+(1-EXP(-LN(2)/2))/(LN(2)/2)*FM26*FP26*VLOOKUP('Données projet'!$B$16,Paramètres!$A$1:$I$89,3,0)*0.475*44/12</f>
        <v>0</v>
      </c>
      <c r="FT26" s="24">
        <f t="shared" si="24"/>
        <v>0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10.6</v>
      </c>
      <c r="FZ26" s="13">
        <f>IF('Données projet'!$A$244&gt;35,FZ25+FY26-GH25,IF(A26&lt;'Données projet'!$A$244,$FW$205^A26,IF(A26='Données projet'!$A$244,'Données projet'!$B$244,FZ25+FY26-GH25)))</f>
        <v>91.799999999999969</v>
      </c>
      <c r="GA26" s="18">
        <f>FZ26*VLOOKUP('Données projet'!$B$17,Paramètres!$A$1:$I$89,3,0)*VLOOKUP('Données projet'!$B$17,Paramètres!$A$1:$I$89,5,0)</f>
        <v>98.813519999999954</v>
      </c>
      <c r="GB26" s="14">
        <f t="shared" si="49"/>
        <v>26.67913899493168</v>
      </c>
      <c r="GC26" s="22">
        <f t="shared" si="25"/>
        <v>218.56638108283926</v>
      </c>
      <c r="GD26" s="62">
        <f t="shared" si="26"/>
        <v>442.05157779238573</v>
      </c>
      <c r="GE26" s="62">
        <f ca="1">AVERAGE(OFFSET($GD$3,0,0,'Données projet'!$E$17+1,1))-AVERAGE(OFFSET($H$3,0,0,'Données projet'!$E$17+1,1))</f>
        <v>405.06394904053946</v>
      </c>
      <c r="GF26" s="62">
        <f t="shared" si="50"/>
        <v>393.75247087518198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>
        <f>EXP(-LN(2)/35)*GL25+(1-EXP(-LN(2)/35))/(LN(2)/35)*GH26*GI26*VLOOKUP('Données projet'!$B$17,Paramètres!$A$1:$I$89,3,0)*0.475*44/12</f>
        <v>0</v>
      </c>
      <c r="GM26" s="23">
        <f>EXP(-LN(2)/25)*GM25+(1-EXP(-LN(2)/25))/(LN(2)/25)*Calculateur!GH26*Calculateur!GJ26*VLOOKUP('Données projet'!$B$17,Paramètres!$A$1:$I$89,3,0)*0.475*44/12</f>
        <v>0</v>
      </c>
      <c r="GN26" s="23">
        <f>EXP(-LN(2)/2)*GN25+(1-EXP(-LN(2)/2))/(LN(2)/2)*GH26*GK26*VLOOKUP('Données projet'!$B$17,Paramètres!$A$1:$I$89,3,0)*0.475*44/12</f>
        <v>0</v>
      </c>
      <c r="GO26" s="23">
        <f t="shared" si="27"/>
        <v>0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10.6</v>
      </c>
      <c r="GU26" s="13">
        <f>IF('Données projet'!$A$270&gt;35,GU25+GT26-HC25,IF(A26&lt;'Données projet'!$A$270,$GR$205^A26,IF(A26='Données projet'!$A$270,'Données projet'!$B$270,GU25+GT26-HC25)))</f>
        <v>91.799999999999969</v>
      </c>
      <c r="GV26" s="18">
        <f>GU26*VLOOKUP('Données projet'!$B$18,Paramètres!$A$1:$I$89,3,0)*VLOOKUP('Données projet'!$B$18,Paramètres!$A$1:$I$89,5,0)</f>
        <v>61.579439999999977</v>
      </c>
      <c r="GW26" s="14">
        <f t="shared" si="51"/>
        <v>17.566995111207309</v>
      </c>
      <c r="GX26" s="22">
        <f t="shared" si="28"/>
        <v>137.84670781868599</v>
      </c>
      <c r="GY26" s="62">
        <f t="shared" si="29"/>
        <v>361.33190452823249</v>
      </c>
      <c r="GZ26" s="62">
        <f ca="1">AVERAGE(OFFSET($GY$3,0,0,'Données projet'!$E$18+1,1))-AVERAGE(OFFSET($H$3,0,0,'Données projet'!$E$18+1,1))</f>
        <v>273.21861937609918</v>
      </c>
      <c r="HA26" s="62">
        <f t="shared" si="52"/>
        <v>268.83004886965318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>
        <f>EXP(-LN(2)/35)*HG25+(1-EXP(-LN(2)/35))/(LN(2)/35)*HC26*HD26*VLOOKUP('Données projet'!$B$18,Paramètres!$A$1:$I$89,3,0)*0.475*44/12</f>
        <v>0</v>
      </c>
      <c r="HH26" s="23">
        <f>EXP(-LN(2)/25)*HH25+(1-EXP(-LN(2)/25))/(LN(2)/25)*Calculateur!HC26*Calculateur!HE26*VLOOKUP('Données projet'!$B$18,Paramètres!$A$1:$I$89,3,0)*0.475*44/12</f>
        <v>0</v>
      </c>
      <c r="HI26" s="23">
        <f>EXP(-LN(2)/2)*HI25+(1-EXP(-LN(2)/2))/(LN(2)/2)*HC26*HF26*VLOOKUP('Données projet'!$B$18,Paramètres!$A$1:$I$89,3,0)*0.475*44/12</f>
        <v>0</v>
      </c>
      <c r="HJ26" s="24">
        <f t="shared" si="30"/>
        <v>0</v>
      </c>
    </row>
    <row r="27" spans="1:218" s="5" customFormat="1" x14ac:dyDescent="0.4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2.4423076923076925</v>
      </c>
      <c r="N27" s="14">
        <f>IF('Données projet'!$A$36&gt;35,N26+M27-V26,IF(A27&lt;'Données projet'!$A$36,$K$205^A27,IF(A27='Données projet'!$A$36,'Données projet'!$B$36,N26+M27-V26)))</f>
        <v>58.615384615384635</v>
      </c>
      <c r="O27" s="14">
        <f>N27*VLOOKUP('Données projet'!$B$9,Paramètres!$A$1:$I$89,3,0)*VLOOKUP('Données projet'!$B$9,Paramètres!$A$1:$I$89,5,0)</f>
        <v>53.035200000000017</v>
      </c>
      <c r="P27" s="14">
        <f t="shared" si="33"/>
        <v>15.394904588576118</v>
      </c>
      <c r="Q27" s="22">
        <f t="shared" si="2"/>
        <v>119.18243215843677</v>
      </c>
      <c r="R27" s="62">
        <f t="shared" si="0"/>
        <v>344.9531403420566</v>
      </c>
      <c r="S27" s="62">
        <f ca="1">AVERAGE(OFFSET($R$3,0,0,'Données projet'!$E$9+1,1))-AVERAGE(OFFSET($H$3,0,0,'Données projet'!$E$9+1,1))</f>
        <v>432.80275651765203</v>
      </c>
      <c r="T27" s="62">
        <f t="shared" si="34"/>
        <v>203.89279893419919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0</v>
      </c>
      <c r="AC27" s="24">
        <f t="shared" si="3"/>
        <v>0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14.88</v>
      </c>
      <c r="AI27" s="14">
        <f>IF('Données projet'!$A$62&gt;35,AI26+AH27-AQ26,IF(A27&lt;'Données projet'!$A$62,$AF$205^A27,IF(A27='Données projet'!$A$62,'Données projet'!$B$62,AI26+AH27-AQ26)))</f>
        <v>293.57645521116052</v>
      </c>
      <c r="AJ27" s="14">
        <f>AI27*VLOOKUP('Données projet'!$B$10,Paramètres!$A$1:$I$89,3,0)*VLOOKUP('Données projet'!$B$10,Paramètres!$A$1:$I$89,5,0)</f>
        <v>129.76079320333295</v>
      </c>
      <c r="AK27" s="14">
        <f t="shared" si="35"/>
        <v>33.941079741552535</v>
      </c>
      <c r="AL27" s="22">
        <f t="shared" si="4"/>
        <v>285.11409537900886</v>
      </c>
      <c r="AM27" s="62">
        <f t="shared" si="5"/>
        <v>510.88480356262869</v>
      </c>
      <c r="AN27" s="62">
        <f ca="1">AVERAGE(OFFSET($AM$3,0,0,'Données projet'!$E$10+1,1))-AVERAGE(OFFSET($H$3,0,0,'Données projet'!$E$10+1,1))</f>
        <v>413.08876898406481</v>
      </c>
      <c r="AO27" s="62">
        <f t="shared" si="36"/>
        <v>520.31320932826566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0</v>
      </c>
      <c r="AX27" s="23">
        <f t="shared" si="6"/>
        <v>0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14.88</v>
      </c>
      <c r="BD27" s="13">
        <f>IF('Données projet'!$A$88&gt;35,BD26+BC27-BL26,IF(A27&lt;'Données projet'!$A$88,$BA$205^A27,IF(A27='Données projet'!$A$88,'Données projet'!$B$88,BD26+BC27-BL26)))</f>
        <v>293.57645521116052</v>
      </c>
      <c r="BE27" s="14">
        <f>BD27*VLOOKUP('Données projet'!$B$11,Paramètres!$A$1:$I$89,3,0)*VLOOKUP('Données projet'!$B$11,Paramètres!$A$1:$I$89,5,0)</f>
        <v>164.10923846303874</v>
      </c>
      <c r="BF27" s="14">
        <f t="shared" si="37"/>
        <v>41.767993280084795</v>
      </c>
      <c r="BG27" s="22">
        <f t="shared" si="7"/>
        <v>358.56951195260677</v>
      </c>
      <c r="BH27" s="62">
        <f t="shared" si="8"/>
        <v>584.34022013622655</v>
      </c>
      <c r="BI27" s="62">
        <f ca="1">AVERAGE(OFFSET($BH$3,0,0,'Données projet'!$E$11+1,1))-AVERAGE(OFFSET($H$3,0,0,'Données projet'!$E$11+1,1))</f>
        <v>507.66185230065889</v>
      </c>
      <c r="BJ27" s="62">
        <f t="shared" si="38"/>
        <v>640.14375617778342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5.736111113999999</v>
      </c>
      <c r="BY27" s="13">
        <f>IF('Données projet'!$A$114&gt;35,BY26+BX27-CG26,IF(A27&lt;'Données projet'!$A$114,$BV$205^A27,IF(A27='Données projet'!$A$114,'Données projet'!$B$114,BY26+BX27-CG26)))</f>
        <v>99.611111115999989</v>
      </c>
      <c r="BZ27" s="14">
        <f>BY27*VLOOKUP('Données projet'!$B$12,Paramètres!$A$1:$I$89,3,0)*VLOOKUP('Données projet'!$B$12,Paramètres!$A$1:$I$89,5,0)</f>
        <v>46.618000002287992</v>
      </c>
      <c r="CA27" s="14">
        <f t="shared" si="39"/>
        <v>13.736815302674207</v>
      </c>
      <c r="CB27" s="22">
        <f t="shared" si="10"/>
        <v>105.11796998947584</v>
      </c>
      <c r="CC27" s="62">
        <f t="shared" si="11"/>
        <v>330.88867817309563</v>
      </c>
      <c r="CD27" s="62">
        <f ca="1">AVERAGE(OFFSET($CC$3,0,0,'Données projet'!$E$12+1,1))-AVERAGE(OFFSET($H$3,0,0,'Données projet'!$E$12+1,1))</f>
        <v>289.21044803824958</v>
      </c>
      <c r="CE27" s="62">
        <f t="shared" si="40"/>
        <v>196.11836398299445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>
        <f>EXP(-LN(2)/35)*CK26+(1-EXP(-LN(2)/35))/(LN(2)/35)*CG27*CH27*VLOOKUP('Données projet'!$B$12,Paramètres!$A$1:$I$89,3,0)*0.475*44/12</f>
        <v>0</v>
      </c>
      <c r="CL27" s="23">
        <f>EXP(-LN(2)/25)*CL26+(1-EXP(-LN(2)/25))/(LN(2)/25)*Calculateur!CG27*Calculateur!CI27*VLOOKUP('Données projet'!$B$12,Paramètres!$A$1:$I$89,3,0)*0.475*44/12</f>
        <v>0</v>
      </c>
      <c r="CM27" s="23">
        <f>EXP(-LN(2)/2)*CM26+(1-EXP(-LN(2)/2))/(LN(2)/2)*CG27*CJ27*VLOOKUP('Données projet'!$B$12,Paramètres!$A$1:$I$89,3,0)*0.475*44/12</f>
        <v>0</v>
      </c>
      <c r="CN27" s="24">
        <f t="shared" si="12"/>
        <v>0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10.4</v>
      </c>
      <c r="CT27" s="13">
        <f>IF('Données projet'!$A$140&gt;35,CT26+CS27-DB26,IF(A27&lt;'Données projet'!$A$140,$CQ$205^A27,IF(A27='Données projet'!$A$140,'Données projet'!$B$140,CT26+CS27-DB26)))</f>
        <v>203.6</v>
      </c>
      <c r="CU27" s="18">
        <f>CT27*VLOOKUP('Données projet'!$B$13,Paramètres!$A$1:$I$89,3,0)*VLOOKUP('Données projet'!$B$13,Paramètres!$A$1:$I$89,5,0)</f>
        <v>184.21727999999999</v>
      </c>
      <c r="CV27" s="14">
        <f t="shared" si="41"/>
        <v>46.25918487744358</v>
      </c>
      <c r="CW27" s="22">
        <f t="shared" si="13"/>
        <v>401.41317632821421</v>
      </c>
      <c r="CX27" s="62">
        <f t="shared" si="14"/>
        <v>627.18388451183398</v>
      </c>
      <c r="CY27" s="62">
        <f ca="1">AVERAGE(OFFSET($CX$3,0,0,'Données projet'!$E$13+1,1))-AVERAGE(OFFSET($H$3,0,0,'Données projet'!$E$13+1,1))</f>
        <v>376.68007030857598</v>
      </c>
      <c r="CZ27" s="62">
        <f t="shared" si="42"/>
        <v>532.90758914457626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>
        <f>EXP(-LN(2)/35)*DF26+(1-EXP(-LN(2)/35))/(LN(2)/35)*DB27*DC27*VLOOKUP('Données projet'!$B$13,Paramètres!$A$1:$I$89,3,0)*0.475*44/12</f>
        <v>0</v>
      </c>
      <c r="DG27" s="23">
        <f>EXP(-LN(2)/25)*DG26+(1-EXP(-LN(2)/25))/(LN(2)/25)*Calculateur!DB27*Calculateur!DD27*VLOOKUP('Données projet'!$B$13,Paramètres!$A$1:$I$89,3,0)*0.475*44/12</f>
        <v>7.9240573452504783</v>
      </c>
      <c r="DH27" s="23">
        <f>EXP(-LN(2)/2)*DH26+(1-EXP(-LN(2)/2))/(LN(2)/2)*DB27*DE27*VLOOKUP('Données projet'!$B$13,Paramètres!$A$1:$I$89,3,0)*0.475*44/12</f>
        <v>0</v>
      </c>
      <c r="DI27" s="24">
        <f t="shared" si="15"/>
        <v>7.9240573452504783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10.6</v>
      </c>
      <c r="DO27" s="13">
        <f>IF('Données projet'!$A$166&gt;35,DO26+DN27-DW26,IF(A27&lt;'Données projet'!$A$166,$DL$205^A27,IF(A27='Données projet'!$A$166,'Données projet'!$B$166,DO26+DN27-DW26)))</f>
        <v>102.39999999999996</v>
      </c>
      <c r="DP27" s="18">
        <f>DO27*VLOOKUP('Données projet'!$B$14,Paramètres!$A$1:$I$89,3,0)*VLOOKUP('Données projet'!$B$14,Paramètres!$A$1:$I$89,5,0)</f>
        <v>97.443839999999966</v>
      </c>
      <c r="DQ27" s="14">
        <f t="shared" si="43"/>
        <v>26.352112985336255</v>
      </c>
      <c r="DR27" s="22">
        <f t="shared" si="16"/>
        <v>215.61128478279389</v>
      </c>
      <c r="DS27" s="62">
        <f t="shared" si="17"/>
        <v>441.38199296641369</v>
      </c>
      <c r="DT27" s="62">
        <f ca="1">AVERAGE(OFFSET($DS$3,0,0,'Données projet'!$E$14+1,1))-AVERAGE(OFFSET($H$3,0,0,'Données projet'!$E$14+1,1))</f>
        <v>364.63161066507769</v>
      </c>
      <c r="DU27" s="62">
        <f t="shared" si="44"/>
        <v>355.44729904860708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>
        <f>EXP(-LN(2)/35)*EA26+(1-EXP(-LN(2)/35))/(LN(2)/35)*DW27*DX27*VLOOKUP('Données projet'!$B$14,Paramètres!$A$1:$I$89,3,0)*0.475*44/12</f>
        <v>0</v>
      </c>
      <c r="EB27" s="23">
        <f>EXP(-LN(2)/25)*EB26+(1-EXP(-LN(2)/25))/(LN(2)/25)*Calculateur!DW27*Calculateur!DY27*VLOOKUP('Données projet'!$B$14,Paramètres!$A$1:$I$89,3,0)*0.475*44/12</f>
        <v>0</v>
      </c>
      <c r="EC27" s="23">
        <f>EXP(-LN(2)/2)*EC26+(1-EXP(-LN(2)/2))/(LN(2)/2)*DW27*DZ27*VLOOKUP('Données projet'!$B$14,Paramètres!$A$1:$I$89,3,0)*0.475*44/12</f>
        <v>0</v>
      </c>
      <c r="ED27" s="24">
        <f t="shared" si="18"/>
        <v>0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10.6</v>
      </c>
      <c r="EJ27" s="13">
        <f>IF('Données projet'!$A$192&gt;35,EJ26+EI27-ER26,IF(A27&lt;'Données projet'!$A$192,$EG$205^A27,IF(A27='Données projet'!$A$192,'Données projet'!$B$192,EJ26+EI27-ER26)))</f>
        <v>102.39999999999996</v>
      </c>
      <c r="EK27" s="18">
        <f>EJ27*VLOOKUP('Données projet'!$B$15,Paramètres!$A$1:$I$89,3,0)*VLOOKUP('Données projet'!$B$15,Paramètres!$A$1:$I$89,5,0)</f>
        <v>75.079679999999968</v>
      </c>
      <c r="EL27" s="14">
        <f t="shared" si="45"/>
        <v>20.929732076759169</v>
      </c>
      <c r="EM27" s="22">
        <f t="shared" si="19"/>
        <v>167.21639270035547</v>
      </c>
      <c r="EN27" s="62">
        <f t="shared" si="20"/>
        <v>392.98710088397524</v>
      </c>
      <c r="EO27" s="62">
        <f ca="1">AVERAGE(OFFSET($EN$3,0,0,'Données projet'!$E$15+1,1))-AVERAGE(OFFSET($H$3,0,0,'Données projet'!$E$15+1,1))</f>
        <v>293.59366973965774</v>
      </c>
      <c r="EP27" s="62">
        <f t="shared" si="46"/>
        <v>288.13804536120426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>
        <f>EXP(-LN(2)/35)*EV26+(1-EXP(-LN(2)/35))/(LN(2)/35)*ER27*ES27*VLOOKUP('Données projet'!$B$15,Paramètres!$A$1:$I$89,3,0)*0.475*44/12</f>
        <v>0</v>
      </c>
      <c r="EW27" s="23">
        <f>EXP(-LN(2)/25)*EW26+(1-EXP(-LN(2)/25))/(LN(2)/25)*Calculateur!ER27*Calculateur!ET27*VLOOKUP('Données projet'!$B$15,Paramètres!$A$1:$I$89,3,0)*0.475*44/12</f>
        <v>0</v>
      </c>
      <c r="EX27" s="23">
        <f>EXP(-LN(2)/2)*EX26+(1-EXP(-LN(2)/2))/(LN(2)/2)*ER27*EU27*VLOOKUP('Données projet'!$B$15,Paramètres!$A$1:$I$89,3,0)*0.475*44/12</f>
        <v>0</v>
      </c>
      <c r="EY27" s="24">
        <f t="shared" si="21"/>
        <v>0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10.6</v>
      </c>
      <c r="FE27" s="13">
        <f>IF('Données projet'!$A$218&gt;35,FE26+FD27-FM26,IF(A27&lt;'Données projet'!$A$218,$FB$205^A27,IF(A27='Données projet'!$A$218,'Données projet'!$B$218,FE26+FD27-FM26)))</f>
        <v>102.39999999999996</v>
      </c>
      <c r="FF27" s="18">
        <f>FE27*VLOOKUP('Données projet'!$B$16,Paramètres!$A$1:$I$89,3,0)*VLOOKUP('Données projet'!$B$16,Paramètres!$A$1:$I$89,5,0)</f>
        <v>99.041279999999972</v>
      </c>
      <c r="FG27" s="14">
        <f t="shared" si="47"/>
        <v>26.733467829262995</v>
      </c>
      <c r="FH27" s="22">
        <f t="shared" si="22"/>
        <v>219.05768580263296</v>
      </c>
      <c r="FI27" s="62">
        <f t="shared" si="23"/>
        <v>444.82839398625276</v>
      </c>
      <c r="FJ27" s="62">
        <f ca="1">AVERAGE(OFFSET($FI$3,0,0,'Données projet'!$E$16+1,1))-AVERAGE(OFFSET($H$3,0,0,'Données projet'!$E$16+1,1))</f>
        <v>369.69145521630799</v>
      </c>
      <c r="FK27" s="62">
        <f t="shared" si="48"/>
        <v>360.24112103688719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>
        <f>EXP(-LN(2)/35)*FQ26+(1-EXP(-LN(2)/35))/(LN(2)/35)*FM27*FN27*VLOOKUP('Données projet'!$B$16,Paramètres!$A$1:$I$89,3,0)*0.475*44/12</f>
        <v>0</v>
      </c>
      <c r="FR27" s="23">
        <f>EXP(-LN(2)/25)*FR26+(1-EXP(-LN(2)/25))/(LN(2)/25)*Calculateur!FM27*Calculateur!FO27*VLOOKUP('Données projet'!$B$16,Paramètres!$A$1:$I$89,3,0)*0.475*44/12</f>
        <v>0</v>
      </c>
      <c r="FS27" s="23">
        <f>EXP(-LN(2)/2)*FS26+(1-EXP(-LN(2)/2))/(LN(2)/2)*FM27*FP27*VLOOKUP('Données projet'!$B$16,Paramètres!$A$1:$I$89,3,0)*0.475*44/12</f>
        <v>0</v>
      </c>
      <c r="FT27" s="24">
        <f t="shared" si="24"/>
        <v>0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10.6</v>
      </c>
      <c r="FZ27" s="13">
        <f>IF('Données projet'!$A$244&gt;35,FZ26+FY27-GH26,IF(A27&lt;'Données projet'!$A$244,$FW$205^A27,IF(A27='Données projet'!$A$244,'Données projet'!$B$244,FZ26+FY27-GH26)))</f>
        <v>102.39999999999996</v>
      </c>
      <c r="GA27" s="18">
        <f>FZ27*VLOOKUP('Données projet'!$B$17,Paramètres!$A$1:$I$89,3,0)*VLOOKUP('Données projet'!$B$17,Paramètres!$A$1:$I$89,5,0)</f>
        <v>110.22335999999994</v>
      </c>
      <c r="GB27" s="14">
        <f t="shared" si="49"/>
        <v>29.38360371625085</v>
      </c>
      <c r="GC27" s="22">
        <f t="shared" si="25"/>
        <v>243.14879513913675</v>
      </c>
      <c r="GD27" s="62">
        <f t="shared" si="26"/>
        <v>468.91950332275655</v>
      </c>
      <c r="GE27" s="62">
        <f ca="1">AVERAGE(OFFSET($GD$3,0,0,'Données projet'!$E$17+1,1))-AVERAGE(OFFSET($H$3,0,0,'Données projet'!$E$17+1,1))</f>
        <v>405.06394904053946</v>
      </c>
      <c r="GF27" s="62">
        <f t="shared" si="50"/>
        <v>393.75247087518198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>
        <f>EXP(-LN(2)/35)*GL26+(1-EXP(-LN(2)/35))/(LN(2)/35)*GH27*GI27*VLOOKUP('Données projet'!$B$17,Paramètres!$A$1:$I$89,3,0)*0.475*44/12</f>
        <v>0</v>
      </c>
      <c r="GM27" s="23">
        <f>EXP(-LN(2)/25)*GM26+(1-EXP(-LN(2)/25))/(LN(2)/25)*Calculateur!GH27*Calculateur!GJ27*VLOOKUP('Données projet'!$B$17,Paramètres!$A$1:$I$89,3,0)*0.475*44/12</f>
        <v>0</v>
      </c>
      <c r="GN27" s="23">
        <f>EXP(-LN(2)/2)*GN26+(1-EXP(-LN(2)/2))/(LN(2)/2)*GH27*GK27*VLOOKUP('Données projet'!$B$17,Paramètres!$A$1:$I$89,3,0)*0.475*44/12</f>
        <v>0</v>
      </c>
      <c r="GO27" s="23">
        <f t="shared" si="27"/>
        <v>0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10.6</v>
      </c>
      <c r="GU27" s="13">
        <f>IF('Données projet'!$A$270&gt;35,GU26+GT27-HC26,IF(A27&lt;'Données projet'!$A$270,$GR$205^A27,IF(A27='Données projet'!$A$270,'Données projet'!$B$270,GU26+GT27-HC26)))</f>
        <v>102.39999999999996</v>
      </c>
      <c r="GV27" s="18">
        <f>GU27*VLOOKUP('Données projet'!$B$18,Paramètres!$A$1:$I$89,3,0)*VLOOKUP('Données projet'!$B$18,Paramètres!$A$1:$I$89,5,0)</f>
        <v>68.689919999999972</v>
      </c>
      <c r="GW27" s="14">
        <f t="shared" si="51"/>
        <v>19.34776166993591</v>
      </c>
      <c r="GX27" s="22">
        <f t="shared" si="28"/>
        <v>153.33229557513832</v>
      </c>
      <c r="GY27" s="62">
        <f t="shared" si="29"/>
        <v>379.10300375875812</v>
      </c>
      <c r="GZ27" s="62">
        <f ca="1">AVERAGE(OFFSET($GY$3,0,0,'Données projet'!$E$18+1,1))-AVERAGE(OFFSET($H$3,0,0,'Données projet'!$E$18+1,1))</f>
        <v>273.21861937609918</v>
      </c>
      <c r="HA27" s="62">
        <f t="shared" si="52"/>
        <v>268.83004886965318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>
        <f>EXP(-LN(2)/35)*HG26+(1-EXP(-LN(2)/35))/(LN(2)/35)*HC27*HD27*VLOOKUP('Données projet'!$B$18,Paramètres!$A$1:$I$89,3,0)*0.475*44/12</f>
        <v>0</v>
      </c>
      <c r="HH27" s="23">
        <f>EXP(-LN(2)/25)*HH26+(1-EXP(-LN(2)/25))/(LN(2)/25)*Calculateur!HC27*Calculateur!HE27*VLOOKUP('Données projet'!$B$18,Paramètres!$A$1:$I$89,3,0)*0.475*44/12</f>
        <v>0</v>
      </c>
      <c r="HI27" s="23">
        <f>EXP(-LN(2)/2)*HI26+(1-EXP(-LN(2)/2))/(LN(2)/2)*HC27*HF27*VLOOKUP('Données projet'!$B$18,Paramètres!$A$1:$I$89,3,0)*0.475*44/12</f>
        <v>0</v>
      </c>
      <c r="HJ27" s="24">
        <f t="shared" si="30"/>
        <v>0</v>
      </c>
    </row>
    <row r="28" spans="1:218" s="5" customFormat="1" x14ac:dyDescent="0.4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 t="e">
        <f>VLOOKUP(A28,'Données projet'!$A$35:$I$55,2,0)</f>
        <v>#N/A</v>
      </c>
      <c r="L28" s="13" t="e">
        <f>VLOOKUP(A28,'Données projet'!$A$35:$I$55,9,0)</f>
        <v>#N/A</v>
      </c>
      <c r="M28" s="13">
        <f t="array" ref="M28">INDEX(L:L,MIN(IF(ISNUMBER(L28:L224),ROW(L28:L224),"")))</f>
        <v>2.4423076923076925</v>
      </c>
      <c r="N28" s="14">
        <f>IF('Données projet'!$A$36&gt;35,N27+M28-V27,IF(A28&lt;'Données projet'!$A$36,$K$205^A28,IF(A28='Données projet'!$A$36,'Données projet'!$B$36,N27+M28-V27)))</f>
        <v>61.057692307692328</v>
      </c>
      <c r="O28" s="14">
        <f>N28*VLOOKUP('Données projet'!$B$9,Paramètres!$A$1:$I$89,3,0)*VLOOKUP('Données projet'!$B$9,Paramètres!$A$1:$I$89,5,0)</f>
        <v>55.245000000000019</v>
      </c>
      <c r="P28" s="14">
        <f t="shared" si="33"/>
        <v>15.960340049529075</v>
      </c>
      <c r="Q28" s="22">
        <f t="shared" si="2"/>
        <v>124.01596725292983</v>
      </c>
      <c r="R28" s="62">
        <f t="shared" si="0"/>
        <v>352.05374121926195</v>
      </c>
      <c r="S28" s="62">
        <f ca="1">AVERAGE(OFFSET($R$3,0,0,'Données projet'!$E$9+1,1))-AVERAGE(OFFSET($H$3,0,0,'Données projet'!$E$9+1,1))</f>
        <v>432.80275651765203</v>
      </c>
      <c r="T28" s="62">
        <f t="shared" si="34"/>
        <v>203.89279893419919</v>
      </c>
      <c r="U28" s="16">
        <f>IF(ISNA(VLOOKUP(A28,'Données projet'!$A$35:$I$55,3,0)),0,VLOOKUP(A28,'Données projet'!$A$35:$I$55,3,0))</f>
        <v>0</v>
      </c>
      <c r="V28" s="16">
        <f>IF(ISNA(VLOOKUP(A28,'Données projet'!$A$35:$I$55,4,0)),0,VLOOKUP(A28,'Données projet'!$A$35:$I$55,4,0))</f>
        <v>0</v>
      </c>
      <c r="W28" s="17">
        <f>IF(ISNA(VLOOKUP(A28,'Données projet'!$A$35:$I$55,5,0)),0%,VLOOKUP(A28,'Données projet'!$A$35:$I$55,5,0)*VLOOKUP('Données projet'!$B$9,Paramètres!$A$1:$I$89,7,0))</f>
        <v>0</v>
      </c>
      <c r="X28" s="17">
        <f>IF(ISNA(VLOOKUP(A28,'Données projet'!$A$35:$I$55,6,0)),0%,VLOOKUP(A28,'Données projet'!$A$35:$I$55,6,0)*VLOOKUP('Données projet'!$B$9,Paramètres!$A$1:$I$89,7,0))</f>
        <v>0</v>
      </c>
      <c r="Y28" s="17">
        <f>IF(ISNA(VLOOKUP(A28,'Données projet'!$A$35:$I$55,7,0)),0%,VLOOKUP(A28,'Données projet'!$A$35:$I$55,7,0))</f>
        <v>0</v>
      </c>
      <c r="Z28" s="23">
        <f>EXP(-LN(2)/35)*Z27+(1-EXP(-LN(2)/35))/(LN(2)/35)*V28*W28*VLOOKUP('Données projet'!$B$9,Paramètres!$A$1:$I$89,3,0)*0.475*44/12</f>
        <v>0</v>
      </c>
      <c r="AA28" s="23">
        <f>EXP(-LN(2)/25)*AA27+(1-EXP(-LN(2)/25))/(LN(2)/25)*Calculateur!V28*Calculateur!X28*VLOOKUP('Données projet'!$B$9,Paramètres!$A$1:$I$89,3,0)*0.475*44/12</f>
        <v>0</v>
      </c>
      <c r="AB28" s="23">
        <f>EXP(-LN(2)/2)*AB27+(1-EXP(-LN(2)/2))/(LN(2)/2)*V28*Y28*VLOOKUP('Données projet'!$B$9,Paramètres!$A$1:$I$89,3,0)*0.475*44/12</f>
        <v>0</v>
      </c>
      <c r="AC28" s="24">
        <f t="shared" si="3"/>
        <v>0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>
        <f>VLOOKUP(A28,'Données projet'!$A$61:$I$81,2,0)</f>
        <v>372</v>
      </c>
      <c r="AG28" s="13">
        <f>VLOOKUP(A28,'Données projet'!$A$61:$I$81,9,0)</f>
        <v>14.88</v>
      </c>
      <c r="AH28" s="13">
        <f t="array" ref="AH28">INDEX(AG:AG,MIN(IF(ISNUMBER(AG28:AG224),ROW(AG28:AG224),"")))</f>
        <v>14.88</v>
      </c>
      <c r="AI28" s="14">
        <f>IF('Données projet'!$A$62&gt;35,AI27+AH28-AQ27,IF(A28&lt;'Données projet'!$A$62,$AF$205^A28,IF(A28='Données projet'!$A$62,'Données projet'!$B$62,AI27+AH28-AQ27)))</f>
        <v>372</v>
      </c>
      <c r="AJ28" s="14">
        <f>AI28*VLOOKUP('Données projet'!$B$10,Paramètres!$A$1:$I$89,3,0)*VLOOKUP('Données projet'!$B$10,Paramètres!$A$1:$I$89,5,0)</f>
        <v>164.42400000000001</v>
      </c>
      <c r="AK28" s="14">
        <f t="shared" si="35"/>
        <v>41.838771477410226</v>
      </c>
      <c r="AL28" s="22">
        <f t="shared" si="4"/>
        <v>359.24099365648948</v>
      </c>
      <c r="AM28" s="62">
        <f t="shared" si="5"/>
        <v>587.27876762282153</v>
      </c>
      <c r="AN28" s="62">
        <f ca="1">AVERAGE(OFFSET($AM$3,0,0,'Données projet'!$E$10+1,1))-AVERAGE(OFFSET($H$3,0,0,'Données projet'!$E$10+1,1))</f>
        <v>413.08876898406481</v>
      </c>
      <c r="AO28" s="62">
        <f t="shared" si="36"/>
        <v>520.31320932826566</v>
      </c>
      <c r="AP28" s="16">
        <f>IF(ISNA(VLOOKUP(A28,'Données projet'!$A$61:$I$81,3,0)),0,VLOOKUP(A28,'Données projet'!$A$61:$I$81,3,0))</f>
        <v>1</v>
      </c>
      <c r="AQ28" s="16">
        <f>IF(ISNA(VLOOKUP(A28,'Données projet'!$A$61:$I$81,4,0)),0,VLOOKUP(A28,'Données projet'!$A$61:$I$81,4,0))</f>
        <v>21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0.27500000000000002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3.3727896478079447</v>
      </c>
      <c r="AW28" s="23">
        <f>EXP(-LN(2)/2)*AW27+(1-EXP(-LN(2)/2))/(LN(2)/2)*AQ28*AT28*VLOOKUP('Données projet'!$B$10,Paramètres!$A$1:$I$89,3,0)*0.475*44/12</f>
        <v>0</v>
      </c>
      <c r="AX28" s="23">
        <f t="shared" si="6"/>
        <v>3.3727896478079447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372</v>
      </c>
      <c r="BB28" s="13">
        <f>VLOOKUP(A28,'Données projet'!$A$87:$I$107,9,0)</f>
        <v>14.88</v>
      </c>
      <c r="BC28" s="13">
        <f t="array" ref="BC28">INDEX(BB:BB,MIN(IF(ISNUMBER(BB28:BB224),ROW(BB28:BB224),"")))</f>
        <v>14.88</v>
      </c>
      <c r="BD28" s="13">
        <f>IF('Données projet'!$A$88&gt;35,BD27+BC28-BL27,IF(A28&lt;'Données projet'!$A$88,$BA$205^A28,IF(A28='Données projet'!$A$88,'Données projet'!$B$88,BD27+BC28-BL27)))</f>
        <v>372</v>
      </c>
      <c r="BE28" s="14">
        <f>BD28*VLOOKUP('Données projet'!$B$11,Paramètres!$A$1:$I$89,3,0)*VLOOKUP('Données projet'!$B$11,Paramètres!$A$1:$I$89,5,0)</f>
        <v>207.94800000000001</v>
      </c>
      <c r="BF28" s="14">
        <f t="shared" si="37"/>
        <v>51.486916127068838</v>
      </c>
      <c r="BG28" s="22">
        <f t="shared" si="7"/>
        <v>451.84914558797823</v>
      </c>
      <c r="BH28" s="62">
        <f t="shared" si="8"/>
        <v>679.88691955431034</v>
      </c>
      <c r="BI28" s="62">
        <f ca="1">AVERAGE(OFFSET($BH$3,0,0,'Données projet'!$E$11+1,1))-AVERAGE(OFFSET($H$3,0,0,'Données projet'!$E$11+1,1))</f>
        <v>507.66185230065889</v>
      </c>
      <c r="BJ28" s="62">
        <f t="shared" si="38"/>
        <v>640.14375617778342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21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0.27500000000000002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4.2655869075218122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4.2655869075218122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5.736111113999999</v>
      </c>
      <c r="BY28" s="13">
        <f>IF('Données projet'!$A$114&gt;35,BY27+BX28-CG27,IF(A28&lt;'Données projet'!$A$114,$BV$205^A28,IF(A28='Données projet'!$A$114,'Données projet'!$B$114,BY27+BX28-CG27)))</f>
        <v>105.34722222999999</v>
      </c>
      <c r="BZ28" s="14">
        <f>BY28*VLOOKUP('Données projet'!$B$12,Paramètres!$A$1:$I$89,3,0)*VLOOKUP('Données projet'!$B$12,Paramètres!$A$1:$I$89,5,0)</f>
        <v>49.302500003639992</v>
      </c>
      <c r="CA28" s="14">
        <f t="shared" si="39"/>
        <v>14.433480235186014</v>
      </c>
      <c r="CB28" s="22">
        <f t="shared" si="10"/>
        <v>111.00683224928861</v>
      </c>
      <c r="CC28" s="62">
        <f t="shared" si="11"/>
        <v>339.04460621562072</v>
      </c>
      <c r="CD28" s="62">
        <f ca="1">AVERAGE(OFFSET($CC$3,0,0,'Données projet'!$E$12+1,1))-AVERAGE(OFFSET($H$3,0,0,'Données projet'!$E$12+1,1))</f>
        <v>289.21044803824958</v>
      </c>
      <c r="CE28" s="62">
        <f t="shared" si="40"/>
        <v>196.11836398299445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>
        <f>EXP(-LN(2)/35)*CK27+(1-EXP(-LN(2)/35))/(LN(2)/35)*CG28*CH28*VLOOKUP('Données projet'!$B$12,Paramètres!$A$1:$I$89,3,0)*0.475*44/12</f>
        <v>0</v>
      </c>
      <c r="CL28" s="23">
        <f>EXP(-LN(2)/25)*CL27+(1-EXP(-LN(2)/25))/(LN(2)/25)*Calculateur!CG28*Calculateur!CI28*VLOOKUP('Données projet'!$B$12,Paramètres!$A$1:$I$89,3,0)*0.475*44/12</f>
        <v>0</v>
      </c>
      <c r="CM28" s="23">
        <f>EXP(-LN(2)/2)*CM27+(1-EXP(-LN(2)/2))/(LN(2)/2)*CG28*CJ28*VLOOKUP('Données projet'!$B$12,Paramètres!$A$1:$I$89,3,0)*0.475*44/12</f>
        <v>0</v>
      </c>
      <c r="CN28" s="24">
        <f t="shared" si="12"/>
        <v>0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>
        <f>VLOOKUP(A28,'Données projet'!$A$139:$I$159,2,0)</f>
        <v>214</v>
      </c>
      <c r="CR28" s="13">
        <f>VLOOKUP(A28,'Données projet'!$A$139:$I$159,9,0)</f>
        <v>10.4</v>
      </c>
      <c r="CS28" s="13">
        <f t="array" ref="CS28">INDEX(CR:CR,MIN(IF(ISNUMBER(CR28:CR224),ROW(CR28:CR224),"")))</f>
        <v>10.4</v>
      </c>
      <c r="CT28" s="13">
        <f>IF('Données projet'!$A$140&gt;35,CT27+CS28-DB27,IF(A28&lt;'Données projet'!$A$140,$CQ$205^A28,IF(A28='Données projet'!$A$140,'Données projet'!$B$140,CT27+CS28-DB27)))</f>
        <v>214</v>
      </c>
      <c r="CU28" s="18">
        <f>CT28*VLOOKUP('Données projet'!$B$13,Paramètres!$A$1:$I$89,3,0)*VLOOKUP('Données projet'!$B$13,Paramètres!$A$1:$I$89,5,0)</f>
        <v>193.62719999999999</v>
      </c>
      <c r="CV28" s="14">
        <f t="shared" si="41"/>
        <v>48.340990547231193</v>
      </c>
      <c r="CW28" s="22">
        <f t="shared" si="13"/>
        <v>421.42793186976093</v>
      </c>
      <c r="CX28" s="62">
        <f t="shared" si="14"/>
        <v>649.46570583609309</v>
      </c>
      <c r="CY28" s="62">
        <f ca="1">AVERAGE(OFFSET($CX$3,0,0,'Données projet'!$E$13+1,1))-AVERAGE(OFFSET($H$3,0,0,'Données projet'!$E$13+1,1))</f>
        <v>376.68007030857598</v>
      </c>
      <c r="CZ28" s="62">
        <f t="shared" si="42"/>
        <v>532.90758914457626</v>
      </c>
      <c r="DA28" s="16">
        <f>IF(ISNA(VLOOKUP(A28,'Données projet'!$A$139:$I$159,3,0)),0,VLOOKUP(A28,'Données projet'!$A$139:$I$159,3,0))</f>
        <v>5</v>
      </c>
      <c r="DB28" s="16">
        <f>IF(ISNA(VLOOKUP(A28,'Données projet'!$A$139:$I$159,4,0)),0,VLOOKUP(A28,'Données projet'!$A$139:$I$159,4,0))</f>
        <v>14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0.15</v>
      </c>
      <c r="DE28" s="17">
        <f>IF(ISNA(VLOOKUP(A28,'Données projet'!$A$139:$I$159,7,0)),0%,VLOOKUP(A28,'Données projet'!$A$139:$I$159,7,0))</f>
        <v>0</v>
      </c>
      <c r="DF28" s="23">
        <f>EXP(-LN(2)/35)*DF27+(1-EXP(-LN(2)/35))/(LN(2)/35)*DB28*DC28*VLOOKUP('Données projet'!$B$13,Paramètres!$A$1:$I$89,3,0)*0.475*44/12</f>
        <v>0</v>
      </c>
      <c r="DG28" s="23">
        <f>EXP(-LN(2)/25)*DG27+(1-EXP(-LN(2)/25))/(LN(2)/25)*Calculateur!DB28*Calculateur!DD28*VLOOKUP('Données projet'!$B$13,Paramètres!$A$1:$I$89,3,0)*0.475*44/12</f>
        <v>9.7995853405740867</v>
      </c>
      <c r="DH28" s="23">
        <f>EXP(-LN(2)/2)*DH27+(1-EXP(-LN(2)/2))/(LN(2)/2)*DB28*DE28*VLOOKUP('Données projet'!$B$13,Paramètres!$A$1:$I$89,3,0)*0.475*44/12</f>
        <v>0</v>
      </c>
      <c r="DI28" s="24">
        <f t="shared" si="15"/>
        <v>9.7995853405740867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>
        <f>VLOOKUP(A28,'Données projet'!$A$165:$I$185,2,0)</f>
        <v>113</v>
      </c>
      <c r="DM28" s="13">
        <f>VLOOKUP(A28,'Données projet'!$A$165:$I$185,9,0)</f>
        <v>10.6</v>
      </c>
      <c r="DN28" s="13">
        <f t="array" ref="DN28">INDEX(DM:DM,MIN(IF(ISNUMBER(DM28:DM224),ROW(DM28:DM224),"")))</f>
        <v>10.6</v>
      </c>
      <c r="DO28" s="13">
        <f>IF('Données projet'!$A$166&gt;35,DO27+DN28-DW27,IF(A28&lt;'Données projet'!$A$166,$DL$205^A28,IF(A28='Données projet'!$A$166,'Données projet'!$B$166,DO27+DN28-DW27)))</f>
        <v>112.99999999999996</v>
      </c>
      <c r="DP28" s="18">
        <f>DO28*VLOOKUP('Données projet'!$B$14,Paramètres!$A$1:$I$89,3,0)*VLOOKUP('Données projet'!$B$14,Paramètres!$A$1:$I$89,5,0)</f>
        <v>107.53079999999997</v>
      </c>
      <c r="DQ28" s="14">
        <f t="shared" si="43"/>
        <v>28.748455335102669</v>
      </c>
      <c r="DR28" s="22">
        <f t="shared" si="16"/>
        <v>237.35303637530376</v>
      </c>
      <c r="DS28" s="62">
        <f t="shared" si="17"/>
        <v>465.39081034163587</v>
      </c>
      <c r="DT28" s="62">
        <f ca="1">AVERAGE(OFFSET($DS$3,0,0,'Données projet'!$E$14+1,1))-AVERAGE(OFFSET($H$3,0,0,'Données projet'!$E$14+1,1))</f>
        <v>364.63161066507769</v>
      </c>
      <c r="DU28" s="62">
        <f t="shared" si="44"/>
        <v>355.44729904860708</v>
      </c>
      <c r="DV28" s="16">
        <f>IF(ISNA(VLOOKUP(A28,'Données projet'!$A$165:$I$185,3,0)),0,VLOOKUP(A28,'Données projet'!$A$165:$I$185,3,0))</f>
        <v>3</v>
      </c>
      <c r="DW28" s="16">
        <f>IF(ISNA(VLOOKUP(A28,'Données projet'!$A$165:$I$185,4,0)),0,VLOOKUP(A28,'Données projet'!$A$165:$I$185,4,0))</f>
        <v>27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>
        <f>EXP(-LN(2)/35)*EA27+(1-EXP(-LN(2)/35))/(LN(2)/35)*DW28*DX28*VLOOKUP('Données projet'!$B$14,Paramètres!$A$1:$I$89,3,0)*0.475*44/12</f>
        <v>0</v>
      </c>
      <c r="EB28" s="23">
        <f>EXP(-LN(2)/25)*EB27+(1-EXP(-LN(2)/25))/(LN(2)/25)*Calculateur!DW28*Calculateur!DY28*VLOOKUP('Données projet'!$B$14,Paramètres!$A$1:$I$89,3,0)*0.475*44/12</f>
        <v>0</v>
      </c>
      <c r="EC28" s="23">
        <f>EXP(-LN(2)/2)*EC27+(1-EXP(-LN(2)/2))/(LN(2)/2)*DW28*DZ28*VLOOKUP('Données projet'!$B$14,Paramètres!$A$1:$I$89,3,0)*0.475*44/12</f>
        <v>0</v>
      </c>
      <c r="ED28" s="24">
        <f t="shared" si="18"/>
        <v>0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>
        <f>VLOOKUP(A28,'Données projet'!$A$191:$I$211,2,0)</f>
        <v>113</v>
      </c>
      <c r="EH28" s="13">
        <f>VLOOKUP(A28,'Données projet'!$A$191:$I$211,9,0)</f>
        <v>10.6</v>
      </c>
      <c r="EI28" s="13">
        <f t="array" ref="EI28">INDEX(EH:EH,MIN(IF(ISNUMBER(EH28:EH224),ROW(EH28:EH224),"")))</f>
        <v>10.6</v>
      </c>
      <c r="EJ28" s="13">
        <f>IF('Données projet'!$A$192&gt;35,EJ27+EI28-ER27,IF(A28&lt;'Données projet'!$A$192,$EG$205^A28,IF(A28='Données projet'!$A$192,'Données projet'!$B$192,EJ27+EI28-ER27)))</f>
        <v>112.99999999999996</v>
      </c>
      <c r="EK28" s="18">
        <f>EJ28*VLOOKUP('Données projet'!$B$15,Paramètres!$A$1:$I$89,3,0)*VLOOKUP('Données projet'!$B$15,Paramètres!$A$1:$I$89,5,0)</f>
        <v>82.851599999999962</v>
      </c>
      <c r="EL28" s="14">
        <f t="shared" si="45"/>
        <v>22.832987552808142</v>
      </c>
      <c r="EM28" s="22">
        <f t="shared" si="19"/>
        <v>184.06732332114075</v>
      </c>
      <c r="EN28" s="62">
        <f t="shared" si="20"/>
        <v>412.10509728747286</v>
      </c>
      <c r="EO28" s="62">
        <f ca="1">AVERAGE(OFFSET($EN$3,0,0,'Données projet'!$E$15+1,1))-AVERAGE(OFFSET($H$3,0,0,'Données projet'!$E$15+1,1))</f>
        <v>293.59366973965774</v>
      </c>
      <c r="EP28" s="62">
        <f t="shared" si="46"/>
        <v>288.13804536120426</v>
      </c>
      <c r="EQ28" s="16">
        <f>IF(ISNA(VLOOKUP(A28,'Données projet'!$A$191:$I$211,3,0)),0,VLOOKUP(A28,'Données projet'!$A$191:$I$211,3,0))</f>
        <v>3</v>
      </c>
      <c r="ER28" s="16">
        <f>IF(ISNA(VLOOKUP(A28,'Données projet'!$A$191:$I$211,4,0)),0,VLOOKUP(A28,'Données projet'!$A$191:$I$211,4,0))</f>
        <v>27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>
        <f>EXP(-LN(2)/35)*EV27+(1-EXP(-LN(2)/35))/(LN(2)/35)*ER28*ES28*VLOOKUP('Données projet'!$B$15,Paramètres!$A$1:$I$89,3,0)*0.475*44/12</f>
        <v>0</v>
      </c>
      <c r="EW28" s="23">
        <f>EXP(-LN(2)/25)*EW27+(1-EXP(-LN(2)/25))/(LN(2)/25)*Calculateur!ER28*Calculateur!ET28*VLOOKUP('Données projet'!$B$15,Paramètres!$A$1:$I$89,3,0)*0.475*44/12</f>
        <v>0</v>
      </c>
      <c r="EX28" s="23">
        <f>EXP(-LN(2)/2)*EX27+(1-EXP(-LN(2)/2))/(LN(2)/2)*ER28*EU28*VLOOKUP('Données projet'!$B$15,Paramètres!$A$1:$I$89,3,0)*0.475*44/12</f>
        <v>0</v>
      </c>
      <c r="EY28" s="24">
        <f t="shared" si="21"/>
        <v>0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>
        <f>VLOOKUP(A28,'Données projet'!$A$217:$I$237,2,0)</f>
        <v>113</v>
      </c>
      <c r="FC28" s="13">
        <f>VLOOKUP(A28,'Données projet'!$A$217:$I$237,9,0)</f>
        <v>10.6</v>
      </c>
      <c r="FD28" s="13">
        <f t="array" ref="FD28">INDEX(FC:FC,MIN(IF(ISNUMBER(FC28:FC224),ROW(FC28:FC224),"")))</f>
        <v>10.6</v>
      </c>
      <c r="FE28" s="13">
        <f>IF('Données projet'!$A$218&gt;35,FE27+FD28-FM27,IF(A28&lt;'Données projet'!$A$218,$FB$205^A28,IF(A28='Données projet'!$A$218,'Données projet'!$B$218,FE27+FD28-FM27)))</f>
        <v>112.99999999999996</v>
      </c>
      <c r="FF28" s="18">
        <f>FE28*VLOOKUP('Données projet'!$B$16,Paramètres!$A$1:$I$89,3,0)*VLOOKUP('Données projet'!$B$16,Paramètres!$A$1:$I$89,5,0)</f>
        <v>109.29359999999997</v>
      </c>
      <c r="FG28" s="14">
        <f t="shared" si="47"/>
        <v>29.164488869246725</v>
      </c>
      <c r="FH28" s="22">
        <f t="shared" si="22"/>
        <v>241.14783811393798</v>
      </c>
      <c r="FI28" s="62">
        <f t="shared" si="23"/>
        <v>469.18561208027006</v>
      </c>
      <c r="FJ28" s="62">
        <f ca="1">AVERAGE(OFFSET($FI$3,0,0,'Données projet'!$E$16+1,1))-AVERAGE(OFFSET($H$3,0,0,'Données projet'!$E$16+1,1))</f>
        <v>369.69145521630799</v>
      </c>
      <c r="FK28" s="62">
        <f t="shared" si="48"/>
        <v>360.24112103688719</v>
      </c>
      <c r="FL28" s="16">
        <f>IF(ISNA(VLOOKUP(A28,'Données projet'!$A$217:$I$237,3,0)),0,VLOOKUP(A28,'Données projet'!$A$217:$I$237,3,0))</f>
        <v>3</v>
      </c>
      <c r="FM28" s="16">
        <f>IF(ISNA(VLOOKUP(A28,'Données projet'!$A$217:$I$237,4,0)),0,VLOOKUP(A28,'Données projet'!$A$217:$I$237,4,0))</f>
        <v>27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>
        <f>EXP(-LN(2)/35)*FQ27+(1-EXP(-LN(2)/35))/(LN(2)/35)*FM28*FN28*VLOOKUP('Données projet'!$B$16,Paramètres!$A$1:$I$89,3,0)*0.475*44/12</f>
        <v>0</v>
      </c>
      <c r="FR28" s="23">
        <f>EXP(-LN(2)/25)*FR27+(1-EXP(-LN(2)/25))/(LN(2)/25)*Calculateur!FM28*Calculateur!FO28*VLOOKUP('Données projet'!$B$16,Paramètres!$A$1:$I$89,3,0)*0.475*44/12</f>
        <v>0</v>
      </c>
      <c r="FS28" s="23">
        <f>EXP(-LN(2)/2)*FS27+(1-EXP(-LN(2)/2))/(LN(2)/2)*FM28*FP28*VLOOKUP('Données projet'!$B$16,Paramètres!$A$1:$I$89,3,0)*0.475*44/12</f>
        <v>0</v>
      </c>
      <c r="FT28" s="24">
        <f t="shared" si="24"/>
        <v>0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>
        <f>VLOOKUP(A28,'Données projet'!$A$243:$I$263,2,0)</f>
        <v>113</v>
      </c>
      <c r="FX28" s="13">
        <f>VLOOKUP(A28,'Données projet'!$A$243:$I$263,9,0)</f>
        <v>10.6</v>
      </c>
      <c r="FY28" s="13">
        <f t="array" ref="FY28">INDEX(FX:FX,MIN(IF(ISNUMBER(FX28:FX224),ROW(FX28:FX224),"")))</f>
        <v>10.6</v>
      </c>
      <c r="FZ28" s="13">
        <f>IF('Données projet'!$A$244&gt;35,FZ27+FY28-GH27,IF(A28&lt;'Données projet'!$A$244,$FW$205^A28,IF(A28='Données projet'!$A$244,'Données projet'!$B$244,FZ27+FY28-GH27)))</f>
        <v>112.99999999999996</v>
      </c>
      <c r="GA28" s="18">
        <f>FZ28*VLOOKUP('Données projet'!$B$17,Paramètres!$A$1:$I$89,3,0)*VLOOKUP('Données projet'!$B$17,Paramètres!$A$1:$I$89,5,0)</f>
        <v>121.63319999999996</v>
      </c>
      <c r="GB28" s="14">
        <f t="shared" si="49"/>
        <v>32.05561616599968</v>
      </c>
      <c r="GC28" s="22">
        <f t="shared" si="25"/>
        <v>267.67468815578269</v>
      </c>
      <c r="GD28" s="62">
        <f t="shared" si="26"/>
        <v>495.7124621221148</v>
      </c>
      <c r="GE28" s="62">
        <f ca="1">AVERAGE(OFFSET($GD$3,0,0,'Données projet'!$E$17+1,1))-AVERAGE(OFFSET($H$3,0,0,'Données projet'!$E$17+1,1))</f>
        <v>405.06394904053946</v>
      </c>
      <c r="GF28" s="62">
        <f t="shared" si="50"/>
        <v>393.75247087518198</v>
      </c>
      <c r="GG28" s="16">
        <f>IF(ISNA(VLOOKUP(A28,'Données projet'!$A$243:$I$263,3,0)),0,VLOOKUP(A28,'Données projet'!$A$243:$I$263,3,0))</f>
        <v>3</v>
      </c>
      <c r="GH28" s="16">
        <f>IF(ISNA(VLOOKUP(A28,'Données projet'!$A$243:$I$263,4,0)),0,VLOOKUP(A28,'Données projet'!$A$243:$I$263,4,0))</f>
        <v>27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>
        <f>EXP(-LN(2)/35)*GL27+(1-EXP(-LN(2)/35))/(LN(2)/35)*GH28*GI28*VLOOKUP('Données projet'!$B$17,Paramètres!$A$1:$I$89,3,0)*0.475*44/12</f>
        <v>0</v>
      </c>
      <c r="GM28" s="23">
        <f>EXP(-LN(2)/25)*GM27+(1-EXP(-LN(2)/25))/(LN(2)/25)*Calculateur!GH28*Calculateur!GJ28*VLOOKUP('Données projet'!$B$17,Paramètres!$A$1:$I$89,3,0)*0.475*44/12</f>
        <v>0</v>
      </c>
      <c r="GN28" s="23">
        <f>EXP(-LN(2)/2)*GN27+(1-EXP(-LN(2)/2))/(LN(2)/2)*GH28*GK28*VLOOKUP('Données projet'!$B$17,Paramètres!$A$1:$I$89,3,0)*0.475*44/12</f>
        <v>0</v>
      </c>
      <c r="GO28" s="23">
        <f t="shared" si="27"/>
        <v>0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>
        <f>VLOOKUP(A28,'Données projet'!$A$269:$I$289,2,0)</f>
        <v>113</v>
      </c>
      <c r="GS28" s="13">
        <f>VLOOKUP(A28,'Données projet'!$A$269:$I$289,9,0)</f>
        <v>10.6</v>
      </c>
      <c r="GT28" s="13">
        <f t="array" ref="GT28">INDEX(GS:GS,MIN(IF(ISNUMBER(GS28:GS224),ROW(GS28:GS224),"")))</f>
        <v>10.6</v>
      </c>
      <c r="GU28" s="13">
        <f>IF('Données projet'!$A$270&gt;35,GU27+GT28-HC27,IF(A28&lt;'Données projet'!$A$270,$GR$205^A28,IF(A28='Données projet'!$A$270,'Données projet'!$B$270,GU27+GT28-HC27)))</f>
        <v>112.99999999999996</v>
      </c>
      <c r="GV28" s="18">
        <f>GU28*VLOOKUP('Données projet'!$B$18,Paramètres!$A$1:$I$89,3,0)*VLOOKUP('Données projet'!$B$18,Paramètres!$A$1:$I$89,5,0)</f>
        <v>75.800399999999968</v>
      </c>
      <c r="GW28" s="14">
        <f t="shared" si="51"/>
        <v>21.107159889298988</v>
      </c>
      <c r="GX28" s="22">
        <f t="shared" si="28"/>
        <v>168.78066680719567</v>
      </c>
      <c r="GY28" s="62">
        <f t="shared" si="29"/>
        <v>396.81844077352775</v>
      </c>
      <c r="GZ28" s="62">
        <f ca="1">AVERAGE(OFFSET($GY$3,0,0,'Données projet'!$E$18+1,1))-AVERAGE(OFFSET($H$3,0,0,'Données projet'!$E$18+1,1))</f>
        <v>273.21861937609918</v>
      </c>
      <c r="HA28" s="62">
        <f t="shared" si="52"/>
        <v>268.83004886965318</v>
      </c>
      <c r="HB28" s="16">
        <f>IF(ISNA(VLOOKUP(A28,'Données projet'!$A$269:$I$289,3,0)),0,VLOOKUP(A28,'Données projet'!$A$269:$I$289,3,0))</f>
        <v>3</v>
      </c>
      <c r="HC28" s="16">
        <f>IF(ISNA(VLOOKUP(A28,'Données projet'!$A$269:$I$289,4,0)),0,VLOOKUP(A28,'Données projet'!$A$269:$I$289,4,0))</f>
        <v>27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>
        <f>EXP(-LN(2)/35)*HG27+(1-EXP(-LN(2)/35))/(LN(2)/35)*HC28*HD28*VLOOKUP('Données projet'!$B$18,Paramètres!$A$1:$I$89,3,0)*0.475*44/12</f>
        <v>0</v>
      </c>
      <c r="HH28" s="23">
        <f>EXP(-LN(2)/25)*HH27+(1-EXP(-LN(2)/25))/(LN(2)/25)*Calculateur!HC28*Calculateur!HE28*VLOOKUP('Données projet'!$B$18,Paramètres!$A$1:$I$89,3,0)*0.475*44/12</f>
        <v>0</v>
      </c>
      <c r="HI28" s="23">
        <f>EXP(-LN(2)/2)*HI27+(1-EXP(-LN(2)/2))/(LN(2)/2)*HC28*HF28*VLOOKUP('Données projet'!$B$18,Paramètres!$A$1:$I$89,3,0)*0.475*44/12</f>
        <v>0</v>
      </c>
      <c r="HJ28" s="24">
        <f t="shared" si="30"/>
        <v>0</v>
      </c>
    </row>
    <row r="29" spans="1:218" s="5" customFormat="1" x14ac:dyDescent="0.4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2.4423076923076925</v>
      </c>
      <c r="N29" s="14">
        <f>IF('Données projet'!$A$36&gt;35,N28+M29-V28,IF(A29&lt;'Données projet'!$A$36,$K$205^A29,IF(A29='Données projet'!$A$36,'Données projet'!$B$36,N28+M29-V28)))</f>
        <v>63.500000000000021</v>
      </c>
      <c r="O29" s="14">
        <f>N29*VLOOKUP('Données projet'!$B$9,Paramètres!$A$1:$I$89,3,0)*VLOOKUP('Données projet'!$B$9,Paramètres!$A$1:$I$89,5,0)</f>
        <v>57.45480000000002</v>
      </c>
      <c r="P29" s="14">
        <f t="shared" si="33"/>
        <v>16.523148222376751</v>
      </c>
      <c r="Q29" s="22">
        <f t="shared" si="2"/>
        <v>128.8449264873062</v>
      </c>
      <c r="R29" s="62">
        <f t="shared" si="0"/>
        <v>359.13164053649638</v>
      </c>
      <c r="S29" s="62">
        <f ca="1">AVERAGE(OFFSET($R$3,0,0,'Données projet'!$E$9+1,1))-AVERAGE(OFFSET($H$3,0,0,'Données projet'!$E$9+1,1))</f>
        <v>432.80275651765203</v>
      </c>
      <c r="T29" s="62">
        <f t="shared" si="34"/>
        <v>203.89279893419919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</v>
      </c>
      <c r="AA29" s="23">
        <f>EXP(-LN(2)/25)*AA28+(1-EXP(-LN(2)/25))/(LN(2)/25)*Calculateur!V29*Calculateur!X29*VLOOKUP('Données projet'!$B$9,Paramètres!$A$1:$I$89,3,0)*0.475*44/12</f>
        <v>0</v>
      </c>
      <c r="AB29" s="23">
        <f>EXP(-LN(2)/2)*AB28+(1-EXP(-LN(2)/2))/(LN(2)/2)*V29*Y29*VLOOKUP('Données projet'!$B$9,Paramètres!$A$1:$I$89,3,0)*0.475*44/12</f>
        <v>0</v>
      </c>
      <c r="AC29" s="24">
        <f t="shared" si="3"/>
        <v>0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26.6</v>
      </c>
      <c r="AI29" s="14">
        <f>IF('Données projet'!$A$62&gt;35,AI28+AH29-AQ28,IF(A29&lt;'Données projet'!$A$62,$AF$205^A29,IF(A29='Données projet'!$A$62,'Données projet'!$B$62,AI28+AH29-AQ28)))</f>
        <v>377.6</v>
      </c>
      <c r="AJ29" s="14">
        <f>AI29*VLOOKUP('Données projet'!$B$10,Paramètres!$A$1:$I$89,3,0)*VLOOKUP('Données projet'!$B$10,Paramètres!$A$1:$I$89,5,0)</f>
        <v>166.89920000000004</v>
      </c>
      <c r="AK29" s="14">
        <f t="shared" si="35"/>
        <v>42.394805248900767</v>
      </c>
      <c r="AL29" s="22">
        <f t="shared" si="4"/>
        <v>364.52039247516888</v>
      </c>
      <c r="AM29" s="62">
        <f t="shared" si="5"/>
        <v>594.80710652435903</v>
      </c>
      <c r="AN29" s="62">
        <f ca="1">AVERAGE(OFFSET($AM$3,0,0,'Données projet'!$E$10+1,1))-AVERAGE(OFFSET($H$3,0,0,'Données projet'!$E$10+1,1))</f>
        <v>413.08876898406481</v>
      </c>
      <c r="AO29" s="62">
        <f t="shared" si="36"/>
        <v>520.31320932826566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3.2805605375213376</v>
      </c>
      <c r="AW29" s="23">
        <f>EXP(-LN(2)/2)*AW28+(1-EXP(-LN(2)/2))/(LN(2)/2)*AQ29*AT29*VLOOKUP('Données projet'!$B$10,Paramètres!$A$1:$I$89,3,0)*0.475*44/12</f>
        <v>0</v>
      </c>
      <c r="AX29" s="23">
        <f t="shared" si="6"/>
        <v>3.2805605375213376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26.6</v>
      </c>
      <c r="BD29" s="13">
        <f>IF('Données projet'!$A$88&gt;35,BD28+BC29-BL28,IF(A29&lt;'Données projet'!$A$88,$BA$205^A29,IF(A29='Données projet'!$A$88,'Données projet'!$B$88,BD28+BC29-BL28)))</f>
        <v>377.6</v>
      </c>
      <c r="BE29" s="14">
        <f>BD29*VLOOKUP('Données projet'!$B$11,Paramètres!$A$1:$I$89,3,0)*VLOOKUP('Données projet'!$B$11,Paramètres!$A$1:$I$89,5,0)</f>
        <v>211.07839999999999</v>
      </c>
      <c r="BF29" s="14">
        <f t="shared" si="37"/>
        <v>52.171172933509965</v>
      </c>
      <c r="BG29" s="22">
        <f t="shared" si="7"/>
        <v>458.49300619252989</v>
      </c>
      <c r="BH29" s="62">
        <f t="shared" si="8"/>
        <v>688.77972024172004</v>
      </c>
      <c r="BI29" s="62">
        <f ca="1">AVERAGE(OFFSET($BH$3,0,0,'Données projet'!$E$11+1,1))-AVERAGE(OFFSET($H$3,0,0,'Données projet'!$E$11+1,1))</f>
        <v>507.66185230065889</v>
      </c>
      <c r="BJ29" s="62">
        <f t="shared" si="38"/>
        <v>640.14375617778342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4.1489442092181621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4.1489442092181621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5.736111113999999</v>
      </c>
      <c r="BY29" s="13">
        <f>IF('Données projet'!$A$114&gt;35,BY28+BX29-CG28,IF(A29&lt;'Données projet'!$A$114,$BV$205^A29,IF(A29='Données projet'!$A$114,'Données projet'!$B$114,BY28+BX29-CG28)))</f>
        <v>111.08333334399998</v>
      </c>
      <c r="BZ29" s="14">
        <f>BY29*VLOOKUP('Données projet'!$B$12,Paramètres!$A$1:$I$89,3,0)*VLOOKUP('Données projet'!$B$12,Paramètres!$A$1:$I$89,5,0)</f>
        <v>51.987000004991998</v>
      </c>
      <c r="CA29" s="14">
        <f t="shared" si="39"/>
        <v>15.125741419798409</v>
      </c>
      <c r="CB29" s="22">
        <f t="shared" si="10"/>
        <v>116.88802464817662</v>
      </c>
      <c r="CC29" s="62">
        <f t="shared" si="11"/>
        <v>347.17473869736682</v>
      </c>
      <c r="CD29" s="62">
        <f ca="1">AVERAGE(OFFSET($CC$3,0,0,'Données projet'!$E$12+1,1))-AVERAGE(OFFSET($H$3,0,0,'Données projet'!$E$12+1,1))</f>
        <v>289.21044803824958</v>
      </c>
      <c r="CE29" s="62">
        <f t="shared" si="40"/>
        <v>196.11836398299445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>
        <f>EXP(-LN(2)/35)*CK28+(1-EXP(-LN(2)/35))/(LN(2)/35)*CG29*CH29*VLOOKUP('Données projet'!$B$12,Paramètres!$A$1:$I$89,3,0)*0.475*44/12</f>
        <v>0</v>
      </c>
      <c r="CL29" s="23">
        <f>EXP(-LN(2)/25)*CL28+(1-EXP(-LN(2)/25))/(LN(2)/25)*Calculateur!CG29*Calculateur!CI29*VLOOKUP('Données projet'!$B$12,Paramètres!$A$1:$I$89,3,0)*0.475*44/12</f>
        <v>0</v>
      </c>
      <c r="CM29" s="23">
        <f>EXP(-LN(2)/2)*CM28+(1-EXP(-LN(2)/2))/(LN(2)/2)*CG29*CJ29*VLOOKUP('Données projet'!$B$12,Paramètres!$A$1:$I$89,3,0)*0.475*44/12</f>
        <v>0</v>
      </c>
      <c r="CN29" s="24">
        <f t="shared" si="12"/>
        <v>0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8.6</v>
      </c>
      <c r="CT29" s="13">
        <f>IF('Données projet'!$A$140&gt;35,CT28+CS29-DB28,IF(A29&lt;'Données projet'!$A$140,$CQ$205^A29,IF(A29='Données projet'!$A$140,'Données projet'!$B$140,CT28+CS29-DB28)))</f>
        <v>208.6</v>
      </c>
      <c r="CU29" s="18">
        <f>CT29*VLOOKUP('Données projet'!$B$13,Paramètres!$A$1:$I$89,3,0)*VLOOKUP('Données projet'!$B$13,Paramètres!$A$1:$I$89,5,0)</f>
        <v>188.74127999999999</v>
      </c>
      <c r="CV29" s="14">
        <f t="shared" si="41"/>
        <v>47.261560168122358</v>
      </c>
      <c r="CW29" s="22">
        <f t="shared" si="13"/>
        <v>411.03827995947972</v>
      </c>
      <c r="CX29" s="62">
        <f t="shared" si="14"/>
        <v>641.32499400866993</v>
      </c>
      <c r="CY29" s="62">
        <f ca="1">AVERAGE(OFFSET($CX$3,0,0,'Données projet'!$E$13+1,1))-AVERAGE(OFFSET($H$3,0,0,'Données projet'!$E$13+1,1))</f>
        <v>376.68007030857598</v>
      </c>
      <c r="CZ29" s="62">
        <f t="shared" si="42"/>
        <v>532.90758914457626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>
        <f>EXP(-LN(2)/35)*DF28+(1-EXP(-LN(2)/35))/(LN(2)/35)*DB29*DC29*VLOOKUP('Données projet'!$B$13,Paramètres!$A$1:$I$89,3,0)*0.475*44/12</f>
        <v>0</v>
      </c>
      <c r="DG29" s="23">
        <f>EXP(-LN(2)/25)*DG28+(1-EXP(-LN(2)/25))/(LN(2)/25)*Calculateur!DB29*Calculateur!DD29*VLOOKUP('Données projet'!$B$13,Paramètres!$A$1:$I$89,3,0)*0.475*44/12</f>
        <v>9.5316151640982927</v>
      </c>
      <c r="DH29" s="23">
        <f>EXP(-LN(2)/2)*DH28+(1-EXP(-LN(2)/2))/(LN(2)/2)*DB29*DE29*VLOOKUP('Données projet'!$B$13,Paramètres!$A$1:$I$89,3,0)*0.475*44/12</f>
        <v>0</v>
      </c>
      <c r="DI29" s="24">
        <f t="shared" si="15"/>
        <v>9.5316151640982927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11.5</v>
      </c>
      <c r="DO29" s="13">
        <f>IF('Données projet'!$A$166&gt;35,DO28+DN29-DW28,IF(A29&lt;'Données projet'!$A$166,$DL$205^A29,IF(A29='Données projet'!$A$166,'Données projet'!$B$166,DO28+DN29-DW28)))</f>
        <v>97.499999999999957</v>
      </c>
      <c r="DP29" s="18">
        <f>DO29*VLOOKUP('Données projet'!$B$14,Paramètres!$A$1:$I$89,3,0)*VLOOKUP('Données projet'!$B$14,Paramètres!$A$1:$I$89,5,0)</f>
        <v>92.780999999999963</v>
      </c>
      <c r="DQ29" s="14">
        <f t="shared" si="43"/>
        <v>25.234742683120984</v>
      </c>
      <c r="DR29" s="22">
        <f t="shared" si="16"/>
        <v>205.5440851731023</v>
      </c>
      <c r="DS29" s="62">
        <f t="shared" si="17"/>
        <v>435.83079922229251</v>
      </c>
      <c r="DT29" s="62">
        <f ca="1">AVERAGE(OFFSET($DS$3,0,0,'Données projet'!$E$14+1,1))-AVERAGE(OFFSET($H$3,0,0,'Données projet'!$E$14+1,1))</f>
        <v>364.63161066507769</v>
      </c>
      <c r="DU29" s="62">
        <f t="shared" si="44"/>
        <v>355.44729904860708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>
        <f>EXP(-LN(2)/35)*EA28+(1-EXP(-LN(2)/35))/(LN(2)/35)*DW29*DX29*VLOOKUP('Données projet'!$B$14,Paramètres!$A$1:$I$89,3,0)*0.475*44/12</f>
        <v>0</v>
      </c>
      <c r="EB29" s="23">
        <f>EXP(-LN(2)/25)*EB28+(1-EXP(-LN(2)/25))/(LN(2)/25)*Calculateur!DW29*Calculateur!DY29*VLOOKUP('Données projet'!$B$14,Paramètres!$A$1:$I$89,3,0)*0.475*44/12</f>
        <v>0</v>
      </c>
      <c r="EC29" s="23">
        <f>EXP(-LN(2)/2)*EC28+(1-EXP(-LN(2)/2))/(LN(2)/2)*DW29*DZ29*VLOOKUP('Données projet'!$B$14,Paramètres!$A$1:$I$89,3,0)*0.475*44/12</f>
        <v>0</v>
      </c>
      <c r="ED29" s="24">
        <f t="shared" si="18"/>
        <v>0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11.5</v>
      </c>
      <c r="EJ29" s="13">
        <f>IF('Données projet'!$A$192&gt;35,EJ28+EI29-ER28,IF(A29&lt;'Données projet'!$A$192,$EG$205^A29,IF(A29='Données projet'!$A$192,'Données projet'!$B$192,EJ28+EI29-ER28)))</f>
        <v>97.499999999999957</v>
      </c>
      <c r="EK29" s="18">
        <f>EJ29*VLOOKUP('Données projet'!$B$15,Paramètres!$A$1:$I$89,3,0)*VLOOKUP('Données projet'!$B$15,Paramètres!$A$1:$I$89,5,0)</f>
        <v>71.486999999999966</v>
      </c>
      <c r="EL29" s="14">
        <f t="shared" si="45"/>
        <v>20.042279102156858</v>
      </c>
      <c r="EM29" s="22">
        <f t="shared" si="19"/>
        <v>159.41349443625646</v>
      </c>
      <c r="EN29" s="62">
        <f t="shared" si="20"/>
        <v>389.70020848544664</v>
      </c>
      <c r="EO29" s="62">
        <f ca="1">AVERAGE(OFFSET($EN$3,0,0,'Données projet'!$E$15+1,1))-AVERAGE(OFFSET($H$3,0,0,'Données projet'!$E$15+1,1))</f>
        <v>293.59366973965774</v>
      </c>
      <c r="EP29" s="62">
        <f t="shared" si="46"/>
        <v>288.13804536120426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>
        <f>EXP(-LN(2)/35)*EV28+(1-EXP(-LN(2)/35))/(LN(2)/35)*ER29*ES29*VLOOKUP('Données projet'!$B$15,Paramètres!$A$1:$I$89,3,0)*0.475*44/12</f>
        <v>0</v>
      </c>
      <c r="EW29" s="23">
        <f>EXP(-LN(2)/25)*EW28+(1-EXP(-LN(2)/25))/(LN(2)/25)*Calculateur!ER29*Calculateur!ET29*VLOOKUP('Données projet'!$B$15,Paramètres!$A$1:$I$89,3,0)*0.475*44/12</f>
        <v>0</v>
      </c>
      <c r="EX29" s="23">
        <f>EXP(-LN(2)/2)*EX28+(1-EXP(-LN(2)/2))/(LN(2)/2)*ER29*EU29*VLOOKUP('Données projet'!$B$15,Paramètres!$A$1:$I$89,3,0)*0.475*44/12</f>
        <v>0</v>
      </c>
      <c r="EY29" s="24">
        <f t="shared" si="21"/>
        <v>0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11.5</v>
      </c>
      <c r="FE29" s="13">
        <f>IF('Données projet'!$A$218&gt;35,FE28+FD29-FM28,IF(A29&lt;'Données projet'!$A$218,$FB$205^A29,IF(A29='Données projet'!$A$218,'Données projet'!$B$218,FE28+FD29-FM28)))</f>
        <v>97.499999999999957</v>
      </c>
      <c r="FF29" s="18">
        <f>FE29*VLOOKUP('Données projet'!$B$16,Paramètres!$A$1:$I$89,3,0)*VLOOKUP('Données projet'!$B$16,Paramètres!$A$1:$I$89,5,0)</f>
        <v>94.301999999999964</v>
      </c>
      <c r="FG29" s="14">
        <f t="shared" si="47"/>
        <v>25.599927492506403</v>
      </c>
      <c r="FH29" s="22">
        <f t="shared" si="22"/>
        <v>208.82919038278192</v>
      </c>
      <c r="FI29" s="62">
        <f t="shared" si="23"/>
        <v>439.11590443197213</v>
      </c>
      <c r="FJ29" s="62">
        <f ca="1">AVERAGE(OFFSET($FI$3,0,0,'Données projet'!$E$16+1,1))-AVERAGE(OFFSET($H$3,0,0,'Données projet'!$E$16+1,1))</f>
        <v>369.69145521630799</v>
      </c>
      <c r="FK29" s="62">
        <f t="shared" si="48"/>
        <v>360.24112103688719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>
        <f>EXP(-LN(2)/35)*FQ28+(1-EXP(-LN(2)/35))/(LN(2)/35)*FM29*FN29*VLOOKUP('Données projet'!$B$16,Paramètres!$A$1:$I$89,3,0)*0.475*44/12</f>
        <v>0</v>
      </c>
      <c r="FR29" s="23">
        <f>EXP(-LN(2)/25)*FR28+(1-EXP(-LN(2)/25))/(LN(2)/25)*Calculateur!FM29*Calculateur!FO29*VLOOKUP('Données projet'!$B$16,Paramètres!$A$1:$I$89,3,0)*0.475*44/12</f>
        <v>0</v>
      </c>
      <c r="FS29" s="23">
        <f>EXP(-LN(2)/2)*FS28+(1-EXP(-LN(2)/2))/(LN(2)/2)*FM29*FP29*VLOOKUP('Données projet'!$B$16,Paramètres!$A$1:$I$89,3,0)*0.475*44/12</f>
        <v>0</v>
      </c>
      <c r="FT29" s="24">
        <f t="shared" si="24"/>
        <v>0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11.5</v>
      </c>
      <c r="FZ29" s="13">
        <f>IF('Données projet'!$A$244&gt;35,FZ28+FY29-GH28,IF(A29&lt;'Données projet'!$A$244,$FW$205^A29,IF(A29='Données projet'!$A$244,'Données projet'!$B$244,FZ28+FY29-GH28)))</f>
        <v>97.499999999999957</v>
      </c>
      <c r="GA29" s="18">
        <f>FZ29*VLOOKUP('Données projet'!$B$17,Paramètres!$A$1:$I$89,3,0)*VLOOKUP('Données projet'!$B$17,Paramètres!$A$1:$I$89,5,0)</f>
        <v>104.94899999999994</v>
      </c>
      <c r="GB29" s="14">
        <f t="shared" si="49"/>
        <v>28.137693523665128</v>
      </c>
      <c r="GC29" s="22">
        <f t="shared" si="25"/>
        <v>231.79265788705001</v>
      </c>
      <c r="GD29" s="62">
        <f t="shared" si="26"/>
        <v>462.07937193624019</v>
      </c>
      <c r="GE29" s="62">
        <f ca="1">AVERAGE(OFFSET($GD$3,0,0,'Données projet'!$E$17+1,1))-AVERAGE(OFFSET($H$3,0,0,'Données projet'!$E$17+1,1))</f>
        <v>405.06394904053946</v>
      </c>
      <c r="GF29" s="62">
        <f t="shared" si="50"/>
        <v>393.75247087518198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>
        <f>EXP(-LN(2)/35)*GL28+(1-EXP(-LN(2)/35))/(LN(2)/35)*GH29*GI29*VLOOKUP('Données projet'!$B$17,Paramètres!$A$1:$I$89,3,0)*0.475*44/12</f>
        <v>0</v>
      </c>
      <c r="GM29" s="23">
        <f>EXP(-LN(2)/25)*GM28+(1-EXP(-LN(2)/25))/(LN(2)/25)*Calculateur!GH29*Calculateur!GJ29*VLOOKUP('Données projet'!$B$17,Paramètres!$A$1:$I$89,3,0)*0.475*44/12</f>
        <v>0</v>
      </c>
      <c r="GN29" s="23">
        <f>EXP(-LN(2)/2)*GN28+(1-EXP(-LN(2)/2))/(LN(2)/2)*GH29*GK29*VLOOKUP('Données projet'!$B$17,Paramètres!$A$1:$I$89,3,0)*0.475*44/12</f>
        <v>0</v>
      </c>
      <c r="GO29" s="23">
        <f t="shared" si="27"/>
        <v>0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11.5</v>
      </c>
      <c r="GU29" s="13">
        <f>IF('Données projet'!$A$270&gt;35,GU28+GT29-HC28,IF(A29&lt;'Données projet'!$A$270,$GR$205^A29,IF(A29='Données projet'!$A$270,'Données projet'!$B$270,GU28+GT29-HC28)))</f>
        <v>97.499999999999957</v>
      </c>
      <c r="GV29" s="18">
        <f>GU29*VLOOKUP('Données projet'!$B$18,Paramètres!$A$1:$I$89,3,0)*VLOOKUP('Données projet'!$B$18,Paramètres!$A$1:$I$89,5,0)</f>
        <v>65.402999999999977</v>
      </c>
      <c r="GW29" s="14">
        <f t="shared" si="51"/>
        <v>18.527386684584453</v>
      </c>
      <c r="GX29" s="22">
        <f t="shared" si="28"/>
        <v>146.17875680898456</v>
      </c>
      <c r="GY29" s="62">
        <f t="shared" si="29"/>
        <v>376.46547085817474</v>
      </c>
      <c r="GZ29" s="62">
        <f ca="1">AVERAGE(OFFSET($GY$3,0,0,'Données projet'!$E$18+1,1))-AVERAGE(OFFSET($H$3,0,0,'Données projet'!$E$18+1,1))</f>
        <v>273.21861937609918</v>
      </c>
      <c r="HA29" s="62">
        <f t="shared" si="52"/>
        <v>268.83004886965318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>
        <f>EXP(-LN(2)/35)*HG28+(1-EXP(-LN(2)/35))/(LN(2)/35)*HC29*HD29*VLOOKUP('Données projet'!$B$18,Paramètres!$A$1:$I$89,3,0)*0.475*44/12</f>
        <v>0</v>
      </c>
      <c r="HH29" s="23">
        <f>EXP(-LN(2)/25)*HH28+(1-EXP(-LN(2)/25))/(LN(2)/25)*Calculateur!HC29*Calculateur!HE29*VLOOKUP('Données projet'!$B$18,Paramètres!$A$1:$I$89,3,0)*0.475*44/12</f>
        <v>0</v>
      </c>
      <c r="HI29" s="23">
        <f>EXP(-LN(2)/2)*HI28+(1-EXP(-LN(2)/2))/(LN(2)/2)*HC29*HF29*VLOOKUP('Données projet'!$B$18,Paramètres!$A$1:$I$89,3,0)*0.475*44/12</f>
        <v>0</v>
      </c>
      <c r="HJ29" s="24">
        <f t="shared" si="30"/>
        <v>0</v>
      </c>
    </row>
    <row r="30" spans="1:218" s="5" customFormat="1" x14ac:dyDescent="0.4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2.4423076923076925</v>
      </c>
      <c r="N30" s="14">
        <f>IF('Données projet'!$A$36&gt;35,N29+M30-V29,IF(A30&lt;'Données projet'!$A$36,$K$205^A30,IF(A30='Données projet'!$A$36,'Données projet'!$B$36,N29+M30-V29)))</f>
        <v>65.942307692307708</v>
      </c>
      <c r="O30" s="14">
        <f>N30*VLOOKUP('Données projet'!$B$9,Paramètres!$A$1:$I$89,3,0)*VLOOKUP('Données projet'!$B$9,Paramètres!$A$1:$I$89,5,0)</f>
        <v>59.664600000000014</v>
      </c>
      <c r="P30" s="14">
        <f t="shared" si="33"/>
        <v>17.083441723218392</v>
      </c>
      <c r="Q30" s="22">
        <f t="shared" si="2"/>
        <v>133.66950600127205</v>
      </c>
      <c r="R30" s="62">
        <f t="shared" si="0"/>
        <v>366.18734887383556</v>
      </c>
      <c r="S30" s="62">
        <f ca="1">AVERAGE(OFFSET($R$3,0,0,'Données projet'!$E$9+1,1))-AVERAGE(OFFSET($H$3,0,0,'Données projet'!$E$9+1,1))</f>
        <v>432.80275651765203</v>
      </c>
      <c r="T30" s="62">
        <f t="shared" si="34"/>
        <v>203.89279893419919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</v>
      </c>
      <c r="AA30" s="23">
        <f>EXP(-LN(2)/25)*AA29+(1-EXP(-LN(2)/25))/(LN(2)/25)*Calculateur!V30*Calculateur!X30*VLOOKUP('Données projet'!$B$9,Paramètres!$A$1:$I$89,3,0)*0.475*44/12</f>
        <v>0</v>
      </c>
      <c r="AB30" s="23">
        <f>EXP(-LN(2)/2)*AB29+(1-EXP(-LN(2)/2))/(LN(2)/2)*V30*Y30*VLOOKUP('Données projet'!$B$9,Paramètres!$A$1:$I$89,3,0)*0.475*44/12</f>
        <v>0</v>
      </c>
      <c r="AC30" s="24">
        <f t="shared" si="3"/>
        <v>0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26.6</v>
      </c>
      <c r="AI30" s="14">
        <f>IF('Données projet'!$A$62&gt;35,AI29+AH30-AQ29,IF(A30&lt;'Données projet'!$A$62,$AF$205^A30,IF(A30='Données projet'!$A$62,'Données projet'!$B$62,AI29+AH30-AQ29)))</f>
        <v>404.20000000000005</v>
      </c>
      <c r="AJ30" s="14">
        <f>AI30*VLOOKUP('Données projet'!$B$10,Paramètres!$A$1:$I$89,3,0)*VLOOKUP('Données projet'!$B$10,Paramètres!$A$1:$I$89,5,0)</f>
        <v>178.65640000000005</v>
      </c>
      <c r="AK30" s="14">
        <f t="shared" si="35"/>
        <v>45.023129696037095</v>
      </c>
      <c r="AL30" s="22">
        <f t="shared" si="4"/>
        <v>389.57518088726471</v>
      </c>
      <c r="AM30" s="62">
        <f t="shared" si="5"/>
        <v>622.09302375982816</v>
      </c>
      <c r="AN30" s="62">
        <f ca="1">AVERAGE(OFFSET($AM$3,0,0,'Données projet'!$E$10+1,1))-AVERAGE(OFFSET($H$3,0,0,'Données projet'!$E$10+1,1))</f>
        <v>413.08876898406481</v>
      </c>
      <c r="AO30" s="62">
        <f t="shared" si="36"/>
        <v>520.31320932826566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3.1908534371056358</v>
      </c>
      <c r="AW30" s="23">
        <f>EXP(-LN(2)/2)*AW29+(1-EXP(-LN(2)/2))/(LN(2)/2)*AQ30*AT30*VLOOKUP('Données projet'!$B$10,Paramètres!$A$1:$I$89,3,0)*0.475*44/12</f>
        <v>0</v>
      </c>
      <c r="AX30" s="23">
        <f t="shared" si="6"/>
        <v>3.1908534371056358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26.6</v>
      </c>
      <c r="BD30" s="13">
        <f>IF('Données projet'!$A$88&gt;35,BD29+BC30-BL29,IF(A30&lt;'Données projet'!$A$88,$BA$205^A30,IF(A30='Données projet'!$A$88,'Données projet'!$B$88,BD29+BC30-BL29)))</f>
        <v>404.20000000000005</v>
      </c>
      <c r="BE30" s="14">
        <f>BD30*VLOOKUP('Données projet'!$B$11,Paramètres!$A$1:$I$89,3,0)*VLOOKUP('Données projet'!$B$11,Paramètres!$A$1:$I$89,5,0)</f>
        <v>225.94780000000003</v>
      </c>
      <c r="BF30" s="14">
        <f t="shared" si="37"/>
        <v>55.405596784542439</v>
      </c>
      <c r="BG30" s="22">
        <f t="shared" si="7"/>
        <v>490.02383273307811</v>
      </c>
      <c r="BH30" s="62">
        <f t="shared" si="8"/>
        <v>722.54167560564156</v>
      </c>
      <c r="BI30" s="62">
        <f ca="1">AVERAGE(OFFSET($BH$3,0,0,'Données projet'!$E$11+1,1))-AVERAGE(OFFSET($H$3,0,0,'Données projet'!$E$11+1,1))</f>
        <v>507.66185230065889</v>
      </c>
      <c r="BJ30" s="62">
        <f t="shared" si="38"/>
        <v>640.14375617778342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4.0354911116335979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4.0354911116335979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5.736111113999999</v>
      </c>
      <c r="BY30" s="13">
        <f>IF('Données projet'!$A$114&gt;35,BY29+BX30-CG29,IF(A30&lt;'Données projet'!$A$114,$BV$205^A30,IF(A30='Données projet'!$A$114,'Données projet'!$B$114,BY29+BX30-CG29)))</f>
        <v>116.81944445799998</v>
      </c>
      <c r="BZ30" s="14">
        <f>BY30*VLOOKUP('Données projet'!$B$12,Paramètres!$A$1:$I$89,3,0)*VLOOKUP('Données projet'!$B$12,Paramètres!$A$1:$I$89,5,0)</f>
        <v>54.67150000634399</v>
      </c>
      <c r="CA30" s="14">
        <f t="shared" si="39"/>
        <v>15.81385219560522</v>
      </c>
      <c r="CB30" s="22">
        <f t="shared" si="10"/>
        <v>122.76198841839486</v>
      </c>
      <c r="CC30" s="62">
        <f t="shared" si="11"/>
        <v>355.27983129095838</v>
      </c>
      <c r="CD30" s="62">
        <f ca="1">AVERAGE(OFFSET($CC$3,0,0,'Données projet'!$E$12+1,1))-AVERAGE(OFFSET($H$3,0,0,'Données projet'!$E$12+1,1))</f>
        <v>289.21044803824958</v>
      </c>
      <c r="CE30" s="62">
        <f t="shared" si="40"/>
        <v>196.11836398299445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>
        <f>EXP(-LN(2)/35)*CK29+(1-EXP(-LN(2)/35))/(LN(2)/35)*CG30*CH30*VLOOKUP('Données projet'!$B$12,Paramètres!$A$1:$I$89,3,0)*0.475*44/12</f>
        <v>0</v>
      </c>
      <c r="CL30" s="23">
        <f>EXP(-LN(2)/25)*CL29+(1-EXP(-LN(2)/25))/(LN(2)/25)*Calculateur!CG30*Calculateur!CI30*VLOOKUP('Données projet'!$B$12,Paramètres!$A$1:$I$89,3,0)*0.475*44/12</f>
        <v>0</v>
      </c>
      <c r="CM30" s="23">
        <f>EXP(-LN(2)/2)*CM29+(1-EXP(-LN(2)/2))/(LN(2)/2)*CG30*CJ30*VLOOKUP('Données projet'!$B$12,Paramètres!$A$1:$I$89,3,0)*0.475*44/12</f>
        <v>0</v>
      </c>
      <c r="CN30" s="24">
        <f t="shared" si="12"/>
        <v>0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8.6</v>
      </c>
      <c r="CT30" s="13">
        <f>IF('Données projet'!$A$140&gt;35,CT29+CS30-DB29,IF(A30&lt;'Données projet'!$A$140,$CQ$205^A30,IF(A30='Données projet'!$A$140,'Données projet'!$B$140,CT29+CS30-DB29)))</f>
        <v>217.2</v>
      </c>
      <c r="CU30" s="18">
        <f>CT30*VLOOKUP('Données projet'!$B$13,Paramètres!$A$1:$I$89,3,0)*VLOOKUP('Données projet'!$B$13,Paramètres!$A$1:$I$89,5,0)</f>
        <v>196.52255999999997</v>
      </c>
      <c r="CV30" s="14">
        <f t="shared" si="41"/>
        <v>48.979153257338155</v>
      </c>
      <c r="CW30" s="22">
        <f t="shared" si="13"/>
        <v>427.58215058986383</v>
      </c>
      <c r="CX30" s="62">
        <f t="shared" si="14"/>
        <v>660.09999346242739</v>
      </c>
      <c r="CY30" s="62">
        <f ca="1">AVERAGE(OFFSET($CX$3,0,0,'Données projet'!$E$13+1,1))-AVERAGE(OFFSET($H$3,0,0,'Données projet'!$E$13+1,1))</f>
        <v>376.68007030857598</v>
      </c>
      <c r="CZ30" s="62">
        <f t="shared" si="42"/>
        <v>532.90758914457626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>
        <f>EXP(-LN(2)/35)*DF29+(1-EXP(-LN(2)/35))/(LN(2)/35)*DB30*DC30*VLOOKUP('Données projet'!$B$13,Paramètres!$A$1:$I$89,3,0)*0.475*44/12</f>
        <v>0</v>
      </c>
      <c r="DG30" s="23">
        <f>EXP(-LN(2)/25)*DG29+(1-EXP(-LN(2)/25))/(LN(2)/25)*Calculateur!DB30*Calculateur!DD30*VLOOKUP('Données projet'!$B$13,Paramètres!$A$1:$I$89,3,0)*0.475*44/12</f>
        <v>9.2709726461901685</v>
      </c>
      <c r="DH30" s="23">
        <f>EXP(-LN(2)/2)*DH29+(1-EXP(-LN(2)/2))/(LN(2)/2)*DB30*DE30*VLOOKUP('Données projet'!$B$13,Paramètres!$A$1:$I$89,3,0)*0.475*44/12</f>
        <v>0</v>
      </c>
      <c r="DI30" s="24">
        <f t="shared" si="15"/>
        <v>9.2709726461901685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11.5</v>
      </c>
      <c r="DO30" s="13">
        <f>IF('Données projet'!$A$166&gt;35,DO29+DN30-DW29,IF(A30&lt;'Données projet'!$A$166,$DL$205^A30,IF(A30='Données projet'!$A$166,'Données projet'!$B$166,DO29+DN30-DW29)))</f>
        <v>108.99999999999996</v>
      </c>
      <c r="DP30" s="18">
        <f>DO30*VLOOKUP('Données projet'!$B$14,Paramètres!$A$1:$I$89,3,0)*VLOOKUP('Données projet'!$B$14,Paramètres!$A$1:$I$89,5,0)</f>
        <v>103.72439999999995</v>
      </c>
      <c r="DQ30" s="14">
        <f t="shared" si="43"/>
        <v>27.847387349057382</v>
      </c>
      <c r="DR30" s="22">
        <f t="shared" si="16"/>
        <v>229.15419629960817</v>
      </c>
      <c r="DS30" s="62">
        <f t="shared" si="17"/>
        <v>461.67203917217171</v>
      </c>
      <c r="DT30" s="62">
        <f ca="1">AVERAGE(OFFSET($DS$3,0,0,'Données projet'!$E$14+1,1))-AVERAGE(OFFSET($H$3,0,0,'Données projet'!$E$14+1,1))</f>
        <v>364.63161066507769</v>
      </c>
      <c r="DU30" s="62">
        <f t="shared" si="44"/>
        <v>355.44729904860708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>
        <f>EXP(-LN(2)/35)*EA29+(1-EXP(-LN(2)/35))/(LN(2)/35)*DW30*DX30*VLOOKUP('Données projet'!$B$14,Paramètres!$A$1:$I$89,3,0)*0.475*44/12</f>
        <v>0</v>
      </c>
      <c r="EB30" s="23">
        <f>EXP(-LN(2)/25)*EB29+(1-EXP(-LN(2)/25))/(LN(2)/25)*Calculateur!DW30*Calculateur!DY30*VLOOKUP('Données projet'!$B$14,Paramètres!$A$1:$I$89,3,0)*0.475*44/12</f>
        <v>0</v>
      </c>
      <c r="EC30" s="23">
        <f>EXP(-LN(2)/2)*EC29+(1-EXP(-LN(2)/2))/(LN(2)/2)*DW30*DZ30*VLOOKUP('Données projet'!$B$14,Paramètres!$A$1:$I$89,3,0)*0.475*44/12</f>
        <v>0</v>
      </c>
      <c r="ED30" s="24">
        <f t="shared" si="18"/>
        <v>0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11.5</v>
      </c>
      <c r="EJ30" s="13">
        <f>IF('Données projet'!$A$192&gt;35,EJ29+EI30-ER29,IF(A30&lt;'Données projet'!$A$192,$EG$205^A30,IF(A30='Données projet'!$A$192,'Données projet'!$B$192,EJ29+EI30-ER29)))</f>
        <v>108.99999999999996</v>
      </c>
      <c r="EK30" s="18">
        <f>EJ30*VLOOKUP('Données projet'!$B$15,Paramètres!$A$1:$I$89,3,0)*VLOOKUP('Données projet'!$B$15,Paramètres!$A$1:$I$89,5,0)</f>
        <v>79.918799999999962</v>
      </c>
      <c r="EL30" s="14">
        <f t="shared" si="45"/>
        <v>22.117329133258739</v>
      </c>
      <c r="EM30" s="22">
        <f t="shared" si="19"/>
        <v>177.7129249070922</v>
      </c>
      <c r="EN30" s="62">
        <f t="shared" si="20"/>
        <v>410.23076777965571</v>
      </c>
      <c r="EO30" s="62">
        <f ca="1">AVERAGE(OFFSET($EN$3,0,0,'Données projet'!$E$15+1,1))-AVERAGE(OFFSET($H$3,0,0,'Données projet'!$E$15+1,1))</f>
        <v>293.59366973965774</v>
      </c>
      <c r="EP30" s="62">
        <f t="shared" si="46"/>
        <v>288.13804536120426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>
        <f>EXP(-LN(2)/35)*EV29+(1-EXP(-LN(2)/35))/(LN(2)/35)*ER30*ES30*VLOOKUP('Données projet'!$B$15,Paramètres!$A$1:$I$89,3,0)*0.475*44/12</f>
        <v>0</v>
      </c>
      <c r="EW30" s="23">
        <f>EXP(-LN(2)/25)*EW29+(1-EXP(-LN(2)/25))/(LN(2)/25)*Calculateur!ER30*Calculateur!ET30*VLOOKUP('Données projet'!$B$15,Paramètres!$A$1:$I$89,3,0)*0.475*44/12</f>
        <v>0</v>
      </c>
      <c r="EX30" s="23">
        <f>EXP(-LN(2)/2)*EX29+(1-EXP(-LN(2)/2))/(LN(2)/2)*ER30*EU30*VLOOKUP('Données projet'!$B$15,Paramètres!$A$1:$I$89,3,0)*0.475*44/12</f>
        <v>0</v>
      </c>
      <c r="EY30" s="24">
        <f t="shared" si="21"/>
        <v>0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11.5</v>
      </c>
      <c r="FE30" s="13">
        <f>IF('Données projet'!$A$218&gt;35,FE29+FD30-FM29,IF(A30&lt;'Données projet'!$A$218,$FB$205^A30,IF(A30='Données projet'!$A$218,'Données projet'!$B$218,FE29+FD30-FM29)))</f>
        <v>108.99999999999996</v>
      </c>
      <c r="FF30" s="18">
        <f>FE30*VLOOKUP('Données projet'!$B$16,Paramètres!$A$1:$I$89,3,0)*VLOOKUP('Données projet'!$B$16,Paramètres!$A$1:$I$89,5,0)</f>
        <v>105.42479999999996</v>
      </c>
      <c r="FG30" s="14">
        <f t="shared" si="47"/>
        <v>28.250381069605584</v>
      </c>
      <c r="FH30" s="22">
        <f t="shared" si="22"/>
        <v>232.81760702956296</v>
      </c>
      <c r="FI30" s="62">
        <f t="shared" si="23"/>
        <v>465.33544990212647</v>
      </c>
      <c r="FJ30" s="62">
        <f ca="1">AVERAGE(OFFSET($FI$3,0,0,'Données projet'!$E$16+1,1))-AVERAGE(OFFSET($H$3,0,0,'Données projet'!$E$16+1,1))</f>
        <v>369.69145521630799</v>
      </c>
      <c r="FK30" s="62">
        <f t="shared" si="48"/>
        <v>360.24112103688719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>
        <f>EXP(-LN(2)/35)*FQ29+(1-EXP(-LN(2)/35))/(LN(2)/35)*FM30*FN30*VLOOKUP('Données projet'!$B$16,Paramètres!$A$1:$I$89,3,0)*0.475*44/12</f>
        <v>0</v>
      </c>
      <c r="FR30" s="23">
        <f>EXP(-LN(2)/25)*FR29+(1-EXP(-LN(2)/25))/(LN(2)/25)*Calculateur!FM30*Calculateur!FO30*VLOOKUP('Données projet'!$B$16,Paramètres!$A$1:$I$89,3,0)*0.475*44/12</f>
        <v>0</v>
      </c>
      <c r="FS30" s="23">
        <f>EXP(-LN(2)/2)*FS29+(1-EXP(-LN(2)/2))/(LN(2)/2)*FM30*FP30*VLOOKUP('Données projet'!$B$16,Paramètres!$A$1:$I$89,3,0)*0.475*44/12</f>
        <v>0</v>
      </c>
      <c r="FT30" s="24">
        <f t="shared" si="24"/>
        <v>0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11.5</v>
      </c>
      <c r="FZ30" s="13">
        <f>IF('Données projet'!$A$244&gt;35,FZ29+FY30-GH29,IF(A30&lt;'Données projet'!$A$244,$FW$205^A30,IF(A30='Données projet'!$A$244,'Données projet'!$B$244,FZ29+FY30-GH29)))</f>
        <v>108.99999999999996</v>
      </c>
      <c r="GA30" s="18">
        <f>FZ30*VLOOKUP('Données projet'!$B$17,Paramètres!$A$1:$I$89,3,0)*VLOOKUP('Données projet'!$B$17,Paramètres!$A$1:$I$89,5,0)</f>
        <v>117.32759999999995</v>
      </c>
      <c r="GB30" s="14">
        <f t="shared" si="49"/>
        <v>31.050891245531687</v>
      </c>
      <c r="GC30" s="22">
        <f t="shared" si="25"/>
        <v>258.42587225263418</v>
      </c>
      <c r="GD30" s="62">
        <f t="shared" si="26"/>
        <v>490.94371512519768</v>
      </c>
      <c r="GE30" s="62">
        <f ca="1">AVERAGE(OFFSET($GD$3,0,0,'Données projet'!$E$17+1,1))-AVERAGE(OFFSET($H$3,0,0,'Données projet'!$E$17+1,1))</f>
        <v>405.06394904053946</v>
      </c>
      <c r="GF30" s="62">
        <f t="shared" si="50"/>
        <v>393.75247087518198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>
        <f>EXP(-LN(2)/35)*GL29+(1-EXP(-LN(2)/35))/(LN(2)/35)*GH30*GI30*VLOOKUP('Données projet'!$B$17,Paramètres!$A$1:$I$89,3,0)*0.475*44/12</f>
        <v>0</v>
      </c>
      <c r="GM30" s="23">
        <f>EXP(-LN(2)/25)*GM29+(1-EXP(-LN(2)/25))/(LN(2)/25)*Calculateur!GH30*Calculateur!GJ30*VLOOKUP('Données projet'!$B$17,Paramètres!$A$1:$I$89,3,0)*0.475*44/12</f>
        <v>0</v>
      </c>
      <c r="GN30" s="23">
        <f>EXP(-LN(2)/2)*GN29+(1-EXP(-LN(2)/2))/(LN(2)/2)*GH30*GK30*VLOOKUP('Données projet'!$B$17,Paramètres!$A$1:$I$89,3,0)*0.475*44/12</f>
        <v>0</v>
      </c>
      <c r="GO30" s="23">
        <f t="shared" si="27"/>
        <v>0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11.5</v>
      </c>
      <c r="GU30" s="13">
        <f>IF('Données projet'!$A$270&gt;35,GU29+GT30-HC29,IF(A30&lt;'Données projet'!$A$270,$GR$205^A30,IF(A30='Données projet'!$A$270,'Données projet'!$B$270,GU29+GT30-HC29)))</f>
        <v>108.99999999999996</v>
      </c>
      <c r="GV30" s="18">
        <f>GU30*VLOOKUP('Données projet'!$B$18,Paramètres!$A$1:$I$89,3,0)*VLOOKUP('Données projet'!$B$18,Paramètres!$A$1:$I$89,5,0)</f>
        <v>73.117199999999983</v>
      </c>
      <c r="GW30" s="14">
        <f t="shared" si="51"/>
        <v>20.445594395400459</v>
      </c>
      <c r="GX30" s="22">
        <f t="shared" si="28"/>
        <v>162.95520023865575</v>
      </c>
      <c r="GY30" s="62">
        <f t="shared" si="29"/>
        <v>395.47304311121923</v>
      </c>
      <c r="GZ30" s="62">
        <f ca="1">AVERAGE(OFFSET($GY$3,0,0,'Données projet'!$E$18+1,1))-AVERAGE(OFFSET($H$3,0,0,'Données projet'!$E$18+1,1))</f>
        <v>273.21861937609918</v>
      </c>
      <c r="HA30" s="62">
        <f t="shared" si="52"/>
        <v>268.83004886965318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>
        <f>EXP(-LN(2)/35)*HG29+(1-EXP(-LN(2)/35))/(LN(2)/35)*HC30*HD30*VLOOKUP('Données projet'!$B$18,Paramètres!$A$1:$I$89,3,0)*0.475*44/12</f>
        <v>0</v>
      </c>
      <c r="HH30" s="23">
        <f>EXP(-LN(2)/25)*HH29+(1-EXP(-LN(2)/25))/(LN(2)/25)*Calculateur!HC30*Calculateur!HE30*VLOOKUP('Données projet'!$B$18,Paramètres!$A$1:$I$89,3,0)*0.475*44/12</f>
        <v>0</v>
      </c>
      <c r="HI30" s="23">
        <f>EXP(-LN(2)/2)*HI29+(1-EXP(-LN(2)/2))/(LN(2)/2)*HC30*HF30*VLOOKUP('Données projet'!$B$18,Paramètres!$A$1:$I$89,3,0)*0.475*44/12</f>
        <v>0</v>
      </c>
      <c r="HJ30" s="24">
        <f t="shared" si="30"/>
        <v>0</v>
      </c>
    </row>
    <row r="31" spans="1:218" s="5" customFormat="1" x14ac:dyDescent="0.4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2.4423076923076925</v>
      </c>
      <c r="N31" s="14">
        <f>IF('Données projet'!$A$36&gt;35,N30+M31-V30,IF(A31&lt;'Données projet'!$A$36,$K$205^A31,IF(A31='Données projet'!$A$36,'Données projet'!$B$36,N30+M31-V30)))</f>
        <v>68.384615384615401</v>
      </c>
      <c r="O31" s="14">
        <f>N31*VLOOKUP('Données projet'!$B$9,Paramètres!$A$1:$I$89,3,0)*VLOOKUP('Données projet'!$B$9,Paramètres!$A$1:$I$89,5,0)</f>
        <v>61.874400000000009</v>
      </c>
      <c r="P31" s="14">
        <f t="shared" si="33"/>
        <v>17.641324353568287</v>
      </c>
      <c r="Q31" s="22">
        <f t="shared" si="2"/>
        <v>138.48988658246478</v>
      </c>
      <c r="R31" s="62">
        <f t="shared" si="0"/>
        <v>373.22135600444886</v>
      </c>
      <c r="S31" s="62">
        <f ca="1">AVERAGE(OFFSET($R$3,0,0,'Données projet'!$E$9+1,1))-AVERAGE(OFFSET($H$3,0,0,'Données projet'!$E$9+1,1))</f>
        <v>432.80275651765203</v>
      </c>
      <c r="T31" s="62">
        <f t="shared" si="34"/>
        <v>203.89279893419919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</v>
      </c>
      <c r="AA31" s="23">
        <f>EXP(-LN(2)/25)*AA30+(1-EXP(-LN(2)/25))/(LN(2)/25)*Calculateur!V31*Calculateur!X31*VLOOKUP('Données projet'!$B$9,Paramètres!$A$1:$I$89,3,0)*0.475*44/12</f>
        <v>0</v>
      </c>
      <c r="AB31" s="23">
        <f>EXP(-LN(2)/2)*AB30+(1-EXP(-LN(2)/2))/(LN(2)/2)*V31*Y31*VLOOKUP('Données projet'!$B$9,Paramètres!$A$1:$I$89,3,0)*0.475*44/12</f>
        <v>0</v>
      </c>
      <c r="AC31" s="24">
        <f t="shared" si="3"/>
        <v>0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26.6</v>
      </c>
      <c r="AI31" s="14">
        <f>IF('Données projet'!$A$62&gt;35,AI30+AH31-AQ30,IF(A31&lt;'Données projet'!$A$62,$AF$205^A31,IF(A31='Données projet'!$A$62,'Données projet'!$B$62,AI30+AH31-AQ30)))</f>
        <v>430.80000000000007</v>
      </c>
      <c r="AJ31" s="14">
        <f>AI31*VLOOKUP('Données projet'!$B$10,Paramètres!$A$1:$I$89,3,0)*VLOOKUP('Données projet'!$B$10,Paramètres!$A$1:$I$89,5,0)</f>
        <v>190.41360000000006</v>
      </c>
      <c r="AK31" s="14">
        <f t="shared" si="35"/>
        <v>47.631382363347036</v>
      </c>
      <c r="AL31" s="22">
        <f t="shared" si="4"/>
        <v>414.59501094949616</v>
      </c>
      <c r="AM31" s="62">
        <f t="shared" si="5"/>
        <v>649.32648037148022</v>
      </c>
      <c r="AN31" s="62">
        <f ca="1">AVERAGE(OFFSET($AM$3,0,0,'Données projet'!$E$10+1,1))-AVERAGE(OFFSET($H$3,0,0,'Données projet'!$E$10+1,1))</f>
        <v>413.08876898406481</v>
      </c>
      <c r="AO31" s="62">
        <f t="shared" si="36"/>
        <v>520.31320932826566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3.1035993820682926</v>
      </c>
      <c r="AW31" s="23">
        <f>EXP(-LN(2)/2)*AW30+(1-EXP(-LN(2)/2))/(LN(2)/2)*AQ31*AT31*VLOOKUP('Données projet'!$B$10,Paramètres!$A$1:$I$89,3,0)*0.475*44/12</f>
        <v>0</v>
      </c>
      <c r="AX31" s="23">
        <f t="shared" si="6"/>
        <v>3.1035993820682926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26.6</v>
      </c>
      <c r="BD31" s="13">
        <f>IF('Données projet'!$A$88&gt;35,BD30+BC31-BL30,IF(A31&lt;'Données projet'!$A$88,$BA$205^A31,IF(A31='Données projet'!$A$88,'Données projet'!$B$88,BD30+BC31-BL30)))</f>
        <v>430.80000000000007</v>
      </c>
      <c r="BE31" s="14">
        <f>BD31*VLOOKUP('Données projet'!$B$11,Paramètres!$A$1:$I$89,3,0)*VLOOKUP('Données projet'!$B$11,Paramètres!$A$1:$I$89,5,0)</f>
        <v>240.81720000000004</v>
      </c>
      <c r="BF31" s="14">
        <f t="shared" si="37"/>
        <v>58.615320243858108</v>
      </c>
      <c r="BG31" s="22">
        <f t="shared" si="7"/>
        <v>521.51163942471965</v>
      </c>
      <c r="BH31" s="62">
        <f t="shared" si="8"/>
        <v>756.24310884670376</v>
      </c>
      <c r="BI31" s="62">
        <f ca="1">AVERAGE(OFFSET($BH$3,0,0,'Données projet'!$E$11+1,1))-AVERAGE(OFFSET($H$3,0,0,'Données projet'!$E$11+1,1))</f>
        <v>507.66185230065889</v>
      </c>
      <c r="BJ31" s="62">
        <f t="shared" si="38"/>
        <v>640.14375617778342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3.9251403949687229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3.9251403949687229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5.736111113999999</v>
      </c>
      <c r="BY31" s="13">
        <f>IF('Données projet'!$A$114&gt;35,BY30+BX31-CG30,IF(A31&lt;'Données projet'!$A$114,$BV$205^A31,IF(A31='Données projet'!$A$114,'Données projet'!$B$114,BY30+BX31-CG30)))</f>
        <v>122.55555557199997</v>
      </c>
      <c r="BZ31" s="14">
        <f>BY31*VLOOKUP('Données projet'!$B$12,Paramètres!$A$1:$I$89,3,0)*VLOOKUP('Données projet'!$B$12,Paramètres!$A$1:$I$89,5,0)</f>
        <v>57.356000007695989</v>
      </c>
      <c r="CA31" s="14">
        <f t="shared" si="39"/>
        <v>16.498039617063672</v>
      </c>
      <c r="CB31" s="22">
        <f t="shared" si="10"/>
        <v>128.62911901312307</v>
      </c>
      <c r="CC31" s="62">
        <f t="shared" si="11"/>
        <v>363.36058843510716</v>
      </c>
      <c r="CD31" s="62">
        <f ca="1">AVERAGE(OFFSET($CC$3,0,0,'Données projet'!$E$12+1,1))-AVERAGE(OFFSET($H$3,0,0,'Données projet'!$E$12+1,1))</f>
        <v>289.21044803824958</v>
      </c>
      <c r="CE31" s="62">
        <f t="shared" si="40"/>
        <v>196.11836398299445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>
        <f>EXP(-LN(2)/35)*CK30+(1-EXP(-LN(2)/35))/(LN(2)/35)*CG31*CH31*VLOOKUP('Données projet'!$B$12,Paramètres!$A$1:$I$89,3,0)*0.475*44/12</f>
        <v>0</v>
      </c>
      <c r="CL31" s="23">
        <f>EXP(-LN(2)/25)*CL30+(1-EXP(-LN(2)/25))/(LN(2)/25)*Calculateur!CG31*Calculateur!CI31*VLOOKUP('Données projet'!$B$12,Paramètres!$A$1:$I$89,3,0)*0.475*44/12</f>
        <v>0</v>
      </c>
      <c r="CM31" s="23">
        <f>EXP(-LN(2)/2)*CM30+(1-EXP(-LN(2)/2))/(LN(2)/2)*CG31*CJ31*VLOOKUP('Données projet'!$B$12,Paramètres!$A$1:$I$89,3,0)*0.475*44/12</f>
        <v>0</v>
      </c>
      <c r="CN31" s="24">
        <f t="shared" si="12"/>
        <v>0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8.6</v>
      </c>
      <c r="CT31" s="13">
        <f>IF('Données projet'!$A$140&gt;35,CT30+CS31-DB30,IF(A31&lt;'Données projet'!$A$140,$CQ$205^A31,IF(A31='Données projet'!$A$140,'Données projet'!$B$140,CT30+CS31-DB30)))</f>
        <v>225.79999999999998</v>
      </c>
      <c r="CU31" s="18">
        <f>CT31*VLOOKUP('Données projet'!$B$13,Paramètres!$A$1:$I$89,3,0)*VLOOKUP('Données projet'!$B$13,Paramètres!$A$1:$I$89,5,0)</f>
        <v>204.30383999999995</v>
      </c>
      <c r="CV31" s="14">
        <f t="shared" si="41"/>
        <v>50.688846269088558</v>
      </c>
      <c r="CW31" s="22">
        <f t="shared" si="13"/>
        <v>444.11226191866245</v>
      </c>
      <c r="CX31" s="62">
        <f t="shared" si="14"/>
        <v>678.84373134064651</v>
      </c>
      <c r="CY31" s="62">
        <f ca="1">AVERAGE(OFFSET($CX$3,0,0,'Données projet'!$E$13+1,1))-AVERAGE(OFFSET($H$3,0,0,'Données projet'!$E$13+1,1))</f>
        <v>376.68007030857598</v>
      </c>
      <c r="CZ31" s="62">
        <f t="shared" si="42"/>
        <v>532.90758914457626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>
        <f>EXP(-LN(2)/35)*DF30+(1-EXP(-LN(2)/35))/(LN(2)/35)*DB31*DC31*VLOOKUP('Données projet'!$B$13,Paramètres!$A$1:$I$89,3,0)*0.475*44/12</f>
        <v>0</v>
      </c>
      <c r="DG31" s="23">
        <f>EXP(-LN(2)/25)*DG30+(1-EXP(-LN(2)/25))/(LN(2)/25)*Calculateur!DB31*Calculateur!DD31*VLOOKUP('Données projet'!$B$13,Paramètres!$A$1:$I$89,3,0)*0.475*44/12</f>
        <v>9.0174574116408355</v>
      </c>
      <c r="DH31" s="23">
        <f>EXP(-LN(2)/2)*DH30+(1-EXP(-LN(2)/2))/(LN(2)/2)*DB31*DE31*VLOOKUP('Données projet'!$B$13,Paramètres!$A$1:$I$89,3,0)*0.475*44/12</f>
        <v>0</v>
      </c>
      <c r="DI31" s="24">
        <f t="shared" si="15"/>
        <v>9.0174574116408355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11.5</v>
      </c>
      <c r="DO31" s="13">
        <f>IF('Données projet'!$A$166&gt;35,DO30+DN31-DW30,IF(A31&lt;'Données projet'!$A$166,$DL$205^A31,IF(A31='Données projet'!$A$166,'Données projet'!$B$166,DO30+DN31-DW30)))</f>
        <v>120.49999999999996</v>
      </c>
      <c r="DP31" s="18">
        <f>DO31*VLOOKUP('Données projet'!$B$14,Paramètres!$A$1:$I$89,3,0)*VLOOKUP('Données projet'!$B$14,Paramètres!$A$1:$I$89,5,0)</f>
        <v>114.66779999999996</v>
      </c>
      <c r="DQ31" s="14">
        <f t="shared" si="43"/>
        <v>30.428080520676044</v>
      </c>
      <c r="DR31" s="22">
        <f t="shared" si="16"/>
        <v>252.70865857351066</v>
      </c>
      <c r="DS31" s="62">
        <f t="shared" si="17"/>
        <v>487.44012799549478</v>
      </c>
      <c r="DT31" s="62">
        <f ca="1">AVERAGE(OFFSET($DS$3,0,0,'Données projet'!$E$14+1,1))-AVERAGE(OFFSET($H$3,0,0,'Données projet'!$E$14+1,1))</f>
        <v>364.63161066507769</v>
      </c>
      <c r="DU31" s="62">
        <f t="shared" si="44"/>
        <v>355.44729904860708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>
        <f>EXP(-LN(2)/35)*EA30+(1-EXP(-LN(2)/35))/(LN(2)/35)*DW31*DX31*VLOOKUP('Données projet'!$B$14,Paramètres!$A$1:$I$89,3,0)*0.475*44/12</f>
        <v>0</v>
      </c>
      <c r="EB31" s="23">
        <f>EXP(-LN(2)/25)*EB30+(1-EXP(-LN(2)/25))/(LN(2)/25)*Calculateur!DW31*Calculateur!DY31*VLOOKUP('Données projet'!$B$14,Paramètres!$A$1:$I$89,3,0)*0.475*44/12</f>
        <v>0</v>
      </c>
      <c r="EC31" s="23">
        <f>EXP(-LN(2)/2)*EC30+(1-EXP(-LN(2)/2))/(LN(2)/2)*DW31*DZ31*VLOOKUP('Données projet'!$B$14,Paramètres!$A$1:$I$89,3,0)*0.475*44/12</f>
        <v>0</v>
      </c>
      <c r="ED31" s="24">
        <f t="shared" si="18"/>
        <v>0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11.5</v>
      </c>
      <c r="EJ31" s="13">
        <f>IF('Données projet'!$A$192&gt;35,EJ30+EI31-ER30,IF(A31&lt;'Données projet'!$A$192,$EG$205^A31,IF(A31='Données projet'!$A$192,'Données projet'!$B$192,EJ30+EI31-ER30)))</f>
        <v>120.49999999999996</v>
      </c>
      <c r="EK31" s="18">
        <f>EJ31*VLOOKUP('Données projet'!$B$15,Paramètres!$A$1:$I$89,3,0)*VLOOKUP('Données projet'!$B$15,Paramètres!$A$1:$I$89,5,0)</f>
        <v>88.350599999999972</v>
      </c>
      <c r="EL31" s="14">
        <f t="shared" si="45"/>
        <v>24.167002215806466</v>
      </c>
      <c r="EM31" s="22">
        <f t="shared" si="19"/>
        <v>195.9681571925295</v>
      </c>
      <c r="EN31" s="62">
        <f t="shared" si="20"/>
        <v>430.69962661451359</v>
      </c>
      <c r="EO31" s="62">
        <f ca="1">AVERAGE(OFFSET($EN$3,0,0,'Données projet'!$E$15+1,1))-AVERAGE(OFFSET($H$3,0,0,'Données projet'!$E$15+1,1))</f>
        <v>293.59366973965774</v>
      </c>
      <c r="EP31" s="62">
        <f t="shared" si="46"/>
        <v>288.13804536120426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>
        <f>EXP(-LN(2)/35)*EV30+(1-EXP(-LN(2)/35))/(LN(2)/35)*ER31*ES31*VLOOKUP('Données projet'!$B$15,Paramètres!$A$1:$I$89,3,0)*0.475*44/12</f>
        <v>0</v>
      </c>
      <c r="EW31" s="23">
        <f>EXP(-LN(2)/25)*EW30+(1-EXP(-LN(2)/25))/(LN(2)/25)*Calculateur!ER31*Calculateur!ET31*VLOOKUP('Données projet'!$B$15,Paramètres!$A$1:$I$89,3,0)*0.475*44/12</f>
        <v>0</v>
      </c>
      <c r="EX31" s="23">
        <f>EXP(-LN(2)/2)*EX30+(1-EXP(-LN(2)/2))/(LN(2)/2)*ER31*EU31*VLOOKUP('Données projet'!$B$15,Paramètres!$A$1:$I$89,3,0)*0.475*44/12</f>
        <v>0</v>
      </c>
      <c r="EY31" s="24">
        <f t="shared" si="21"/>
        <v>0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11.5</v>
      </c>
      <c r="FE31" s="13">
        <f>IF('Données projet'!$A$218&gt;35,FE30+FD31-FM30,IF(A31&lt;'Données projet'!$A$218,$FB$205^A31,IF(A31='Données projet'!$A$218,'Données projet'!$B$218,FE30+FD31-FM30)))</f>
        <v>120.49999999999996</v>
      </c>
      <c r="FF31" s="18">
        <f>FE31*VLOOKUP('Données projet'!$B$16,Paramètres!$A$1:$I$89,3,0)*VLOOKUP('Données projet'!$B$16,Paramètres!$A$1:$I$89,5,0)</f>
        <v>116.54759999999997</v>
      </c>
      <c r="FG31" s="14">
        <f t="shared" si="47"/>
        <v>30.868420766044974</v>
      </c>
      <c r="FH31" s="22">
        <f t="shared" si="22"/>
        <v>256.74956950086158</v>
      </c>
      <c r="FI31" s="62">
        <f t="shared" si="23"/>
        <v>491.48103892284564</v>
      </c>
      <c r="FJ31" s="62">
        <f ca="1">AVERAGE(OFFSET($FI$3,0,0,'Données projet'!$E$16+1,1))-AVERAGE(OFFSET($H$3,0,0,'Données projet'!$E$16+1,1))</f>
        <v>369.69145521630799</v>
      </c>
      <c r="FK31" s="62">
        <f t="shared" si="48"/>
        <v>360.24112103688719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>
        <f>EXP(-LN(2)/35)*FQ30+(1-EXP(-LN(2)/35))/(LN(2)/35)*FM31*FN31*VLOOKUP('Données projet'!$B$16,Paramètres!$A$1:$I$89,3,0)*0.475*44/12</f>
        <v>0</v>
      </c>
      <c r="FR31" s="23">
        <f>EXP(-LN(2)/25)*FR30+(1-EXP(-LN(2)/25))/(LN(2)/25)*Calculateur!FM31*Calculateur!FO31*VLOOKUP('Données projet'!$B$16,Paramètres!$A$1:$I$89,3,0)*0.475*44/12</f>
        <v>0</v>
      </c>
      <c r="FS31" s="23">
        <f>EXP(-LN(2)/2)*FS30+(1-EXP(-LN(2)/2))/(LN(2)/2)*FM31*FP31*VLOOKUP('Données projet'!$B$16,Paramètres!$A$1:$I$89,3,0)*0.475*44/12</f>
        <v>0</v>
      </c>
      <c r="FT31" s="24">
        <f t="shared" si="24"/>
        <v>0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11.5</v>
      </c>
      <c r="FZ31" s="13">
        <f>IF('Données projet'!$A$244&gt;35,FZ30+FY31-GH30,IF(A31&lt;'Données projet'!$A$244,$FW$205^A31,IF(A31='Données projet'!$A$244,'Données projet'!$B$244,FZ30+FY31-GH30)))</f>
        <v>120.49999999999996</v>
      </c>
      <c r="GA31" s="18">
        <f>FZ31*VLOOKUP('Données projet'!$B$17,Paramètres!$A$1:$I$89,3,0)*VLOOKUP('Données projet'!$B$17,Paramètres!$A$1:$I$89,5,0)</f>
        <v>129.70619999999997</v>
      </c>
      <c r="GB31" s="14">
        <f t="shared" si="49"/>
        <v>33.928461841493885</v>
      </c>
      <c r="GC31" s="22">
        <f t="shared" si="25"/>
        <v>284.99703604060181</v>
      </c>
      <c r="GD31" s="62">
        <f t="shared" si="26"/>
        <v>519.72850546258587</v>
      </c>
      <c r="GE31" s="62">
        <f ca="1">AVERAGE(OFFSET($GD$3,0,0,'Données projet'!$E$17+1,1))-AVERAGE(OFFSET($H$3,0,0,'Données projet'!$E$17+1,1))</f>
        <v>405.06394904053946</v>
      </c>
      <c r="GF31" s="62">
        <f t="shared" si="50"/>
        <v>393.75247087518198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>
        <f>EXP(-LN(2)/35)*GL30+(1-EXP(-LN(2)/35))/(LN(2)/35)*GH31*GI31*VLOOKUP('Données projet'!$B$17,Paramètres!$A$1:$I$89,3,0)*0.475*44/12</f>
        <v>0</v>
      </c>
      <c r="GM31" s="23">
        <f>EXP(-LN(2)/25)*GM30+(1-EXP(-LN(2)/25))/(LN(2)/25)*Calculateur!GH31*Calculateur!GJ31*VLOOKUP('Données projet'!$B$17,Paramètres!$A$1:$I$89,3,0)*0.475*44/12</f>
        <v>0</v>
      </c>
      <c r="GN31" s="23">
        <f>EXP(-LN(2)/2)*GN30+(1-EXP(-LN(2)/2))/(LN(2)/2)*GH31*GK31*VLOOKUP('Données projet'!$B$17,Paramètres!$A$1:$I$89,3,0)*0.475*44/12</f>
        <v>0</v>
      </c>
      <c r="GO31" s="23">
        <f t="shared" si="27"/>
        <v>0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11.5</v>
      </c>
      <c r="GU31" s="13">
        <f>IF('Données projet'!$A$270&gt;35,GU30+GT31-HC30,IF(A31&lt;'Données projet'!$A$270,$GR$205^A31,IF(A31='Données projet'!$A$270,'Données projet'!$B$270,GU30+GT31-HC30)))</f>
        <v>120.49999999999996</v>
      </c>
      <c r="GV31" s="18">
        <f>GU31*VLOOKUP('Données projet'!$B$18,Paramètres!$A$1:$I$89,3,0)*VLOOKUP('Données projet'!$B$18,Paramètres!$A$1:$I$89,5,0)</f>
        <v>80.831399999999974</v>
      </c>
      <c r="GW31" s="14">
        <f t="shared" si="51"/>
        <v>22.340343270205771</v>
      </c>
      <c r="GX31" s="22">
        <f t="shared" si="28"/>
        <v>179.69078619560835</v>
      </c>
      <c r="GY31" s="62">
        <f t="shared" si="29"/>
        <v>414.42225561759244</v>
      </c>
      <c r="GZ31" s="62">
        <f ca="1">AVERAGE(OFFSET($GY$3,0,0,'Données projet'!$E$18+1,1))-AVERAGE(OFFSET($H$3,0,0,'Données projet'!$E$18+1,1))</f>
        <v>273.21861937609918</v>
      </c>
      <c r="HA31" s="62">
        <f t="shared" si="52"/>
        <v>268.83004886965318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>
        <f>EXP(-LN(2)/35)*HG30+(1-EXP(-LN(2)/35))/(LN(2)/35)*HC31*HD31*VLOOKUP('Données projet'!$B$18,Paramètres!$A$1:$I$89,3,0)*0.475*44/12</f>
        <v>0</v>
      </c>
      <c r="HH31" s="23">
        <f>EXP(-LN(2)/25)*HH30+(1-EXP(-LN(2)/25))/(LN(2)/25)*Calculateur!HC31*Calculateur!HE31*VLOOKUP('Données projet'!$B$18,Paramètres!$A$1:$I$89,3,0)*0.475*44/12</f>
        <v>0</v>
      </c>
      <c r="HI31" s="23">
        <f>EXP(-LN(2)/2)*HI30+(1-EXP(-LN(2)/2))/(LN(2)/2)*HC31*HF31*VLOOKUP('Données projet'!$B$18,Paramètres!$A$1:$I$89,3,0)*0.475*44/12</f>
        <v>0</v>
      </c>
      <c r="HJ31" s="24">
        <f t="shared" si="30"/>
        <v>0</v>
      </c>
    </row>
    <row r="32" spans="1:218" s="5" customFormat="1" x14ac:dyDescent="0.4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2.4423076923076925</v>
      </c>
      <c r="N32" s="14">
        <f>IF('Données projet'!$A$36&gt;35,N31+M32-V31,IF(A32&lt;'Données projet'!$A$36,$K$205^A32,IF(A32='Données projet'!$A$36,'Données projet'!$B$36,N31+M32-V31)))</f>
        <v>70.826923076923094</v>
      </c>
      <c r="O32" s="14">
        <f>N32*VLOOKUP('Données projet'!$B$9,Paramètres!$A$1:$I$89,3,0)*VLOOKUP('Données projet'!$B$9,Paramètres!$A$1:$I$89,5,0)</f>
        <v>64.084200000000024</v>
      </c>
      <c r="P32" s="14">
        <f t="shared" si="33"/>
        <v>18.196892080237518</v>
      </c>
      <c r="Q32" s="22">
        <f t="shared" si="2"/>
        <v>143.30623537308037</v>
      </c>
      <c r="R32" s="62">
        <f t="shared" si="0"/>
        <v>380.2341326958562</v>
      </c>
      <c r="S32" s="62">
        <f ca="1">AVERAGE(OFFSET($R$3,0,0,'Données projet'!$E$9+1,1))-AVERAGE(OFFSET($H$3,0,0,'Données projet'!$E$9+1,1))</f>
        <v>432.80275651765203</v>
      </c>
      <c r="T32" s="62">
        <f t="shared" si="34"/>
        <v>203.89279893419919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</v>
      </c>
      <c r="AA32" s="23">
        <f>EXP(-LN(2)/25)*AA31+(1-EXP(-LN(2)/25))/(LN(2)/25)*Calculateur!V32*Calculateur!X32*VLOOKUP('Données projet'!$B$9,Paramètres!$A$1:$I$89,3,0)*0.475*44/12</f>
        <v>0</v>
      </c>
      <c r="AB32" s="23">
        <f>EXP(-LN(2)/2)*AB31+(1-EXP(-LN(2)/2))/(LN(2)/2)*V32*Y32*VLOOKUP('Données projet'!$B$9,Paramètres!$A$1:$I$89,3,0)*0.475*44/12</f>
        <v>0</v>
      </c>
      <c r="AC32" s="24">
        <f t="shared" si="3"/>
        <v>0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26.6</v>
      </c>
      <c r="AI32" s="14">
        <f>IF('Données projet'!$A$62&gt;35,AI31+AH32-AQ31,IF(A32&lt;'Données projet'!$A$62,$AF$205^A32,IF(A32='Données projet'!$A$62,'Données projet'!$B$62,AI31+AH32-AQ31)))</f>
        <v>457.40000000000009</v>
      </c>
      <c r="AJ32" s="14">
        <f>AI32*VLOOKUP('Données projet'!$B$10,Paramètres!$A$1:$I$89,3,0)*VLOOKUP('Données projet'!$B$10,Paramètres!$A$1:$I$89,5,0)</f>
        <v>202.17080000000007</v>
      </c>
      <c r="AK32" s="14">
        <f t="shared" si="35"/>
        <v>50.220943701803527</v>
      </c>
      <c r="AL32" s="22">
        <f t="shared" si="4"/>
        <v>439.58228694730792</v>
      </c>
      <c r="AM32" s="62">
        <f t="shared" si="5"/>
        <v>676.51018427008376</v>
      </c>
      <c r="AN32" s="62">
        <f ca="1">AVERAGE(OFFSET($AM$3,0,0,'Données projet'!$E$10+1,1))-AVERAGE(OFFSET($H$3,0,0,'Données projet'!$E$10+1,1))</f>
        <v>413.08876898406481</v>
      </c>
      <c r="AO32" s="62">
        <f t="shared" si="36"/>
        <v>520.31320932826566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3.0187312937544371</v>
      </c>
      <c r="AW32" s="23">
        <f>EXP(-LN(2)/2)*AW31+(1-EXP(-LN(2)/2))/(LN(2)/2)*AQ32*AT32*VLOOKUP('Données projet'!$B$10,Paramètres!$A$1:$I$89,3,0)*0.475*44/12</f>
        <v>0</v>
      </c>
      <c r="AX32" s="23">
        <f t="shared" si="6"/>
        <v>3.0187312937544371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26.6</v>
      </c>
      <c r="BD32" s="13">
        <f>IF('Données projet'!$A$88&gt;35,BD31+BC32-BL31,IF(A32&lt;'Données projet'!$A$88,$BA$205^A32,IF(A32='Données projet'!$A$88,'Données projet'!$B$88,BD31+BC32-BL31)))</f>
        <v>457.40000000000009</v>
      </c>
      <c r="BE32" s="14">
        <f>BD32*VLOOKUP('Données projet'!$B$11,Paramètres!$A$1:$I$89,3,0)*VLOOKUP('Données projet'!$B$11,Paramètres!$A$1:$I$89,5,0)</f>
        <v>255.68660000000006</v>
      </c>
      <c r="BF32" s="14">
        <f t="shared" si="37"/>
        <v>61.80204209851388</v>
      </c>
      <c r="BG32" s="22">
        <f t="shared" si="7"/>
        <v>552.95938498824512</v>
      </c>
      <c r="BH32" s="62">
        <f t="shared" si="8"/>
        <v>789.88728231102095</v>
      </c>
      <c r="BI32" s="62">
        <f ca="1">AVERAGE(OFFSET($BH$3,0,0,'Données projet'!$E$11+1,1))-AVERAGE(OFFSET($H$3,0,0,'Données projet'!$E$11+1,1))</f>
        <v>507.66185230065889</v>
      </c>
      <c r="BJ32" s="62">
        <f t="shared" si="38"/>
        <v>640.14375617778342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3.8178072244541408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3.8178072244541408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5.736111113999999</v>
      </c>
      <c r="BY32" s="13">
        <f>IF('Données projet'!$A$114&gt;35,BY31+BX32-CG31,IF(A32&lt;'Données projet'!$A$114,$BV$205^A32,IF(A32='Données projet'!$A$114,'Données projet'!$B$114,BY31+BX32-CG31)))</f>
        <v>128.29166668599999</v>
      </c>
      <c r="BZ32" s="14">
        <f>BY32*VLOOKUP('Données projet'!$B$12,Paramètres!$A$1:$I$89,3,0)*VLOOKUP('Données projet'!$B$12,Paramètres!$A$1:$I$89,5,0)</f>
        <v>60.040500009047996</v>
      </c>
      <c r="CA32" s="14">
        <f t="shared" si="39"/>
        <v>17.178508283307426</v>
      </c>
      <c r="CB32" s="22">
        <f t="shared" si="10"/>
        <v>134.48977277585234</v>
      </c>
      <c r="CC32" s="62">
        <f t="shared" si="11"/>
        <v>371.41767009862815</v>
      </c>
      <c r="CD32" s="62">
        <f ca="1">AVERAGE(OFFSET($CC$3,0,0,'Données projet'!$E$12+1,1))-AVERAGE(OFFSET($H$3,0,0,'Données projet'!$E$12+1,1))</f>
        <v>289.21044803824958</v>
      </c>
      <c r="CE32" s="62">
        <f t="shared" si="40"/>
        <v>196.11836398299445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>
        <f>EXP(-LN(2)/35)*CK31+(1-EXP(-LN(2)/35))/(LN(2)/35)*CG32*CH32*VLOOKUP('Données projet'!$B$12,Paramètres!$A$1:$I$89,3,0)*0.475*44/12</f>
        <v>0</v>
      </c>
      <c r="CL32" s="23">
        <f>EXP(-LN(2)/25)*CL31+(1-EXP(-LN(2)/25))/(LN(2)/25)*Calculateur!CG32*Calculateur!CI32*VLOOKUP('Données projet'!$B$12,Paramètres!$A$1:$I$89,3,0)*0.475*44/12</f>
        <v>0</v>
      </c>
      <c r="CM32" s="23">
        <f>EXP(-LN(2)/2)*CM31+(1-EXP(-LN(2)/2))/(LN(2)/2)*CG32*CJ32*VLOOKUP('Données projet'!$B$12,Paramètres!$A$1:$I$89,3,0)*0.475*44/12</f>
        <v>0</v>
      </c>
      <c r="CN32" s="24">
        <f t="shared" si="12"/>
        <v>0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8.6</v>
      </c>
      <c r="CT32" s="13">
        <f>IF('Données projet'!$A$140&gt;35,CT31+CS32-DB31,IF(A32&lt;'Données projet'!$A$140,$CQ$205^A32,IF(A32='Données projet'!$A$140,'Données projet'!$B$140,CT31+CS32-DB31)))</f>
        <v>234.39999999999998</v>
      </c>
      <c r="CU32" s="18">
        <f>CT32*VLOOKUP('Données projet'!$B$13,Paramètres!$A$1:$I$89,3,0)*VLOOKUP('Données projet'!$B$13,Paramètres!$A$1:$I$89,5,0)</f>
        <v>212.08511999999996</v>
      </c>
      <c r="CV32" s="14">
        <f t="shared" si="41"/>
        <v>52.390974537063087</v>
      </c>
      <c r="CW32" s="22">
        <f t="shared" si="13"/>
        <v>460.62919798538474</v>
      </c>
      <c r="CX32" s="62">
        <f t="shared" si="14"/>
        <v>697.55709530816057</v>
      </c>
      <c r="CY32" s="62">
        <f ca="1">AVERAGE(OFFSET($CX$3,0,0,'Données projet'!$E$13+1,1))-AVERAGE(OFFSET($H$3,0,0,'Données projet'!$E$13+1,1))</f>
        <v>376.68007030857598</v>
      </c>
      <c r="CZ32" s="62">
        <f t="shared" si="42"/>
        <v>532.90758914457626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>
        <f>EXP(-LN(2)/35)*DF31+(1-EXP(-LN(2)/35))/(LN(2)/35)*DB32*DC32*VLOOKUP('Données projet'!$B$13,Paramètres!$A$1:$I$89,3,0)*0.475*44/12</f>
        <v>0</v>
      </c>
      <c r="DG32" s="23">
        <f>EXP(-LN(2)/25)*DG31+(1-EXP(-LN(2)/25))/(LN(2)/25)*Calculateur!DB32*Calculateur!DD32*VLOOKUP('Données projet'!$B$13,Paramètres!$A$1:$I$89,3,0)*0.475*44/12</f>
        <v>8.7708745645120416</v>
      </c>
      <c r="DH32" s="23">
        <f>EXP(-LN(2)/2)*DH31+(1-EXP(-LN(2)/2))/(LN(2)/2)*DB32*DE32*VLOOKUP('Données projet'!$B$13,Paramètres!$A$1:$I$89,3,0)*0.475*44/12</f>
        <v>0</v>
      </c>
      <c r="DI32" s="24">
        <f t="shared" si="15"/>
        <v>8.7708745645120416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11.5</v>
      </c>
      <c r="DO32" s="13">
        <f>IF('Données projet'!$A$166&gt;35,DO31+DN32-DW31,IF(A32&lt;'Données projet'!$A$166,$DL$205^A32,IF(A32='Données projet'!$A$166,'Données projet'!$B$166,DO31+DN32-DW31)))</f>
        <v>131.99999999999994</v>
      </c>
      <c r="DP32" s="18">
        <f>DO32*VLOOKUP('Données projet'!$B$14,Paramètres!$A$1:$I$89,3,0)*VLOOKUP('Données projet'!$B$14,Paramètres!$A$1:$I$89,5,0)</f>
        <v>125.61119999999995</v>
      </c>
      <c r="DQ32" s="14">
        <f t="shared" si="43"/>
        <v>32.980218439694823</v>
      </c>
      <c r="DR32" s="22">
        <f t="shared" si="16"/>
        <v>276.21338711580171</v>
      </c>
      <c r="DS32" s="62">
        <f t="shared" si="17"/>
        <v>513.14128443857749</v>
      </c>
      <c r="DT32" s="62">
        <f ca="1">AVERAGE(OFFSET($DS$3,0,0,'Données projet'!$E$14+1,1))-AVERAGE(OFFSET($H$3,0,0,'Données projet'!$E$14+1,1))</f>
        <v>364.63161066507769</v>
      </c>
      <c r="DU32" s="62">
        <f t="shared" si="44"/>
        <v>355.44729904860708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>
        <f>EXP(-LN(2)/35)*EA31+(1-EXP(-LN(2)/35))/(LN(2)/35)*DW32*DX32*VLOOKUP('Données projet'!$B$14,Paramètres!$A$1:$I$89,3,0)*0.475*44/12</f>
        <v>0</v>
      </c>
      <c r="EB32" s="23">
        <f>EXP(-LN(2)/25)*EB31+(1-EXP(-LN(2)/25))/(LN(2)/25)*Calculateur!DW32*Calculateur!DY32*VLOOKUP('Données projet'!$B$14,Paramètres!$A$1:$I$89,3,0)*0.475*44/12</f>
        <v>0</v>
      </c>
      <c r="EC32" s="23">
        <f>EXP(-LN(2)/2)*EC31+(1-EXP(-LN(2)/2))/(LN(2)/2)*DW32*DZ32*VLOOKUP('Données projet'!$B$14,Paramètres!$A$1:$I$89,3,0)*0.475*44/12</f>
        <v>0</v>
      </c>
      <c r="ED32" s="24">
        <f t="shared" si="18"/>
        <v>0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11.5</v>
      </c>
      <c r="EJ32" s="13">
        <f>IF('Données projet'!$A$192&gt;35,EJ31+EI32-ER31,IF(A32&lt;'Données projet'!$A$192,$EG$205^A32,IF(A32='Données projet'!$A$192,'Données projet'!$B$192,EJ31+EI32-ER31)))</f>
        <v>131.99999999999994</v>
      </c>
      <c r="EK32" s="18">
        <f>EJ32*VLOOKUP('Données projet'!$B$15,Paramètres!$A$1:$I$89,3,0)*VLOOKUP('Données projet'!$B$15,Paramètres!$A$1:$I$89,5,0)</f>
        <v>96.782399999999953</v>
      </c>
      <c r="EL32" s="14">
        <f t="shared" si="45"/>
        <v>26.193995758894417</v>
      </c>
      <c r="EM32" s="22">
        <f t="shared" si="19"/>
        <v>214.18388928007437</v>
      </c>
      <c r="EN32" s="62">
        <f t="shared" si="20"/>
        <v>451.1117866028502</v>
      </c>
      <c r="EO32" s="62">
        <f ca="1">AVERAGE(OFFSET($EN$3,0,0,'Données projet'!$E$15+1,1))-AVERAGE(OFFSET($H$3,0,0,'Données projet'!$E$15+1,1))</f>
        <v>293.59366973965774</v>
      </c>
      <c r="EP32" s="62">
        <f t="shared" si="46"/>
        <v>288.13804536120426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>
        <f>EXP(-LN(2)/35)*EV31+(1-EXP(-LN(2)/35))/(LN(2)/35)*ER32*ES32*VLOOKUP('Données projet'!$B$15,Paramètres!$A$1:$I$89,3,0)*0.475*44/12</f>
        <v>0</v>
      </c>
      <c r="EW32" s="23">
        <f>EXP(-LN(2)/25)*EW31+(1-EXP(-LN(2)/25))/(LN(2)/25)*Calculateur!ER32*Calculateur!ET32*VLOOKUP('Données projet'!$B$15,Paramètres!$A$1:$I$89,3,0)*0.475*44/12</f>
        <v>0</v>
      </c>
      <c r="EX32" s="23">
        <f>EXP(-LN(2)/2)*EX31+(1-EXP(-LN(2)/2))/(LN(2)/2)*ER32*EU32*VLOOKUP('Données projet'!$B$15,Paramètres!$A$1:$I$89,3,0)*0.475*44/12</f>
        <v>0</v>
      </c>
      <c r="EY32" s="24">
        <f t="shared" si="21"/>
        <v>0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11.5</v>
      </c>
      <c r="FE32" s="13">
        <f>IF('Données projet'!$A$218&gt;35,FE31+FD32-FM31,IF(A32&lt;'Données projet'!$A$218,$FB$205^A32,IF(A32='Données projet'!$A$218,'Données projet'!$B$218,FE31+FD32-FM31)))</f>
        <v>131.99999999999994</v>
      </c>
      <c r="FF32" s="18">
        <f>FE32*VLOOKUP('Données projet'!$B$16,Paramètres!$A$1:$I$89,3,0)*VLOOKUP('Données projet'!$B$16,Paramètres!$A$1:$I$89,5,0)</f>
        <v>127.67039999999994</v>
      </c>
      <c r="FG32" s="14">
        <f t="shared" si="47"/>
        <v>33.457491972285482</v>
      </c>
      <c r="FH32" s="22">
        <f t="shared" si="22"/>
        <v>280.63107851839709</v>
      </c>
      <c r="FI32" s="62">
        <f t="shared" si="23"/>
        <v>517.55897584117292</v>
      </c>
      <c r="FJ32" s="62">
        <f ca="1">AVERAGE(OFFSET($FI$3,0,0,'Données projet'!$E$16+1,1))-AVERAGE(OFFSET($H$3,0,0,'Données projet'!$E$16+1,1))</f>
        <v>369.69145521630799</v>
      </c>
      <c r="FK32" s="62">
        <f t="shared" si="48"/>
        <v>360.24112103688719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>
        <f>EXP(-LN(2)/35)*FQ31+(1-EXP(-LN(2)/35))/(LN(2)/35)*FM32*FN32*VLOOKUP('Données projet'!$B$16,Paramètres!$A$1:$I$89,3,0)*0.475*44/12</f>
        <v>0</v>
      </c>
      <c r="FR32" s="23">
        <f>EXP(-LN(2)/25)*FR31+(1-EXP(-LN(2)/25))/(LN(2)/25)*Calculateur!FM32*Calculateur!FO32*VLOOKUP('Données projet'!$B$16,Paramètres!$A$1:$I$89,3,0)*0.475*44/12</f>
        <v>0</v>
      </c>
      <c r="FS32" s="23">
        <f>EXP(-LN(2)/2)*FS31+(1-EXP(-LN(2)/2))/(LN(2)/2)*FM32*FP32*VLOOKUP('Données projet'!$B$16,Paramètres!$A$1:$I$89,3,0)*0.475*44/12</f>
        <v>0</v>
      </c>
      <c r="FT32" s="24">
        <f t="shared" si="24"/>
        <v>0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11.5</v>
      </c>
      <c r="FZ32" s="13">
        <f>IF('Données projet'!$A$244&gt;35,FZ31+FY32-GH31,IF(A32&lt;'Données projet'!$A$244,$FW$205^A32,IF(A32='Données projet'!$A$244,'Données projet'!$B$244,FZ31+FY32-GH31)))</f>
        <v>131.99999999999994</v>
      </c>
      <c r="GA32" s="18">
        <f>FZ32*VLOOKUP('Données projet'!$B$17,Paramètres!$A$1:$I$89,3,0)*VLOOKUP('Données projet'!$B$17,Paramètres!$A$1:$I$89,5,0)</f>
        <v>142.08479999999994</v>
      </c>
      <c r="GB32" s="14">
        <f t="shared" si="49"/>
        <v>36.77419224965486</v>
      </c>
      <c r="GC32" s="22">
        <f t="shared" si="25"/>
        <v>311.51274483481546</v>
      </c>
      <c r="GD32" s="62">
        <f t="shared" si="26"/>
        <v>548.44064215759136</v>
      </c>
      <c r="GE32" s="62">
        <f ca="1">AVERAGE(OFFSET($GD$3,0,0,'Données projet'!$E$17+1,1))-AVERAGE(OFFSET($H$3,0,0,'Données projet'!$E$17+1,1))</f>
        <v>405.06394904053946</v>
      </c>
      <c r="GF32" s="62">
        <f t="shared" si="50"/>
        <v>393.75247087518198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>
        <f>EXP(-LN(2)/35)*GL31+(1-EXP(-LN(2)/35))/(LN(2)/35)*GH32*GI32*VLOOKUP('Données projet'!$B$17,Paramètres!$A$1:$I$89,3,0)*0.475*44/12</f>
        <v>0</v>
      </c>
      <c r="GM32" s="23">
        <f>EXP(-LN(2)/25)*GM31+(1-EXP(-LN(2)/25))/(LN(2)/25)*Calculateur!GH32*Calculateur!GJ32*VLOOKUP('Données projet'!$B$17,Paramètres!$A$1:$I$89,3,0)*0.475*44/12</f>
        <v>0</v>
      </c>
      <c r="GN32" s="23">
        <f>EXP(-LN(2)/2)*GN31+(1-EXP(-LN(2)/2))/(LN(2)/2)*GH32*GK32*VLOOKUP('Données projet'!$B$17,Paramètres!$A$1:$I$89,3,0)*0.475*44/12</f>
        <v>0</v>
      </c>
      <c r="GO32" s="23">
        <f t="shared" si="27"/>
        <v>0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11.5</v>
      </c>
      <c r="GU32" s="13">
        <f>IF('Données projet'!$A$270&gt;35,GU31+GT32-HC31,IF(A32&lt;'Données projet'!$A$270,$GR$205^A32,IF(A32='Données projet'!$A$270,'Données projet'!$B$270,GU31+GT32-HC31)))</f>
        <v>131.99999999999994</v>
      </c>
      <c r="GV32" s="18">
        <f>GU32*VLOOKUP('Données projet'!$B$18,Paramètres!$A$1:$I$89,3,0)*VLOOKUP('Données projet'!$B$18,Paramètres!$A$1:$I$89,5,0)</f>
        <v>88.545599999999965</v>
      </c>
      <c r="GW32" s="14">
        <f t="shared" si="51"/>
        <v>24.214126834865596</v>
      </c>
      <c r="GX32" s="22">
        <f t="shared" si="28"/>
        <v>196.38985757072419</v>
      </c>
      <c r="GY32" s="62">
        <f t="shared" si="29"/>
        <v>433.31775489350002</v>
      </c>
      <c r="GZ32" s="62">
        <f ca="1">AVERAGE(OFFSET($GY$3,0,0,'Données projet'!$E$18+1,1))-AVERAGE(OFFSET($H$3,0,0,'Données projet'!$E$18+1,1))</f>
        <v>273.21861937609918</v>
      </c>
      <c r="HA32" s="62">
        <f t="shared" si="52"/>
        <v>268.83004886965318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>
        <f>EXP(-LN(2)/35)*HG31+(1-EXP(-LN(2)/35))/(LN(2)/35)*HC32*HD32*VLOOKUP('Données projet'!$B$18,Paramètres!$A$1:$I$89,3,0)*0.475*44/12</f>
        <v>0</v>
      </c>
      <c r="HH32" s="23">
        <f>EXP(-LN(2)/25)*HH31+(1-EXP(-LN(2)/25))/(LN(2)/25)*Calculateur!HC32*Calculateur!HE32*VLOOKUP('Données projet'!$B$18,Paramètres!$A$1:$I$89,3,0)*0.475*44/12</f>
        <v>0</v>
      </c>
      <c r="HI32" s="23">
        <f>EXP(-LN(2)/2)*HI31+(1-EXP(-LN(2)/2))/(LN(2)/2)*HC32*HF32*VLOOKUP('Données projet'!$B$18,Paramètres!$A$1:$I$89,3,0)*0.475*44/12</f>
        <v>0</v>
      </c>
      <c r="HJ32" s="24">
        <f t="shared" si="30"/>
        <v>0</v>
      </c>
    </row>
    <row r="33" spans="1:218" s="5" customFormat="1" x14ac:dyDescent="0.4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 t="e">
        <f>VLOOKUP(A33,'Données projet'!$A$35:$I$55,2,0)</f>
        <v>#N/A</v>
      </c>
      <c r="L33" s="13" t="e">
        <f>VLOOKUP(A33,'Données projet'!$A$35:$I$55,9,0)</f>
        <v>#N/A</v>
      </c>
      <c r="M33" s="13">
        <f t="array" ref="M33">INDEX(L:L,MIN(IF(ISNUMBER(L33:L229),ROW(L33:L229),"")))</f>
        <v>2.4423076923076925</v>
      </c>
      <c r="N33" s="14">
        <f>IF('Données projet'!$A$36&gt;35,N32+M33-V32,IF(A33&lt;'Données projet'!$A$36,$K$205^A33,IF(A33='Données projet'!$A$36,'Données projet'!$B$36,N32+M33-V32)))</f>
        <v>73.269230769230788</v>
      </c>
      <c r="O33" s="14">
        <f>N33*VLOOKUP('Données projet'!$B$9,Paramètres!$A$1:$I$89,3,0)*VLOOKUP('Données projet'!$B$9,Paramètres!$A$1:$I$89,5,0)</f>
        <v>66.294000000000011</v>
      </c>
      <c r="P33" s="14">
        <f t="shared" si="33"/>
        <v>18.750233876262516</v>
      </c>
      <c r="Q33" s="22">
        <f t="shared" si="2"/>
        <v>148.11870733449055</v>
      </c>
      <c r="R33" s="62">
        <f t="shared" si="0"/>
        <v>387.22613226753253</v>
      </c>
      <c r="S33" s="62">
        <f ca="1">AVERAGE(OFFSET($R$3,0,0,'Données projet'!$E$9+1,1))-AVERAGE(OFFSET($H$3,0,0,'Données projet'!$E$9+1,1))</f>
        <v>432.80275651765203</v>
      </c>
      <c r="T33" s="62">
        <f t="shared" si="34"/>
        <v>203.89279893419919</v>
      </c>
      <c r="U33" s="16">
        <f>IF(ISNA(VLOOKUP(A33,'Données projet'!$A$35:$I$55,3,0)),0,VLOOKUP(A33,'Données projet'!$A$35:$I$55,3,0))</f>
        <v>0</v>
      </c>
      <c r="V33" s="16">
        <f>IF(ISNA(VLOOKUP(A33,'Données projet'!$A$35:$I$55,4,0)),0,VLOOKUP(A33,'Données projet'!$A$35:$I$55,4,0))</f>
        <v>0</v>
      </c>
      <c r="W33" s="17">
        <f>IF(ISNA(VLOOKUP(A33,'Données projet'!$A$35:$I$55,5,0)),0%,VLOOKUP(A33,'Données projet'!$A$35:$I$55,5,0)*VLOOKUP('Données projet'!$B$9,Paramètres!$A$1:$I$89,7,0))</f>
        <v>0</v>
      </c>
      <c r="X33" s="17">
        <f>IF(ISNA(VLOOKUP(A33,'Données projet'!$A$35:$I$55,6,0)),0%,VLOOKUP(A33,'Données projet'!$A$35:$I$55,6,0)*VLOOKUP('Données projet'!$B$9,Paramètres!$A$1:$I$89,7,0))</f>
        <v>0</v>
      </c>
      <c r="Y33" s="17">
        <f>IF(ISNA(VLOOKUP(A33,'Données projet'!$A$35:$I$55,7,0)),0%,VLOOKUP(A33,'Données projet'!$A$35:$I$55,7,0))</f>
        <v>0</v>
      </c>
      <c r="Z33" s="23">
        <f>EXP(-LN(2)/35)*Z32+(1-EXP(-LN(2)/35))/(LN(2)/35)*V33*W33*VLOOKUP('Données projet'!$B$9,Paramètres!$A$1:$I$89,3,0)*0.475*44/12</f>
        <v>0</v>
      </c>
      <c r="AA33" s="23">
        <f>EXP(-LN(2)/25)*AA32+(1-EXP(-LN(2)/25))/(LN(2)/25)*Calculateur!V33*Calculateur!X33*VLOOKUP('Données projet'!$B$9,Paramètres!$A$1:$I$89,3,0)*0.475*44/12</f>
        <v>0</v>
      </c>
      <c r="AB33" s="23">
        <f>EXP(-LN(2)/2)*AB32+(1-EXP(-LN(2)/2))/(LN(2)/2)*V33*Y33*VLOOKUP('Données projet'!$B$9,Paramètres!$A$1:$I$89,3,0)*0.475*44/12</f>
        <v>0</v>
      </c>
      <c r="AC33" s="24">
        <f t="shared" si="3"/>
        <v>0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484</v>
      </c>
      <c r="AG33" s="13">
        <f>VLOOKUP(A33,'Données projet'!$A$61:$I$81,9,0)</f>
        <v>26.6</v>
      </c>
      <c r="AH33" s="13">
        <f t="array" ref="AH33">INDEX(AG:AG,MIN(IF(ISNUMBER(AG33:AG229),ROW(AG33:AG229),"")))</f>
        <v>26.6</v>
      </c>
      <c r="AI33" s="14">
        <f>IF('Données projet'!$A$62&gt;35,AI32+AH33-AQ32,IF(A33&lt;'Données projet'!$A$62,$AF$205^A33,IF(A33='Données projet'!$A$62,'Données projet'!$B$62,AI32+AH33-AQ32)))</f>
        <v>484.00000000000011</v>
      </c>
      <c r="AJ33" s="14">
        <f>AI33*VLOOKUP('Données projet'!$B$10,Paramètres!$A$1:$I$89,3,0)*VLOOKUP('Données projet'!$B$10,Paramètres!$A$1:$I$89,5,0)</f>
        <v>213.92800000000008</v>
      </c>
      <c r="AK33" s="14">
        <f t="shared" si="35"/>
        <v>52.793024533142777</v>
      </c>
      <c r="AL33" s="22">
        <f t="shared" si="4"/>
        <v>464.53911772855707</v>
      </c>
      <c r="AM33" s="62">
        <f t="shared" si="5"/>
        <v>703.64654266159903</v>
      </c>
      <c r="AN33" s="62">
        <f ca="1">AVERAGE(OFFSET($AM$3,0,0,'Données projet'!$E$10+1,1))-AVERAGE(OFFSET($H$3,0,0,'Données projet'!$E$10+1,1))</f>
        <v>413.08876898406481</v>
      </c>
      <c r="AO33" s="62">
        <f t="shared" si="36"/>
        <v>520.31320932826566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48</v>
      </c>
      <c r="AR33" s="17">
        <f>IF(ISNA(VLOOKUP(A33,'Données projet'!$A$61:$I$81,5,0)),0%,VLOOKUP(A33,'Données projet'!$A$61:$I$81,5,0)*VLOOKUP('Données projet'!$B$10,Paramètres!$A$1:$I$89,7,0))</f>
        <v>0</v>
      </c>
      <c r="AS33" s="17">
        <f>IF(ISNA(VLOOKUP(A33,'Données projet'!$A$61:$I$81,6,0)),0%,VLOOKUP(A33,'Données projet'!$A$61:$I$81,6,0)*VLOOKUP('Données projet'!$B$10,Paramètres!$A$1:$I$89,7,0))</f>
        <v>0.27500000000000002</v>
      </c>
      <c r="AT33" s="17">
        <f>IF(ISNA(VLOOKUP(A33,'Données projet'!$A$61:$I$81,7,0)),0%,VLOOKUP(A33,'Données projet'!$A$61:$I$81,7,0))</f>
        <v>0</v>
      </c>
      <c r="AU33" s="23">
        <f>EXP(-LN(2)/35)*AU32+(1-EXP(-LN(2)/35))/(LN(2)/35)*AQ33*AR33*VLOOKUP('Données projet'!$B$10,Paramètres!$A$1:$I$89,3,0)*0.475*44/12</f>
        <v>0</v>
      </c>
      <c r="AV33" s="23">
        <f>EXP(-LN(2)/25)*AV32+(1-EXP(-LN(2)/25))/(LN(2)/25)*Calculateur!AQ33*Calculateur!AS33*VLOOKUP('Données projet'!$B$10,Paramètres!$A$1:$I$89,3,0)*0.475*44/12</f>
        <v>10.645417408482416</v>
      </c>
      <c r="AW33" s="23">
        <f>EXP(-LN(2)/2)*AW32+(1-EXP(-LN(2)/2))/(LN(2)/2)*AQ33*AT33*VLOOKUP('Données projet'!$B$10,Paramètres!$A$1:$I$89,3,0)*0.475*44/12</f>
        <v>0</v>
      </c>
      <c r="AX33" s="23">
        <f t="shared" si="6"/>
        <v>10.645417408482416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484</v>
      </c>
      <c r="BB33" s="13">
        <f>VLOOKUP(A33,'Données projet'!$A$87:$I$107,9,0)</f>
        <v>26.6</v>
      </c>
      <c r="BC33" s="13">
        <f t="array" ref="BC33">INDEX(BB:BB,MIN(IF(ISNUMBER(BB33:BB229),ROW(BB33:BB229),"")))</f>
        <v>26.6</v>
      </c>
      <c r="BD33" s="13">
        <f>IF('Données projet'!$A$88&gt;35,BD32+BC33-BL32,IF(A33&lt;'Données projet'!$A$88,$BA$205^A33,IF(A33='Données projet'!$A$88,'Données projet'!$B$88,BD32+BC33-BL32)))</f>
        <v>484.00000000000011</v>
      </c>
      <c r="BE33" s="14">
        <f>BD33*VLOOKUP('Données projet'!$B$11,Paramètres!$A$1:$I$89,3,0)*VLOOKUP('Données projet'!$B$11,Paramètres!$A$1:$I$89,5,0)</f>
        <v>270.55600000000004</v>
      </c>
      <c r="BF33" s="14">
        <f t="shared" si="37"/>
        <v>64.967252389325225</v>
      </c>
      <c r="BG33" s="22">
        <f t="shared" si="7"/>
        <v>584.36966457807478</v>
      </c>
      <c r="BH33" s="62">
        <f t="shared" si="8"/>
        <v>823.47708951111679</v>
      </c>
      <c r="BI33" s="62">
        <f ca="1">AVERAGE(OFFSET($BH$3,0,0,'Données projet'!$E$11+1,1))-AVERAGE(OFFSET($H$3,0,0,'Données projet'!$E$11+1,1))</f>
        <v>507.66185230065889</v>
      </c>
      <c r="BJ33" s="62">
        <f t="shared" si="38"/>
        <v>640.14375617778342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48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0.27500000000000002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13.463322016610114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13.463322016610114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>
        <f>VLOOKUP(A33,'Données projet'!$A$113:$I$133,2,0)</f>
        <v>134.0277778</v>
      </c>
      <c r="BW33" s="13">
        <f>VLOOKUP(A33,'Données projet'!$A$113:$I$133,9,0)</f>
        <v>5.736111113999999</v>
      </c>
      <c r="BX33" s="13">
        <f t="array" ref="BX33">INDEX(BW:BW,MIN(IF(ISNUMBER(BW33:BW229),ROW(BW33:BW229),"")))</f>
        <v>5.736111113999999</v>
      </c>
      <c r="BY33" s="13">
        <f>IF('Données projet'!$A$114&gt;35,BY32+BX33-CG32,IF(A33&lt;'Données projet'!$A$114,$BV$205^A33,IF(A33='Données projet'!$A$114,'Données projet'!$B$114,BY32+BX33-CG32)))</f>
        <v>134.0277778</v>
      </c>
      <c r="BZ33" s="14">
        <f>BY33*VLOOKUP('Données projet'!$B$12,Paramètres!$A$1:$I$89,3,0)*VLOOKUP('Données projet'!$B$12,Paramètres!$A$1:$I$89,5,0)</f>
        <v>62.725000010399995</v>
      </c>
      <c r="CA33" s="14">
        <f t="shared" si="39"/>
        <v>17.855443463256954</v>
      </c>
      <c r="CB33" s="22">
        <f t="shared" si="10"/>
        <v>140.34427238328584</v>
      </c>
      <c r="CC33" s="62">
        <f t="shared" si="11"/>
        <v>379.4516973163278</v>
      </c>
      <c r="CD33" s="62">
        <f ca="1">AVERAGE(OFFSET($CC$3,0,0,'Données projet'!$E$12+1,1))-AVERAGE(OFFSET($H$3,0,0,'Données projet'!$E$12+1,1))</f>
        <v>289.21044803824958</v>
      </c>
      <c r="CE33" s="62">
        <f t="shared" si="40"/>
        <v>196.11836398299445</v>
      </c>
      <c r="CF33" s="16">
        <f>IF(ISNA(VLOOKUP(A33,'Données projet'!$A$113:$I$133,3,0)),0,VLOOKUP(A33,'Données projet'!$A$113:$I$133,3,0))</f>
        <v>2</v>
      </c>
      <c r="CG33" s="16">
        <f>IF(ISNA(VLOOKUP(A33,'Données projet'!$A$113:$I$133,4,0)),0,VLOOKUP(A33,'Données projet'!$A$113:$I$133,4,0))</f>
        <v>26.805555559999998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0.27500000000000002</v>
      </c>
      <c r="CJ33" s="17">
        <f>IF(ISNA(VLOOKUP(A33,'Données projet'!$A$113:$I$133,7,0)),0%,VLOOKUP(A33,'Données projet'!$A$113:$I$133,7,0))</f>
        <v>0</v>
      </c>
      <c r="CK33" s="23">
        <f>EXP(-LN(2)/35)*CK32+(1-EXP(-LN(2)/35))/(LN(2)/35)*CG33*CH33*VLOOKUP('Données projet'!$B$12,Paramètres!$A$1:$I$89,3,0)*0.475*44/12</f>
        <v>0</v>
      </c>
      <c r="CL33" s="23">
        <f>EXP(-LN(2)/25)*CL32+(1-EXP(-LN(2)/25))/(LN(2)/25)*Calculateur!CG33*Calculateur!CI33*VLOOKUP('Données projet'!$B$12,Paramètres!$A$1:$I$89,3,0)*0.475*44/12</f>
        <v>4.5584621998239667</v>
      </c>
      <c r="CM33" s="23">
        <f>EXP(-LN(2)/2)*CM32+(1-EXP(-LN(2)/2))/(LN(2)/2)*CG33*CJ33*VLOOKUP('Données projet'!$B$12,Paramètres!$A$1:$I$89,3,0)*0.475*44/12</f>
        <v>0</v>
      </c>
      <c r="CN33" s="24">
        <f t="shared" si="12"/>
        <v>4.5584621998239667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>
        <f>VLOOKUP(A33,'Données projet'!$A$139:$I$159,2,0)</f>
        <v>243</v>
      </c>
      <c r="CR33" s="13">
        <f>VLOOKUP(A33,'Données projet'!$A$139:$I$159,9,0)</f>
        <v>8.6</v>
      </c>
      <c r="CS33" s="13">
        <f t="array" ref="CS33">INDEX(CR:CR,MIN(IF(ISNUMBER(CR33:CR229),ROW(CR33:CR229),"")))</f>
        <v>8.6</v>
      </c>
      <c r="CT33" s="13">
        <f>IF('Données projet'!$A$140&gt;35,CT32+CS33-DB32,IF(A33&lt;'Données projet'!$A$140,$CQ$205^A33,IF(A33='Données projet'!$A$140,'Données projet'!$B$140,CT32+CS33-DB32)))</f>
        <v>242.99999999999997</v>
      </c>
      <c r="CU33" s="18">
        <f>CT33*VLOOKUP('Données projet'!$B$13,Paramètres!$A$1:$I$89,3,0)*VLOOKUP('Données projet'!$B$13,Paramètres!$A$1:$I$89,5,0)</f>
        <v>219.86639999999997</v>
      </c>
      <c r="CV33" s="14">
        <f t="shared" si="41"/>
        <v>54.085847394182416</v>
      </c>
      <c r="CW33" s="22">
        <f t="shared" si="13"/>
        <v>477.13349754486762</v>
      </c>
      <c r="CX33" s="62">
        <f t="shared" si="14"/>
        <v>716.24092247790963</v>
      </c>
      <c r="CY33" s="62">
        <f ca="1">AVERAGE(OFFSET($CX$3,0,0,'Données projet'!$E$13+1,1))-AVERAGE(OFFSET($H$3,0,0,'Données projet'!$E$13+1,1))</f>
        <v>376.68007030857598</v>
      </c>
      <c r="CZ33" s="62">
        <f t="shared" si="42"/>
        <v>532.90758914457626</v>
      </c>
      <c r="DA33" s="16">
        <f>IF(ISNA(VLOOKUP(A33,'Données projet'!$A$139:$I$159,3,0)),0,VLOOKUP(A33,'Données projet'!$A$139:$I$159,3,0))</f>
        <v>6</v>
      </c>
      <c r="DB33" s="16">
        <f>IF(ISNA(VLOOKUP(A33,'Données projet'!$A$139:$I$159,4,0)),0,VLOOKUP(A33,'Données projet'!$A$139:$I$159,4,0))</f>
        <v>11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0.15</v>
      </c>
      <c r="DE33" s="17">
        <f>IF(ISNA(VLOOKUP(A33,'Données projet'!$A$139:$I$159,7,0)),0%,VLOOKUP(A33,'Données projet'!$A$139:$I$159,7,0))</f>
        <v>0</v>
      </c>
      <c r="DF33" s="23">
        <f>EXP(-LN(2)/35)*DF32+(1-EXP(-LN(2)/35))/(LN(2)/35)*DB33*DC33*VLOOKUP('Données projet'!$B$13,Paramètres!$A$1:$I$89,3,0)*0.475*44/12</f>
        <v>0</v>
      </c>
      <c r="DG33" s="23">
        <f>EXP(-LN(2)/25)*DG32+(1-EXP(-LN(2)/25))/(LN(2)/25)*Calculateur!DB33*Calculateur!DD33*VLOOKUP('Données projet'!$B$13,Paramètres!$A$1:$I$89,3,0)*0.475*44/12</f>
        <v>10.174915206984714</v>
      </c>
      <c r="DH33" s="23">
        <f>EXP(-LN(2)/2)*DH32+(1-EXP(-LN(2)/2))/(LN(2)/2)*DB33*DE33*VLOOKUP('Données projet'!$B$13,Paramètres!$A$1:$I$89,3,0)*0.475*44/12</f>
        <v>0</v>
      </c>
      <c r="DI33" s="24">
        <f t="shared" si="15"/>
        <v>10.174915206984714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11.5</v>
      </c>
      <c r="DO33" s="13">
        <f>IF('Données projet'!$A$166&gt;35,DO32+DN33-DW32,IF(A33&lt;'Données projet'!$A$166,$DL$205^A33,IF(A33='Données projet'!$A$166,'Données projet'!$B$166,DO32+DN33-DW32)))</f>
        <v>143.49999999999994</v>
      </c>
      <c r="DP33" s="18">
        <f>DO33*VLOOKUP('Données projet'!$B$14,Paramètres!$A$1:$I$89,3,0)*VLOOKUP('Données projet'!$B$14,Paramètres!$A$1:$I$89,5,0)</f>
        <v>136.55459999999997</v>
      </c>
      <c r="DQ33" s="14">
        <f t="shared" si="43"/>
        <v>35.506571740994374</v>
      </c>
      <c r="DR33" s="22">
        <f t="shared" si="16"/>
        <v>299.67320744889844</v>
      </c>
      <c r="DS33" s="62">
        <f t="shared" si="17"/>
        <v>538.78063238194045</v>
      </c>
      <c r="DT33" s="62">
        <f ca="1">AVERAGE(OFFSET($DS$3,0,0,'Données projet'!$E$14+1,1))-AVERAGE(OFFSET($H$3,0,0,'Données projet'!$E$14+1,1))</f>
        <v>364.63161066507769</v>
      </c>
      <c r="DU33" s="62">
        <f t="shared" si="44"/>
        <v>355.44729904860708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>
        <f>EXP(-LN(2)/35)*EA32+(1-EXP(-LN(2)/35))/(LN(2)/35)*DW33*DX33*VLOOKUP('Données projet'!$B$14,Paramètres!$A$1:$I$89,3,0)*0.475*44/12</f>
        <v>0</v>
      </c>
      <c r="EB33" s="23">
        <f>EXP(-LN(2)/25)*EB32+(1-EXP(-LN(2)/25))/(LN(2)/25)*Calculateur!DW33*Calculateur!DY33*VLOOKUP('Données projet'!$B$14,Paramètres!$A$1:$I$89,3,0)*0.475*44/12</f>
        <v>0</v>
      </c>
      <c r="EC33" s="23">
        <f>EXP(-LN(2)/2)*EC32+(1-EXP(-LN(2)/2))/(LN(2)/2)*DW33*DZ33*VLOOKUP('Données projet'!$B$14,Paramètres!$A$1:$I$89,3,0)*0.475*44/12</f>
        <v>0</v>
      </c>
      <c r="ED33" s="24">
        <f t="shared" si="18"/>
        <v>0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11.5</v>
      </c>
      <c r="EJ33" s="13">
        <f>IF('Données projet'!$A$192&gt;35,EJ32+EI33-ER32,IF(A33&lt;'Données projet'!$A$192,$EG$205^A33,IF(A33='Données projet'!$A$192,'Données projet'!$B$192,EJ32+EI33-ER32)))</f>
        <v>143.49999999999994</v>
      </c>
      <c r="EK33" s="18">
        <f>EJ33*VLOOKUP('Données projet'!$B$15,Paramètres!$A$1:$I$89,3,0)*VLOOKUP('Données projet'!$B$15,Paramètres!$A$1:$I$89,5,0)</f>
        <v>105.21419999999995</v>
      </c>
      <c r="EL33" s="14">
        <f t="shared" si="45"/>
        <v>28.200510293681791</v>
      </c>
      <c r="EM33" s="22">
        <f t="shared" si="19"/>
        <v>232.36395376149565</v>
      </c>
      <c r="EN33" s="62">
        <f t="shared" si="20"/>
        <v>471.47137869453763</v>
      </c>
      <c r="EO33" s="62">
        <f ca="1">AVERAGE(OFFSET($EN$3,0,0,'Données projet'!$E$15+1,1))-AVERAGE(OFFSET($H$3,0,0,'Données projet'!$E$15+1,1))</f>
        <v>293.59366973965774</v>
      </c>
      <c r="EP33" s="62">
        <f t="shared" si="46"/>
        <v>288.13804536120426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>
        <f>EXP(-LN(2)/35)*EV32+(1-EXP(-LN(2)/35))/(LN(2)/35)*ER33*ES33*VLOOKUP('Données projet'!$B$15,Paramètres!$A$1:$I$89,3,0)*0.475*44/12</f>
        <v>0</v>
      </c>
      <c r="EW33" s="23">
        <f>EXP(-LN(2)/25)*EW32+(1-EXP(-LN(2)/25))/(LN(2)/25)*Calculateur!ER33*Calculateur!ET33*VLOOKUP('Données projet'!$B$15,Paramètres!$A$1:$I$89,3,0)*0.475*44/12</f>
        <v>0</v>
      </c>
      <c r="EX33" s="23">
        <f>EXP(-LN(2)/2)*EX32+(1-EXP(-LN(2)/2))/(LN(2)/2)*ER33*EU33*VLOOKUP('Données projet'!$B$15,Paramètres!$A$1:$I$89,3,0)*0.475*44/12</f>
        <v>0</v>
      </c>
      <c r="EY33" s="24">
        <f t="shared" si="21"/>
        <v>0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11.5</v>
      </c>
      <c r="FE33" s="13">
        <f>IF('Données projet'!$A$218&gt;35,FE32+FD33-FM32,IF(A33&lt;'Données projet'!$A$218,$FB$205^A33,IF(A33='Données projet'!$A$218,'Données projet'!$B$218,FE32+FD33-FM32)))</f>
        <v>143.49999999999994</v>
      </c>
      <c r="FF33" s="18">
        <f>FE33*VLOOKUP('Données projet'!$B$16,Paramètres!$A$1:$I$89,3,0)*VLOOKUP('Données projet'!$B$16,Paramètres!$A$1:$I$89,5,0)</f>
        <v>138.79319999999996</v>
      </c>
      <c r="FG33" s="14">
        <f t="shared" si="47"/>
        <v>36.020405418475768</v>
      </c>
      <c r="FH33" s="22">
        <f t="shared" si="22"/>
        <v>304.46702943717855</v>
      </c>
      <c r="FI33" s="62">
        <f t="shared" si="23"/>
        <v>543.57445437022056</v>
      </c>
      <c r="FJ33" s="62">
        <f ca="1">AVERAGE(OFFSET($FI$3,0,0,'Données projet'!$E$16+1,1))-AVERAGE(OFFSET($H$3,0,0,'Données projet'!$E$16+1,1))</f>
        <v>369.69145521630799</v>
      </c>
      <c r="FK33" s="62">
        <f t="shared" si="48"/>
        <v>360.24112103688719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>
        <f>EXP(-LN(2)/35)*FQ32+(1-EXP(-LN(2)/35))/(LN(2)/35)*FM33*FN33*VLOOKUP('Données projet'!$B$16,Paramètres!$A$1:$I$89,3,0)*0.475*44/12</f>
        <v>0</v>
      </c>
      <c r="FR33" s="23">
        <f>EXP(-LN(2)/25)*FR32+(1-EXP(-LN(2)/25))/(LN(2)/25)*Calculateur!FM33*Calculateur!FO33*VLOOKUP('Données projet'!$B$16,Paramètres!$A$1:$I$89,3,0)*0.475*44/12</f>
        <v>0</v>
      </c>
      <c r="FS33" s="23">
        <f>EXP(-LN(2)/2)*FS32+(1-EXP(-LN(2)/2))/(LN(2)/2)*FM33*FP33*VLOOKUP('Données projet'!$B$16,Paramètres!$A$1:$I$89,3,0)*0.475*44/12</f>
        <v>0</v>
      </c>
      <c r="FT33" s="24">
        <f t="shared" si="24"/>
        <v>0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11.5</v>
      </c>
      <c r="FZ33" s="13">
        <f>IF('Données projet'!$A$244&gt;35,FZ32+FY33-GH32,IF(A33&lt;'Données projet'!$A$244,$FW$205^A33,IF(A33='Données projet'!$A$244,'Données projet'!$B$244,FZ32+FY33-GH32)))</f>
        <v>143.49999999999994</v>
      </c>
      <c r="GA33" s="18">
        <f>FZ33*VLOOKUP('Données projet'!$B$17,Paramètres!$A$1:$I$89,3,0)*VLOOKUP('Données projet'!$B$17,Paramètres!$A$1:$I$89,5,0)</f>
        <v>154.46339999999995</v>
      </c>
      <c r="GB33" s="14">
        <f t="shared" si="49"/>
        <v>39.591171832807696</v>
      </c>
      <c r="GC33" s="22">
        <f t="shared" si="25"/>
        <v>337.97837927547334</v>
      </c>
      <c r="GD33" s="62">
        <f t="shared" si="26"/>
        <v>577.08580420851536</v>
      </c>
      <c r="GE33" s="62">
        <f ca="1">AVERAGE(OFFSET($GD$3,0,0,'Données projet'!$E$17+1,1))-AVERAGE(OFFSET($H$3,0,0,'Données projet'!$E$17+1,1))</f>
        <v>405.06394904053946</v>
      </c>
      <c r="GF33" s="62">
        <f t="shared" si="50"/>
        <v>393.75247087518198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>
        <f>EXP(-LN(2)/35)*GL32+(1-EXP(-LN(2)/35))/(LN(2)/35)*GH33*GI33*VLOOKUP('Données projet'!$B$17,Paramètres!$A$1:$I$89,3,0)*0.475*44/12</f>
        <v>0</v>
      </c>
      <c r="GM33" s="23">
        <f>EXP(-LN(2)/25)*GM32+(1-EXP(-LN(2)/25))/(LN(2)/25)*Calculateur!GH33*Calculateur!GJ33*VLOOKUP('Données projet'!$B$17,Paramètres!$A$1:$I$89,3,0)*0.475*44/12</f>
        <v>0</v>
      </c>
      <c r="GN33" s="23">
        <f>EXP(-LN(2)/2)*GN32+(1-EXP(-LN(2)/2))/(LN(2)/2)*GH33*GK33*VLOOKUP('Données projet'!$B$17,Paramètres!$A$1:$I$89,3,0)*0.475*44/12</f>
        <v>0</v>
      </c>
      <c r="GO33" s="23">
        <f t="shared" si="27"/>
        <v>0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11.5</v>
      </c>
      <c r="GU33" s="13">
        <f>IF('Données projet'!$A$270&gt;35,GU32+GT33-HC32,IF(A33&lt;'Données projet'!$A$270,$GR$205^A33,IF(A33='Données projet'!$A$270,'Données projet'!$B$270,GU32+GT33-HC32)))</f>
        <v>143.49999999999994</v>
      </c>
      <c r="GV33" s="18">
        <f>GU33*VLOOKUP('Données projet'!$B$18,Paramètres!$A$1:$I$89,3,0)*VLOOKUP('Données projet'!$B$18,Paramètres!$A$1:$I$89,5,0)</f>
        <v>96.25979999999997</v>
      </c>
      <c r="GW33" s="14">
        <f t="shared" si="51"/>
        <v>26.068979293748086</v>
      </c>
      <c r="GX33" s="22">
        <f t="shared" si="28"/>
        <v>213.05595726994454</v>
      </c>
      <c r="GY33" s="62">
        <f t="shared" si="29"/>
        <v>452.16338220298655</v>
      </c>
      <c r="GZ33" s="62">
        <f ca="1">AVERAGE(OFFSET($GY$3,0,0,'Données projet'!$E$18+1,1))-AVERAGE(OFFSET($H$3,0,0,'Données projet'!$E$18+1,1))</f>
        <v>273.21861937609918</v>
      </c>
      <c r="HA33" s="62">
        <f t="shared" si="52"/>
        <v>268.83004886965318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>
        <f>EXP(-LN(2)/35)*HG32+(1-EXP(-LN(2)/35))/(LN(2)/35)*HC33*HD33*VLOOKUP('Données projet'!$B$18,Paramètres!$A$1:$I$89,3,0)*0.475*44/12</f>
        <v>0</v>
      </c>
      <c r="HH33" s="23">
        <f>EXP(-LN(2)/25)*HH32+(1-EXP(-LN(2)/25))/(LN(2)/25)*Calculateur!HC33*Calculateur!HE33*VLOOKUP('Données projet'!$B$18,Paramètres!$A$1:$I$89,3,0)*0.475*44/12</f>
        <v>0</v>
      </c>
      <c r="HI33" s="23">
        <f>EXP(-LN(2)/2)*HI32+(1-EXP(-LN(2)/2))/(LN(2)/2)*HC33*HF33*VLOOKUP('Données projet'!$B$18,Paramètres!$A$1:$I$89,3,0)*0.475*44/12</f>
        <v>0</v>
      </c>
      <c r="HJ33" s="24">
        <f t="shared" si="30"/>
        <v>0</v>
      </c>
    </row>
    <row r="34" spans="1:218" s="5" customFormat="1" x14ac:dyDescent="0.4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2.4423076923076925</v>
      </c>
      <c r="N34" s="14">
        <f>IF('Données projet'!$A$36&gt;35,N33+M34-V33,IF(A34&lt;'Données projet'!$A$36,$K$205^A34,IF(A34='Données projet'!$A$36,'Données projet'!$B$36,N33+M34-V33)))</f>
        <v>75.711538461538481</v>
      </c>
      <c r="O34" s="14">
        <f>N34*VLOOKUP('Données projet'!$B$9,Paramètres!$A$1:$I$89,3,0)*VLOOKUP('Données projet'!$B$9,Paramètres!$A$1:$I$89,5,0)</f>
        <v>68.503800000000012</v>
      </c>
      <c r="P34" s="14">
        <f t="shared" si="33"/>
        <v>19.301432446560082</v>
      </c>
      <c r="Q34" s="22">
        <f t="shared" si="2"/>
        <v>152.92744651109214</v>
      </c>
      <c r="R34" s="62">
        <f t="shared" si="0"/>
        <v>392.9755697239097</v>
      </c>
      <c r="S34" s="62">
        <f ca="1">AVERAGE(OFFSET($R$3,0,0,'Données projet'!$E$9+1,1))-AVERAGE(OFFSET($H$3,0,0,'Données projet'!$E$9+1,1))</f>
        <v>432.80275651765203</v>
      </c>
      <c r="T34" s="62">
        <f t="shared" si="34"/>
        <v>203.89279893419919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0</v>
      </c>
      <c r="AA34" s="23">
        <f>EXP(-LN(2)/25)*AA33+(1-EXP(-LN(2)/25))/(LN(2)/25)*Calculateur!V34*Calculateur!X34*VLOOKUP('Données projet'!$B$9,Paramètres!$A$1:$I$89,3,0)*0.475*44/12</f>
        <v>0</v>
      </c>
      <c r="AB34" s="23">
        <f>EXP(-LN(2)/2)*AB33+(1-EXP(-LN(2)/2))/(LN(2)/2)*V34*Y34*VLOOKUP('Données projet'!$B$9,Paramètres!$A$1:$I$89,3,0)*0.475*44/12</f>
        <v>0</v>
      </c>
      <c r="AC34" s="24">
        <f t="shared" si="3"/>
        <v>0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24.6</v>
      </c>
      <c r="AI34" s="14">
        <f>IF('Données projet'!$A$62&gt;35,AI33+AH34-AQ33,IF(A34&lt;'Données projet'!$A$62,$AF$205^A34,IF(A34='Données projet'!$A$62,'Données projet'!$B$62,AI33+AH34-AQ33)))</f>
        <v>460.60000000000014</v>
      </c>
      <c r="AJ34" s="14">
        <f>AI34*VLOOKUP('Données projet'!$B$10,Paramètres!$A$1:$I$89,3,0)*VLOOKUP('Données projet'!$B$10,Paramètres!$A$1:$I$89,5,0)</f>
        <v>203.5852000000001</v>
      </c>
      <c r="AK34" s="14">
        <f t="shared" si="35"/>
        <v>50.531269574427732</v>
      </c>
      <c r="AL34" s="22">
        <f t="shared" si="4"/>
        <v>442.58618450879516</v>
      </c>
      <c r="AM34" s="62">
        <f t="shared" si="5"/>
        <v>682.63430772161269</v>
      </c>
      <c r="AN34" s="62">
        <f ca="1">AVERAGE(OFFSET($AM$3,0,0,'Données projet'!$E$10+1,1))-AVERAGE(OFFSET($H$3,0,0,'Données projet'!$E$10+1,1))</f>
        <v>413.08876898406481</v>
      </c>
      <c r="AO34" s="62">
        <f t="shared" si="36"/>
        <v>520.31320932826566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0</v>
      </c>
      <c r="AV34" s="23">
        <f>EXP(-LN(2)/25)*AV33+(1-EXP(-LN(2)/25))/(LN(2)/25)*Calculateur!AQ34*Calculateur!AS34*VLOOKUP('Données projet'!$B$10,Paramètres!$A$1:$I$89,3,0)*0.475*44/12</f>
        <v>10.354317909629293</v>
      </c>
      <c r="AW34" s="23">
        <f>EXP(-LN(2)/2)*AW33+(1-EXP(-LN(2)/2))/(LN(2)/2)*AQ34*AT34*VLOOKUP('Données projet'!$B$10,Paramètres!$A$1:$I$89,3,0)*0.475*44/12</f>
        <v>0</v>
      </c>
      <c r="AX34" s="23">
        <f t="shared" si="6"/>
        <v>10.354317909629293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24.6</v>
      </c>
      <c r="BD34" s="13">
        <f>IF('Données projet'!$A$88&gt;35,BD33+BC34-BL33,IF(A34&lt;'Données projet'!$A$88,$BA$205^A34,IF(A34='Données projet'!$A$88,'Données projet'!$B$88,BD33+BC34-BL33)))</f>
        <v>460.60000000000014</v>
      </c>
      <c r="BE34" s="14">
        <f>BD34*VLOOKUP('Données projet'!$B$11,Paramètres!$A$1:$I$89,3,0)*VLOOKUP('Données projet'!$B$11,Paramètres!$A$1:$I$89,5,0)</f>
        <v>257.47540000000009</v>
      </c>
      <c r="BF34" s="14">
        <f t="shared" si="37"/>
        <v>62.183930036702655</v>
      </c>
      <c r="BG34" s="22">
        <f t="shared" si="7"/>
        <v>556.73999981392387</v>
      </c>
      <c r="BH34" s="62">
        <f t="shared" si="8"/>
        <v>796.78812302674146</v>
      </c>
      <c r="BI34" s="62">
        <f ca="1">AVERAGE(OFFSET($BH$3,0,0,'Données projet'!$E$11+1,1))-AVERAGE(OFFSET($H$3,0,0,'Données projet'!$E$11+1,1))</f>
        <v>507.66185230065889</v>
      </c>
      <c r="BJ34" s="62">
        <f t="shared" si="38"/>
        <v>640.14375617778342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13.095166768060576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13.095166768060576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7.8773148160000019</v>
      </c>
      <c r="BY34" s="13">
        <f>IF('Données projet'!$A$114&gt;35,BY33+BX34-CG33,IF(A34&lt;'Données projet'!$A$114,$BV$205^A34,IF(A34='Données projet'!$A$114,'Données projet'!$B$114,BY33+BX34-CG33)))</f>
        <v>115.09953705599999</v>
      </c>
      <c r="BZ34" s="14">
        <f>BY34*VLOOKUP('Données projet'!$B$12,Paramètres!$A$1:$I$89,3,0)*VLOOKUP('Données projet'!$B$12,Paramètres!$A$1:$I$89,5,0)</f>
        <v>53.866583342207996</v>
      </c>
      <c r="CA34" s="14">
        <f t="shared" si="39"/>
        <v>15.607951725835315</v>
      </c>
      <c r="CB34" s="22">
        <f t="shared" si="10"/>
        <v>121.00148191017541</v>
      </c>
      <c r="CC34" s="62">
        <f t="shared" si="11"/>
        <v>361.04960512299294</v>
      </c>
      <c r="CD34" s="62">
        <f ca="1">AVERAGE(OFFSET($CC$3,0,0,'Données projet'!$E$12+1,1))-AVERAGE(OFFSET($H$3,0,0,'Données projet'!$E$12+1,1))</f>
        <v>289.21044803824958</v>
      </c>
      <c r="CE34" s="62">
        <f t="shared" si="40"/>
        <v>196.11836398299445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>
        <f>EXP(-LN(2)/35)*CK33+(1-EXP(-LN(2)/35))/(LN(2)/35)*CG34*CH34*VLOOKUP('Données projet'!$B$12,Paramètres!$A$1:$I$89,3,0)*0.475*44/12</f>
        <v>0</v>
      </c>
      <c r="CL34" s="23">
        <f>EXP(-LN(2)/25)*CL33+(1-EXP(-LN(2)/25))/(LN(2)/25)*Calculateur!CG34*Calculateur!CI34*VLOOKUP('Données projet'!$B$12,Paramètres!$A$1:$I$89,3,0)*0.475*44/12</f>
        <v>4.4338108112506713</v>
      </c>
      <c r="CM34" s="23">
        <f>EXP(-LN(2)/2)*CM33+(1-EXP(-LN(2)/2))/(LN(2)/2)*CG34*CJ34*VLOOKUP('Données projet'!$B$12,Paramètres!$A$1:$I$89,3,0)*0.475*44/12</f>
        <v>0</v>
      </c>
      <c r="CN34" s="24">
        <f t="shared" si="12"/>
        <v>4.4338108112506713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7</v>
      </c>
      <c r="CT34" s="13">
        <f>IF('Données projet'!$A$140&gt;35,CT33+CS34-DB33,IF(A34&lt;'Données projet'!$A$140,$CQ$205^A34,IF(A34='Données projet'!$A$140,'Données projet'!$B$140,CT33+CS34-DB33)))</f>
        <v>238.99999999999997</v>
      </c>
      <c r="CU34" s="18">
        <f>CT34*VLOOKUP('Données projet'!$B$13,Paramètres!$A$1:$I$89,3,0)*VLOOKUP('Données projet'!$B$13,Paramètres!$A$1:$I$89,5,0)</f>
        <v>216.24719999999996</v>
      </c>
      <c r="CV34" s="14">
        <f t="shared" si="41"/>
        <v>53.298418226645332</v>
      </c>
      <c r="CW34" s="22">
        <f t="shared" si="13"/>
        <v>469.45861841140714</v>
      </c>
      <c r="CX34" s="62">
        <f t="shared" si="14"/>
        <v>709.50674162422467</v>
      </c>
      <c r="CY34" s="62">
        <f ca="1">AVERAGE(OFFSET($CX$3,0,0,'Données projet'!$E$13+1,1))-AVERAGE(OFFSET($H$3,0,0,'Données projet'!$E$13+1,1))</f>
        <v>376.68007030857598</v>
      </c>
      <c r="CZ34" s="62">
        <f t="shared" si="42"/>
        <v>532.90758914457626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>
        <f>EXP(-LN(2)/35)*DF33+(1-EXP(-LN(2)/35))/(LN(2)/35)*DB34*DC34*VLOOKUP('Données projet'!$B$13,Paramètres!$A$1:$I$89,3,0)*0.475*44/12</f>
        <v>0</v>
      </c>
      <c r="DG34" s="23">
        <f>EXP(-LN(2)/25)*DG33+(1-EXP(-LN(2)/25))/(LN(2)/25)*Calculateur!DB34*Calculateur!DD34*VLOOKUP('Données projet'!$B$13,Paramètres!$A$1:$I$89,3,0)*0.475*44/12</f>
        <v>9.896681615574181</v>
      </c>
      <c r="DH34" s="23">
        <f>EXP(-LN(2)/2)*DH33+(1-EXP(-LN(2)/2))/(LN(2)/2)*DB34*DE34*VLOOKUP('Données projet'!$B$13,Paramètres!$A$1:$I$89,3,0)*0.475*44/12</f>
        <v>0</v>
      </c>
      <c r="DI34" s="24">
        <f t="shared" si="15"/>
        <v>9.896681615574181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>
        <f>VLOOKUP(A34,'Données projet'!$A$165:$I$185,2,0)</f>
        <v>155</v>
      </c>
      <c r="DM34" s="13">
        <f>VLOOKUP(A34,'Données projet'!$A$165:$I$185,9,0)</f>
        <v>11.5</v>
      </c>
      <c r="DN34" s="13">
        <f t="array" ref="DN34">INDEX(DM:DM,MIN(IF(ISNUMBER(DM34:DM230),ROW(DM34:DM230),"")))</f>
        <v>11.5</v>
      </c>
      <c r="DO34" s="13">
        <f>IF('Données projet'!$A$166&gt;35,DO33+DN34-DW33,IF(A34&lt;'Données projet'!$A$166,$DL$205^A34,IF(A34='Données projet'!$A$166,'Données projet'!$B$166,DO33+DN34-DW33)))</f>
        <v>154.99999999999994</v>
      </c>
      <c r="DP34" s="18">
        <f>DO34*VLOOKUP('Données projet'!$B$14,Paramètres!$A$1:$I$89,3,0)*VLOOKUP('Données projet'!$B$14,Paramètres!$A$1:$I$89,5,0)</f>
        <v>147.49799999999996</v>
      </c>
      <c r="DQ34" s="14">
        <f t="shared" si="43"/>
        <v>38.009441713971214</v>
      </c>
      <c r="DR34" s="22">
        <f t="shared" si="16"/>
        <v>323.0921276518331</v>
      </c>
      <c r="DS34" s="62">
        <f t="shared" si="17"/>
        <v>563.14025086465062</v>
      </c>
      <c r="DT34" s="62">
        <f ca="1">AVERAGE(OFFSET($DS$3,0,0,'Données projet'!$E$14+1,1))-AVERAGE(OFFSET($H$3,0,0,'Données projet'!$E$14+1,1))</f>
        <v>364.63161066507769</v>
      </c>
      <c r="DU34" s="62">
        <f t="shared" si="44"/>
        <v>355.44729904860708</v>
      </c>
      <c r="DV34" s="16">
        <f>IF(ISNA(VLOOKUP(A34,'Données projet'!$A$165:$I$185,3,0)),0,VLOOKUP(A34,'Données projet'!$A$165:$I$185,3,0))</f>
        <v>4</v>
      </c>
      <c r="DW34" s="16">
        <f>IF(ISNA(VLOOKUP(A34,'Données projet'!$A$165:$I$185,4,0)),0,VLOOKUP(A34,'Données projet'!$A$165:$I$185,4,0))</f>
        <v>36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>
        <f>EXP(-LN(2)/35)*EA33+(1-EXP(-LN(2)/35))/(LN(2)/35)*DW34*DX34*VLOOKUP('Données projet'!$B$14,Paramètres!$A$1:$I$89,3,0)*0.475*44/12</f>
        <v>0</v>
      </c>
      <c r="EB34" s="23">
        <f>EXP(-LN(2)/25)*EB33+(1-EXP(-LN(2)/25))/(LN(2)/25)*Calculateur!DW34*Calculateur!DY34*VLOOKUP('Données projet'!$B$14,Paramètres!$A$1:$I$89,3,0)*0.475*44/12</f>
        <v>0</v>
      </c>
      <c r="EC34" s="23">
        <f>EXP(-LN(2)/2)*EC33+(1-EXP(-LN(2)/2))/(LN(2)/2)*DW34*DZ34*VLOOKUP('Données projet'!$B$14,Paramètres!$A$1:$I$89,3,0)*0.475*44/12</f>
        <v>0</v>
      </c>
      <c r="ED34" s="24">
        <f t="shared" si="18"/>
        <v>0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>
        <f>VLOOKUP(A34,'Données projet'!$A$191:$I$211,2,0)</f>
        <v>155</v>
      </c>
      <c r="EH34" s="13">
        <f>VLOOKUP(A34,'Données projet'!$A$191:$I$211,9,0)</f>
        <v>11.5</v>
      </c>
      <c r="EI34" s="13">
        <f t="array" ref="EI34">INDEX(EH:EH,MIN(IF(ISNUMBER(EH34:EH230),ROW(EH34:EH230),"")))</f>
        <v>11.5</v>
      </c>
      <c r="EJ34" s="13">
        <f>IF('Données projet'!$A$192&gt;35,EJ33+EI34-ER33,IF(A34&lt;'Données projet'!$A$192,$EG$205^A34,IF(A34='Données projet'!$A$192,'Données projet'!$B$192,EJ33+EI34-ER33)))</f>
        <v>154.99999999999994</v>
      </c>
      <c r="EK34" s="18">
        <f>EJ34*VLOOKUP('Données projet'!$B$15,Paramètres!$A$1:$I$89,3,0)*VLOOKUP('Données projet'!$B$15,Paramètres!$A$1:$I$89,5,0)</f>
        <v>113.64599999999994</v>
      </c>
      <c r="EL34" s="14">
        <f t="shared" si="45"/>
        <v>30.188373581400697</v>
      </c>
      <c r="EM34" s="22">
        <f t="shared" si="19"/>
        <v>250.5115339876061</v>
      </c>
      <c r="EN34" s="62">
        <f t="shared" si="20"/>
        <v>490.55965720042366</v>
      </c>
      <c r="EO34" s="62">
        <f ca="1">AVERAGE(OFFSET($EN$3,0,0,'Données projet'!$E$15+1,1))-AVERAGE(OFFSET($H$3,0,0,'Données projet'!$E$15+1,1))</f>
        <v>293.59366973965774</v>
      </c>
      <c r="EP34" s="62">
        <f t="shared" si="46"/>
        <v>288.13804536120426</v>
      </c>
      <c r="EQ34" s="16">
        <f>IF(ISNA(VLOOKUP(A34,'Données projet'!$A$191:$I$211,3,0)),0,VLOOKUP(A34,'Données projet'!$A$191:$I$211,3,0))</f>
        <v>4</v>
      </c>
      <c r="ER34" s="16">
        <f>IF(ISNA(VLOOKUP(A34,'Données projet'!$A$191:$I$211,4,0)),0,VLOOKUP(A34,'Données projet'!$A$191:$I$211,4,0))</f>
        <v>36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>
        <f>EXP(-LN(2)/35)*EV33+(1-EXP(-LN(2)/35))/(LN(2)/35)*ER34*ES34*VLOOKUP('Données projet'!$B$15,Paramètres!$A$1:$I$89,3,0)*0.475*44/12</f>
        <v>0</v>
      </c>
      <c r="EW34" s="23">
        <f>EXP(-LN(2)/25)*EW33+(1-EXP(-LN(2)/25))/(LN(2)/25)*Calculateur!ER34*Calculateur!ET34*VLOOKUP('Données projet'!$B$15,Paramètres!$A$1:$I$89,3,0)*0.475*44/12</f>
        <v>0</v>
      </c>
      <c r="EX34" s="23">
        <f>EXP(-LN(2)/2)*EX33+(1-EXP(-LN(2)/2))/(LN(2)/2)*ER34*EU34*VLOOKUP('Données projet'!$B$15,Paramètres!$A$1:$I$89,3,0)*0.475*44/12</f>
        <v>0</v>
      </c>
      <c r="EY34" s="24">
        <f t="shared" si="21"/>
        <v>0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>
        <f>VLOOKUP(A34,'Données projet'!$A$217:$I$237,2,0)</f>
        <v>155</v>
      </c>
      <c r="FC34" s="13">
        <f>VLOOKUP(A34,'Données projet'!$A$217:$I$237,9,0)</f>
        <v>11.5</v>
      </c>
      <c r="FD34" s="13">
        <f t="array" ref="FD34">INDEX(FC:FC,MIN(IF(ISNUMBER(FC34:FC230),ROW(FC34:FC230),"")))</f>
        <v>11.5</v>
      </c>
      <c r="FE34" s="13">
        <f>IF('Données projet'!$A$218&gt;35,FE33+FD34-FM33,IF(A34&lt;'Données projet'!$A$218,$FB$205^A34,IF(A34='Données projet'!$A$218,'Données projet'!$B$218,FE33+FD34-FM33)))</f>
        <v>154.99999999999994</v>
      </c>
      <c r="FF34" s="18">
        <f>FE34*VLOOKUP('Données projet'!$B$16,Paramètres!$A$1:$I$89,3,0)*VLOOKUP('Données projet'!$B$16,Paramètres!$A$1:$I$89,5,0)</f>
        <v>149.91599999999994</v>
      </c>
      <c r="FG34" s="14">
        <f t="shared" si="47"/>
        <v>38.559495697142879</v>
      </c>
      <c r="FH34" s="22">
        <f t="shared" si="22"/>
        <v>328.26148833919041</v>
      </c>
      <c r="FI34" s="62">
        <f t="shared" si="23"/>
        <v>568.30961155200794</v>
      </c>
      <c r="FJ34" s="62">
        <f ca="1">AVERAGE(OFFSET($FI$3,0,0,'Données projet'!$E$16+1,1))-AVERAGE(OFFSET($H$3,0,0,'Données projet'!$E$16+1,1))</f>
        <v>369.69145521630799</v>
      </c>
      <c r="FK34" s="62">
        <f t="shared" si="48"/>
        <v>360.24112103688719</v>
      </c>
      <c r="FL34" s="16">
        <f>IF(ISNA(VLOOKUP(A34,'Données projet'!$A$217:$I$237,3,0)),0,VLOOKUP(A34,'Données projet'!$A$217:$I$237,3,0))</f>
        <v>4</v>
      </c>
      <c r="FM34" s="16">
        <f>IF(ISNA(VLOOKUP(A34,'Données projet'!$A$217:$I$237,4,0)),0,VLOOKUP(A34,'Données projet'!$A$217:$I$237,4,0))</f>
        <v>36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>
        <f>EXP(-LN(2)/35)*FQ33+(1-EXP(-LN(2)/35))/(LN(2)/35)*FM34*FN34*VLOOKUP('Données projet'!$B$16,Paramètres!$A$1:$I$89,3,0)*0.475*44/12</f>
        <v>0</v>
      </c>
      <c r="FR34" s="23">
        <f>EXP(-LN(2)/25)*FR33+(1-EXP(-LN(2)/25))/(LN(2)/25)*Calculateur!FM34*Calculateur!FO34*VLOOKUP('Données projet'!$B$16,Paramètres!$A$1:$I$89,3,0)*0.475*44/12</f>
        <v>0</v>
      </c>
      <c r="FS34" s="23">
        <f>EXP(-LN(2)/2)*FS33+(1-EXP(-LN(2)/2))/(LN(2)/2)*FM34*FP34*VLOOKUP('Données projet'!$B$16,Paramètres!$A$1:$I$89,3,0)*0.475*44/12</f>
        <v>0</v>
      </c>
      <c r="FT34" s="24">
        <f t="shared" si="24"/>
        <v>0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>
        <f>VLOOKUP(A34,'Données projet'!$A$243:$I$263,2,0)</f>
        <v>155</v>
      </c>
      <c r="FX34" s="13">
        <f>VLOOKUP(A34,'Données projet'!$A$243:$I$263,9,0)</f>
        <v>11.5</v>
      </c>
      <c r="FY34" s="13">
        <f t="array" ref="FY34">INDEX(FX:FX,MIN(IF(ISNUMBER(FX34:FX230),ROW(FX34:FX230),"")))</f>
        <v>11.5</v>
      </c>
      <c r="FZ34" s="13">
        <f>IF('Données projet'!$A$244&gt;35,FZ33+FY34-GH33,IF(A34&lt;'Données projet'!$A$244,$FW$205^A34,IF(A34='Données projet'!$A$244,'Données projet'!$B$244,FZ33+FY34-GH33)))</f>
        <v>154.99999999999994</v>
      </c>
      <c r="GA34" s="18">
        <f>FZ34*VLOOKUP('Données projet'!$B$17,Paramètres!$A$1:$I$89,3,0)*VLOOKUP('Données projet'!$B$17,Paramètres!$A$1:$I$89,5,0)</f>
        <v>166.84199999999993</v>
      </c>
      <c r="GB34" s="14">
        <f t="shared" si="49"/>
        <v>42.381966615760334</v>
      </c>
      <c r="GC34" s="22">
        <f t="shared" si="25"/>
        <v>364.39840852244907</v>
      </c>
      <c r="GD34" s="62">
        <f t="shared" si="26"/>
        <v>604.4465317352666</v>
      </c>
      <c r="GE34" s="62">
        <f ca="1">AVERAGE(OFFSET($GD$3,0,0,'Données projet'!$E$17+1,1))-AVERAGE(OFFSET($H$3,0,0,'Données projet'!$E$17+1,1))</f>
        <v>405.06394904053946</v>
      </c>
      <c r="GF34" s="62">
        <f t="shared" si="50"/>
        <v>393.75247087518198</v>
      </c>
      <c r="GG34" s="16">
        <f>IF(ISNA(VLOOKUP(A34,'Données projet'!$A$243:$I$263,3,0)),0,VLOOKUP(A34,'Données projet'!$A$243:$I$263,3,0))</f>
        <v>4</v>
      </c>
      <c r="GH34" s="16">
        <f>IF(ISNA(VLOOKUP(A34,'Données projet'!$A$243:$I$263,4,0)),0,VLOOKUP(A34,'Données projet'!$A$243:$I$263,4,0))</f>
        <v>36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>
        <f>EXP(-LN(2)/35)*GL33+(1-EXP(-LN(2)/35))/(LN(2)/35)*GH34*GI34*VLOOKUP('Données projet'!$B$17,Paramètres!$A$1:$I$89,3,0)*0.475*44/12</f>
        <v>0</v>
      </c>
      <c r="GM34" s="23">
        <f>EXP(-LN(2)/25)*GM33+(1-EXP(-LN(2)/25))/(LN(2)/25)*Calculateur!GH34*Calculateur!GJ34*VLOOKUP('Données projet'!$B$17,Paramètres!$A$1:$I$89,3,0)*0.475*44/12</f>
        <v>0</v>
      </c>
      <c r="GN34" s="23">
        <f>EXP(-LN(2)/2)*GN33+(1-EXP(-LN(2)/2))/(LN(2)/2)*GH34*GK34*VLOOKUP('Données projet'!$B$17,Paramètres!$A$1:$I$89,3,0)*0.475*44/12</f>
        <v>0</v>
      </c>
      <c r="GO34" s="23">
        <f t="shared" si="27"/>
        <v>0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>
        <f>VLOOKUP(A34,'Données projet'!$A$269:$I$289,2,0)</f>
        <v>155</v>
      </c>
      <c r="GS34" s="13">
        <f>VLOOKUP(A34,'Données projet'!$A$269:$I$289,9,0)</f>
        <v>11.5</v>
      </c>
      <c r="GT34" s="13">
        <f t="array" ref="GT34">INDEX(GS:GS,MIN(IF(ISNUMBER(GS34:GS230),ROW(GS34:GS230),"")))</f>
        <v>11.5</v>
      </c>
      <c r="GU34" s="13">
        <f>IF('Données projet'!$A$270&gt;35,GU33+GT34-HC33,IF(A34&lt;'Données projet'!$A$270,$GR$205^A34,IF(A34='Données projet'!$A$270,'Données projet'!$B$270,GU33+GT34-HC33)))</f>
        <v>154.99999999999994</v>
      </c>
      <c r="GV34" s="18">
        <f>GU34*VLOOKUP('Données projet'!$B$18,Paramètres!$A$1:$I$89,3,0)*VLOOKUP('Données projet'!$B$18,Paramètres!$A$1:$I$89,5,0)</f>
        <v>103.97399999999996</v>
      </c>
      <c r="GW34" s="14">
        <f t="shared" si="51"/>
        <v>27.906590257048865</v>
      </c>
      <c r="GX34" s="22">
        <f t="shared" si="28"/>
        <v>229.69202803102669</v>
      </c>
      <c r="GY34" s="62">
        <f t="shared" si="29"/>
        <v>469.74015124384425</v>
      </c>
      <c r="GZ34" s="62">
        <f ca="1">AVERAGE(OFFSET($GY$3,0,0,'Données projet'!$E$18+1,1))-AVERAGE(OFFSET($H$3,0,0,'Données projet'!$E$18+1,1))</f>
        <v>273.21861937609918</v>
      </c>
      <c r="HA34" s="62">
        <f t="shared" si="52"/>
        <v>268.83004886965318</v>
      </c>
      <c r="HB34" s="16">
        <f>IF(ISNA(VLOOKUP(A34,'Données projet'!$A$269:$I$289,3,0)),0,VLOOKUP(A34,'Données projet'!$A$269:$I$289,3,0))</f>
        <v>4</v>
      </c>
      <c r="HC34" s="16">
        <f>IF(ISNA(VLOOKUP(A34,'Données projet'!$A$269:$I$289,4,0)),0,VLOOKUP(A34,'Données projet'!$A$269:$I$289,4,0))</f>
        <v>36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>
        <f>EXP(-LN(2)/35)*HG33+(1-EXP(-LN(2)/35))/(LN(2)/35)*HC34*HD34*VLOOKUP('Données projet'!$B$18,Paramètres!$A$1:$I$89,3,0)*0.475*44/12</f>
        <v>0</v>
      </c>
      <c r="HH34" s="23">
        <f>EXP(-LN(2)/25)*HH33+(1-EXP(-LN(2)/25))/(LN(2)/25)*Calculateur!HC34*Calculateur!HE34*VLOOKUP('Données projet'!$B$18,Paramètres!$A$1:$I$89,3,0)*0.475*44/12</f>
        <v>0</v>
      </c>
      <c r="HI34" s="23">
        <f>EXP(-LN(2)/2)*HI33+(1-EXP(-LN(2)/2))/(LN(2)/2)*HC34*HF34*VLOOKUP('Données projet'!$B$18,Paramètres!$A$1:$I$89,3,0)*0.475*44/12</f>
        <v>0</v>
      </c>
      <c r="HJ34" s="24">
        <f t="shared" si="30"/>
        <v>0</v>
      </c>
    </row>
    <row r="35" spans="1:218" s="5" customFormat="1" x14ac:dyDescent="0.4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2.4423076923076925</v>
      </c>
      <c r="N35" s="14">
        <f>IF('Données projet'!$A$36&gt;35,N34+M35-V34,IF(A35&lt;'Données projet'!$A$36,$K$205^A35,IF(A35='Données projet'!$A$36,'Données projet'!$B$36,N34+M35-V34)))</f>
        <v>78.153846153846175</v>
      </c>
      <c r="O35" s="14">
        <f>N35*VLOOKUP('Données projet'!$B$9,Paramètres!$A$1:$I$89,3,0)*VLOOKUP('Données projet'!$B$9,Paramètres!$A$1:$I$89,5,0)</f>
        <v>70.713600000000014</v>
      </c>
      <c r="P35" s="14">
        <f t="shared" si="33"/>
        <v>19.850564857319299</v>
      </c>
      <c r="Q35" s="22">
        <f t="shared" ref="Q35:Q66" si="53">(O35+P35)*0.475*44/12</f>
        <v>157.7325871264978</v>
      </c>
      <c r="R35" s="62">
        <f t="shared" si="0"/>
        <v>398.70508960702313</v>
      </c>
      <c r="S35" s="62">
        <f ca="1">AVERAGE(OFFSET($R$3,0,0,'Données projet'!$E$9+1,1))-AVERAGE(OFFSET($H$3,0,0,'Données projet'!$E$9+1,1))</f>
        <v>432.80275651765203</v>
      </c>
      <c r="T35" s="62">
        <f t="shared" si="34"/>
        <v>203.89279893419919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0</v>
      </c>
      <c r="AA35" s="23">
        <f>EXP(-LN(2)/25)*AA34+(1-EXP(-LN(2)/25))/(LN(2)/25)*Calculateur!V35*Calculateur!X35*VLOOKUP('Données projet'!$B$9,Paramètres!$A$1:$I$89,3,0)*0.475*44/12</f>
        <v>0</v>
      </c>
      <c r="AB35" s="23">
        <f>EXP(-LN(2)/2)*AB34+(1-EXP(-LN(2)/2))/(LN(2)/2)*V35*Y35*VLOOKUP('Données projet'!$B$9,Paramètres!$A$1:$I$89,3,0)*0.475*44/12</f>
        <v>0</v>
      </c>
      <c r="AC35" s="24">
        <f t="shared" si="3"/>
        <v>0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24.6</v>
      </c>
      <c r="AI35" s="14">
        <f>IF('Données projet'!$A$62&gt;35,AI34+AH35-AQ34,IF(A35&lt;'Données projet'!$A$62,$AF$205^A35,IF(A35='Données projet'!$A$62,'Données projet'!$B$62,AI34+AH35-AQ34)))</f>
        <v>485.20000000000016</v>
      </c>
      <c r="AJ35" s="14">
        <f>AI35*VLOOKUP('Données projet'!$B$10,Paramètres!$A$1:$I$89,3,0)*VLOOKUP('Données projet'!$B$10,Paramètres!$A$1:$I$89,5,0)</f>
        <v>214.4584000000001</v>
      </c>
      <c r="AK35" s="14">
        <f t="shared" si="35"/>
        <v>52.908663850914223</v>
      </c>
      <c r="AL35" s="22">
        <f t="shared" si="4"/>
        <v>465.66430287367569</v>
      </c>
      <c r="AM35" s="62">
        <f t="shared" si="5"/>
        <v>706.63680535420099</v>
      </c>
      <c r="AN35" s="62">
        <f ca="1">AVERAGE(OFFSET($AM$3,0,0,'Données projet'!$E$10+1,1))-AVERAGE(OFFSET($H$3,0,0,'Données projet'!$E$10+1,1))</f>
        <v>413.08876898406481</v>
      </c>
      <c r="AO35" s="62">
        <f t="shared" si="36"/>
        <v>520.31320932826566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0</v>
      </c>
      <c r="AV35" s="23">
        <f>EXP(-LN(2)/25)*AV34+(1-EXP(-LN(2)/25))/(LN(2)/25)*Calculateur!AQ35*Calculateur!AS35*VLOOKUP('Données projet'!$B$10,Paramètres!$A$1:$I$89,3,0)*0.475*44/12</f>
        <v>10.071178541880567</v>
      </c>
      <c r="AW35" s="23">
        <f>EXP(-LN(2)/2)*AW34+(1-EXP(-LN(2)/2))/(LN(2)/2)*AQ35*AT35*VLOOKUP('Données projet'!$B$10,Paramètres!$A$1:$I$89,3,0)*0.475*44/12</f>
        <v>0</v>
      </c>
      <c r="AX35" s="23">
        <f t="shared" si="6"/>
        <v>10.071178541880567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24.6</v>
      </c>
      <c r="BD35" s="13">
        <f>IF('Données projet'!$A$88&gt;35,BD34+BC35-BL34,IF(A35&lt;'Données projet'!$A$88,$BA$205^A35,IF(A35='Données projet'!$A$88,'Données projet'!$B$88,BD34+BC35-BL34)))</f>
        <v>485.20000000000016</v>
      </c>
      <c r="BE35" s="14">
        <f>BD35*VLOOKUP('Données projet'!$B$11,Paramètres!$A$1:$I$89,3,0)*VLOOKUP('Données projet'!$B$11,Paramètres!$A$1:$I$89,5,0)</f>
        <v>271.22680000000008</v>
      </c>
      <c r="BF35" s="14">
        <f t="shared" si="37"/>
        <v>65.109558476355161</v>
      </c>
      <c r="BG35" s="22">
        <f t="shared" si="7"/>
        <v>585.78582434631869</v>
      </c>
      <c r="BH35" s="62">
        <f t="shared" si="8"/>
        <v>826.75832682684404</v>
      </c>
      <c r="BI35" s="62">
        <f ca="1">AVERAGE(OFFSET($BH$3,0,0,'Données projet'!$E$11+1,1))-AVERAGE(OFFSET($H$3,0,0,'Données projet'!$E$11+1,1))</f>
        <v>507.66185230065889</v>
      </c>
      <c r="BJ35" s="62">
        <f t="shared" si="38"/>
        <v>640.14375617778342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12.737078744143069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12.737078744143069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7.8773148160000019</v>
      </c>
      <c r="BY35" s="13">
        <f>IF('Données projet'!$A$114&gt;35,BY34+BX35-CG34,IF(A35&lt;'Données projet'!$A$114,$BV$205^A35,IF(A35='Données projet'!$A$114,'Données projet'!$B$114,BY34+BX35-CG34)))</f>
        <v>122.976851872</v>
      </c>
      <c r="BZ35" s="14">
        <f>BY35*VLOOKUP('Données projet'!$B$12,Paramètres!$A$1:$I$89,3,0)*VLOOKUP('Données projet'!$B$12,Paramètres!$A$1:$I$89,5,0)</f>
        <v>57.553166676095998</v>
      </c>
      <c r="CA35" s="14">
        <f t="shared" si="39"/>
        <v>16.548141714258314</v>
      </c>
      <c r="CB35" s="22">
        <f t="shared" si="10"/>
        <v>129.05977877986709</v>
      </c>
      <c r="CC35" s="62">
        <f t="shared" si="11"/>
        <v>370.03228126039244</v>
      </c>
      <c r="CD35" s="62">
        <f ca="1">AVERAGE(OFFSET($CC$3,0,0,'Données projet'!$E$12+1,1))-AVERAGE(OFFSET($H$3,0,0,'Données projet'!$E$12+1,1))</f>
        <v>289.21044803824958</v>
      </c>
      <c r="CE35" s="62">
        <f t="shared" si="40"/>
        <v>196.11836398299445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>
        <f>EXP(-LN(2)/35)*CK34+(1-EXP(-LN(2)/35))/(LN(2)/35)*CG35*CH35*VLOOKUP('Données projet'!$B$12,Paramètres!$A$1:$I$89,3,0)*0.475*44/12</f>
        <v>0</v>
      </c>
      <c r="CL35" s="23">
        <f>EXP(-LN(2)/25)*CL34+(1-EXP(-LN(2)/25))/(LN(2)/25)*Calculateur!CG35*Calculateur!CI35*VLOOKUP('Données projet'!$B$12,Paramètres!$A$1:$I$89,3,0)*0.475*44/12</f>
        <v>4.3125680214530444</v>
      </c>
      <c r="CM35" s="23">
        <f>EXP(-LN(2)/2)*CM34+(1-EXP(-LN(2)/2))/(LN(2)/2)*CG35*CJ35*VLOOKUP('Données projet'!$B$12,Paramètres!$A$1:$I$89,3,0)*0.475*44/12</f>
        <v>0</v>
      </c>
      <c r="CN35" s="24">
        <f t="shared" si="12"/>
        <v>4.3125680214530444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7</v>
      </c>
      <c r="CT35" s="13">
        <f>IF('Données projet'!$A$140&gt;35,CT34+CS35-DB34,IF(A35&lt;'Données projet'!$A$140,$CQ$205^A35,IF(A35='Données projet'!$A$140,'Données projet'!$B$140,CT34+CS35-DB34)))</f>
        <v>245.99999999999997</v>
      </c>
      <c r="CU35" s="18">
        <f>CT35*VLOOKUP('Données projet'!$B$13,Paramètres!$A$1:$I$89,3,0)*VLOOKUP('Données projet'!$B$13,Paramètres!$A$1:$I$89,5,0)</f>
        <v>222.58079999999998</v>
      </c>
      <c r="CV35" s="14">
        <f t="shared" si="41"/>
        <v>54.675428546153199</v>
      </c>
      <c r="CW35" s="22">
        <f t="shared" si="13"/>
        <v>482.88793138455003</v>
      </c>
      <c r="CX35" s="62">
        <f t="shared" si="14"/>
        <v>723.86043386507538</v>
      </c>
      <c r="CY35" s="62">
        <f ca="1">AVERAGE(OFFSET($CX$3,0,0,'Données projet'!$E$13+1,1))-AVERAGE(OFFSET($H$3,0,0,'Données projet'!$E$13+1,1))</f>
        <v>376.68007030857598</v>
      </c>
      <c r="CZ35" s="62">
        <f t="shared" si="42"/>
        <v>532.90758914457626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>
        <f>EXP(-LN(2)/35)*DF34+(1-EXP(-LN(2)/35))/(LN(2)/35)*DB35*DC35*VLOOKUP('Données projet'!$B$13,Paramètres!$A$1:$I$89,3,0)*0.475*44/12</f>
        <v>0</v>
      </c>
      <c r="DG35" s="23">
        <f>EXP(-LN(2)/25)*DG34+(1-EXP(-LN(2)/25))/(LN(2)/25)*Calculateur!DB35*Calculateur!DD35*VLOOKUP('Données projet'!$B$13,Paramètres!$A$1:$I$89,3,0)*0.475*44/12</f>
        <v>9.6260563363524376</v>
      </c>
      <c r="DH35" s="23">
        <f>EXP(-LN(2)/2)*DH34+(1-EXP(-LN(2)/2))/(LN(2)/2)*DB35*DE35*VLOOKUP('Données projet'!$B$13,Paramètres!$A$1:$I$89,3,0)*0.475*44/12</f>
        <v>0</v>
      </c>
      <c r="DI35" s="24">
        <f t="shared" si="15"/>
        <v>9.6260563363524376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11.5</v>
      </c>
      <c r="DO35" s="13">
        <f>IF('Données projet'!$A$166&gt;35,DO34+DN35-DW34,IF(A35&lt;'Données projet'!$A$166,$DL$205^A35,IF(A35='Données projet'!$A$166,'Données projet'!$B$166,DO34+DN35-DW34)))</f>
        <v>130.49999999999994</v>
      </c>
      <c r="DP35" s="18">
        <f>DO35*VLOOKUP('Données projet'!$B$14,Paramètres!$A$1:$I$89,3,0)*VLOOKUP('Données projet'!$B$14,Paramètres!$A$1:$I$89,5,0)</f>
        <v>124.18379999999995</v>
      </c>
      <c r="DQ35" s="14">
        <f t="shared" si="43"/>
        <v>32.648847121304541</v>
      </c>
      <c r="DR35" s="22">
        <f t="shared" si="16"/>
        <v>273.150193736272</v>
      </c>
      <c r="DS35" s="62">
        <f t="shared" si="17"/>
        <v>514.12269621679729</v>
      </c>
      <c r="DT35" s="62">
        <f ca="1">AVERAGE(OFFSET($DS$3,0,0,'Données projet'!$E$14+1,1))-AVERAGE(OFFSET($H$3,0,0,'Données projet'!$E$14+1,1))</f>
        <v>364.63161066507769</v>
      </c>
      <c r="DU35" s="62">
        <f t="shared" si="44"/>
        <v>355.44729904860708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>
        <f>EXP(-LN(2)/35)*EA34+(1-EXP(-LN(2)/35))/(LN(2)/35)*DW35*DX35*VLOOKUP('Données projet'!$B$14,Paramètres!$A$1:$I$89,3,0)*0.475*44/12</f>
        <v>0</v>
      </c>
      <c r="EB35" s="23">
        <f>EXP(-LN(2)/25)*EB34+(1-EXP(-LN(2)/25))/(LN(2)/25)*Calculateur!DW35*Calculateur!DY35*VLOOKUP('Données projet'!$B$14,Paramètres!$A$1:$I$89,3,0)*0.475*44/12</f>
        <v>0</v>
      </c>
      <c r="EC35" s="23">
        <f>EXP(-LN(2)/2)*EC34+(1-EXP(-LN(2)/2))/(LN(2)/2)*DW35*DZ35*VLOOKUP('Données projet'!$B$14,Paramètres!$A$1:$I$89,3,0)*0.475*44/12</f>
        <v>0</v>
      </c>
      <c r="ED35" s="24">
        <f t="shared" si="18"/>
        <v>0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11.5</v>
      </c>
      <c r="EJ35" s="13">
        <f>IF('Données projet'!$A$192&gt;35,EJ34+EI35-ER34,IF(A35&lt;'Données projet'!$A$192,$EG$205^A35,IF(A35='Données projet'!$A$192,'Données projet'!$B$192,EJ34+EI35-ER34)))</f>
        <v>130.49999999999994</v>
      </c>
      <c r="EK35" s="18">
        <f>EJ35*VLOOKUP('Données projet'!$B$15,Paramètres!$A$1:$I$89,3,0)*VLOOKUP('Données projet'!$B$15,Paramètres!$A$1:$I$89,5,0)</f>
        <v>95.682599999999965</v>
      </c>
      <c r="EL35" s="14">
        <f t="shared" si="45"/>
        <v>25.930809542453616</v>
      </c>
      <c r="EM35" s="22">
        <f t="shared" si="19"/>
        <v>211.81002161977332</v>
      </c>
      <c r="EN35" s="62">
        <f t="shared" si="20"/>
        <v>452.78252410029864</v>
      </c>
      <c r="EO35" s="62">
        <f ca="1">AVERAGE(OFFSET($EN$3,0,0,'Données projet'!$E$15+1,1))-AVERAGE(OFFSET($H$3,0,0,'Données projet'!$E$15+1,1))</f>
        <v>293.59366973965774</v>
      </c>
      <c r="EP35" s="62">
        <f t="shared" si="46"/>
        <v>288.13804536120426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>
        <f>EXP(-LN(2)/35)*EV34+(1-EXP(-LN(2)/35))/(LN(2)/35)*ER35*ES35*VLOOKUP('Données projet'!$B$15,Paramètres!$A$1:$I$89,3,0)*0.475*44/12</f>
        <v>0</v>
      </c>
      <c r="EW35" s="23">
        <f>EXP(-LN(2)/25)*EW34+(1-EXP(-LN(2)/25))/(LN(2)/25)*Calculateur!ER35*Calculateur!ET35*VLOOKUP('Données projet'!$B$15,Paramètres!$A$1:$I$89,3,0)*0.475*44/12</f>
        <v>0</v>
      </c>
      <c r="EX35" s="23">
        <f>EXP(-LN(2)/2)*EX34+(1-EXP(-LN(2)/2))/(LN(2)/2)*ER35*EU35*VLOOKUP('Données projet'!$B$15,Paramètres!$A$1:$I$89,3,0)*0.475*44/12</f>
        <v>0</v>
      </c>
      <c r="EY35" s="24">
        <f t="shared" si="21"/>
        <v>0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11.5</v>
      </c>
      <c r="FE35" s="13">
        <f>IF('Données projet'!$A$218&gt;35,FE34+FD35-FM34,IF(A35&lt;'Données projet'!$A$218,$FB$205^A35,IF(A35='Données projet'!$A$218,'Données projet'!$B$218,FE34+FD35-FM34)))</f>
        <v>130.49999999999994</v>
      </c>
      <c r="FF35" s="18">
        <f>FE35*VLOOKUP('Données projet'!$B$16,Paramètres!$A$1:$I$89,3,0)*VLOOKUP('Données projet'!$B$16,Paramètres!$A$1:$I$89,5,0)</f>
        <v>126.21959999999996</v>
      </c>
      <c r="FG35" s="14">
        <f t="shared" si="47"/>
        <v>33.121325210832367</v>
      </c>
      <c r="FH35" s="22">
        <f t="shared" si="22"/>
        <v>277.51877807553296</v>
      </c>
      <c r="FI35" s="62">
        <f t="shared" si="23"/>
        <v>518.49128055605831</v>
      </c>
      <c r="FJ35" s="62">
        <f ca="1">AVERAGE(OFFSET($FI$3,0,0,'Données projet'!$E$16+1,1))-AVERAGE(OFFSET($H$3,0,0,'Données projet'!$E$16+1,1))</f>
        <v>369.69145521630799</v>
      </c>
      <c r="FK35" s="62">
        <f t="shared" si="48"/>
        <v>360.24112103688719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>
        <f>EXP(-LN(2)/35)*FQ34+(1-EXP(-LN(2)/35))/(LN(2)/35)*FM35*FN35*VLOOKUP('Données projet'!$B$16,Paramètres!$A$1:$I$89,3,0)*0.475*44/12</f>
        <v>0</v>
      </c>
      <c r="FR35" s="23">
        <f>EXP(-LN(2)/25)*FR34+(1-EXP(-LN(2)/25))/(LN(2)/25)*Calculateur!FM35*Calculateur!FO35*VLOOKUP('Données projet'!$B$16,Paramètres!$A$1:$I$89,3,0)*0.475*44/12</f>
        <v>0</v>
      </c>
      <c r="FS35" s="23">
        <f>EXP(-LN(2)/2)*FS34+(1-EXP(-LN(2)/2))/(LN(2)/2)*FM35*FP35*VLOOKUP('Données projet'!$B$16,Paramètres!$A$1:$I$89,3,0)*0.475*44/12</f>
        <v>0</v>
      </c>
      <c r="FT35" s="24">
        <f t="shared" si="24"/>
        <v>0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11.5</v>
      </c>
      <c r="FZ35" s="13">
        <f>IF('Données projet'!$A$244&gt;35,FZ34+FY35-GH34,IF(A35&lt;'Données projet'!$A$244,$FW$205^A35,IF(A35='Données projet'!$A$244,'Données projet'!$B$244,FZ34+FY35-GH34)))</f>
        <v>130.49999999999994</v>
      </c>
      <c r="GA35" s="18">
        <f>FZ35*VLOOKUP('Données projet'!$B$17,Paramètres!$A$1:$I$89,3,0)*VLOOKUP('Données projet'!$B$17,Paramètres!$A$1:$I$89,5,0)</f>
        <v>140.47019999999995</v>
      </c>
      <c r="GB35" s="14">
        <f t="shared" si="49"/>
        <v>36.404700683345553</v>
      </c>
      <c r="GC35" s="22">
        <f t="shared" si="25"/>
        <v>308.05711869016005</v>
      </c>
      <c r="GD35" s="62">
        <f t="shared" si="26"/>
        <v>549.02962117068535</v>
      </c>
      <c r="GE35" s="62">
        <f ca="1">AVERAGE(OFFSET($GD$3,0,0,'Données projet'!$E$17+1,1))-AVERAGE(OFFSET($H$3,0,0,'Données projet'!$E$17+1,1))</f>
        <v>405.06394904053946</v>
      </c>
      <c r="GF35" s="62">
        <f t="shared" si="50"/>
        <v>393.75247087518198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>
        <f>EXP(-LN(2)/35)*GL34+(1-EXP(-LN(2)/35))/(LN(2)/35)*GH35*GI35*VLOOKUP('Données projet'!$B$17,Paramètres!$A$1:$I$89,3,0)*0.475*44/12</f>
        <v>0</v>
      </c>
      <c r="GM35" s="23">
        <f>EXP(-LN(2)/25)*GM34+(1-EXP(-LN(2)/25))/(LN(2)/25)*Calculateur!GH35*Calculateur!GJ35*VLOOKUP('Données projet'!$B$17,Paramètres!$A$1:$I$89,3,0)*0.475*44/12</f>
        <v>0</v>
      </c>
      <c r="GN35" s="23">
        <f>EXP(-LN(2)/2)*GN34+(1-EXP(-LN(2)/2))/(LN(2)/2)*GH35*GK35*VLOOKUP('Données projet'!$B$17,Paramètres!$A$1:$I$89,3,0)*0.475*44/12</f>
        <v>0</v>
      </c>
      <c r="GO35" s="23">
        <f t="shared" si="27"/>
        <v>0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11.5</v>
      </c>
      <c r="GU35" s="13">
        <f>IF('Données projet'!$A$270&gt;35,GU34+GT35-HC34,IF(A35&lt;'Données projet'!$A$270,$GR$205^A35,IF(A35='Données projet'!$A$270,'Données projet'!$B$270,GU34+GT35-HC34)))</f>
        <v>130.49999999999994</v>
      </c>
      <c r="GV35" s="18">
        <f>GU35*VLOOKUP('Données projet'!$B$18,Paramètres!$A$1:$I$89,3,0)*VLOOKUP('Données projet'!$B$18,Paramètres!$A$1:$I$89,5,0)</f>
        <v>87.539399999999958</v>
      </c>
      <c r="GW35" s="14">
        <f t="shared" si="51"/>
        <v>23.970833505938423</v>
      </c>
      <c r="GX35" s="22">
        <f t="shared" si="28"/>
        <v>194.21365668950932</v>
      </c>
      <c r="GY35" s="62">
        <f t="shared" si="29"/>
        <v>435.18615917003467</v>
      </c>
      <c r="GZ35" s="62">
        <f ca="1">AVERAGE(OFFSET($GY$3,0,0,'Données projet'!$E$18+1,1))-AVERAGE(OFFSET($H$3,0,0,'Données projet'!$E$18+1,1))</f>
        <v>273.21861937609918</v>
      </c>
      <c r="HA35" s="62">
        <f t="shared" si="52"/>
        <v>268.83004886965318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>
        <f>EXP(-LN(2)/35)*HG34+(1-EXP(-LN(2)/35))/(LN(2)/35)*HC35*HD35*VLOOKUP('Données projet'!$B$18,Paramètres!$A$1:$I$89,3,0)*0.475*44/12</f>
        <v>0</v>
      </c>
      <c r="HH35" s="23">
        <f>EXP(-LN(2)/25)*HH34+(1-EXP(-LN(2)/25))/(LN(2)/25)*Calculateur!HC35*Calculateur!HE35*VLOOKUP('Données projet'!$B$18,Paramètres!$A$1:$I$89,3,0)*0.475*44/12</f>
        <v>0</v>
      </c>
      <c r="HI35" s="23">
        <f>EXP(-LN(2)/2)*HI34+(1-EXP(-LN(2)/2))/(LN(2)/2)*HC35*HF35*VLOOKUP('Données projet'!$B$18,Paramètres!$A$1:$I$89,3,0)*0.475*44/12</f>
        <v>0</v>
      </c>
      <c r="HJ35" s="24">
        <f t="shared" si="30"/>
        <v>0</v>
      </c>
    </row>
    <row r="36" spans="1:218" s="5" customFormat="1" x14ac:dyDescent="0.4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2.4423076923076925</v>
      </c>
      <c r="N36" s="14">
        <f>IF('Données projet'!$A$36&gt;35,N35+M36-V35,IF(A36&lt;'Données projet'!$A$36,$K$205^A36,IF(A36='Données projet'!$A$36,'Données projet'!$B$36,N35+M36-V35)))</f>
        <v>80.596153846153868</v>
      </c>
      <c r="O36" s="14">
        <f>N36*VLOOKUP('Données projet'!$B$9,Paramètres!$A$1:$I$89,3,0)*VLOOKUP('Données projet'!$B$9,Paramètres!$A$1:$I$89,5,0)</f>
        <v>72.923400000000015</v>
      </c>
      <c r="P36" s="14">
        <f t="shared" si="33"/>
        <v>20.397703084509246</v>
      </c>
      <c r="Q36" s="22">
        <f t="shared" si="53"/>
        <v>162.53425453885362</v>
      </c>
      <c r="R36" s="62">
        <f t="shared" si="0"/>
        <v>404.41510037339435</v>
      </c>
      <c r="S36" s="62">
        <f ca="1">AVERAGE(OFFSET($R$3,0,0,'Données projet'!$E$9+1,1))-AVERAGE(OFFSET($H$3,0,0,'Données projet'!$E$9+1,1))</f>
        <v>432.80275651765203</v>
      </c>
      <c r="T36" s="62">
        <f t="shared" si="34"/>
        <v>203.89279893419919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0</v>
      </c>
      <c r="AA36" s="23">
        <f>EXP(-LN(2)/25)*AA35+(1-EXP(-LN(2)/25))/(LN(2)/25)*Calculateur!V36*Calculateur!X36*VLOOKUP('Données projet'!$B$9,Paramètres!$A$1:$I$89,3,0)*0.475*44/12</f>
        <v>0</v>
      </c>
      <c r="AB36" s="23">
        <f>EXP(-LN(2)/2)*AB35+(1-EXP(-LN(2)/2))/(LN(2)/2)*V36*Y36*VLOOKUP('Données projet'!$B$9,Paramètres!$A$1:$I$89,3,0)*0.475*44/12</f>
        <v>0</v>
      </c>
      <c r="AC36" s="24">
        <f t="shared" si="3"/>
        <v>0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24.6</v>
      </c>
      <c r="AI36" s="14">
        <f>IF('Données projet'!$A$62&gt;35,AI35+AH36-AQ35,IF(A36&lt;'Données projet'!$A$62,$AF$205^A36,IF(A36='Données projet'!$A$62,'Données projet'!$B$62,AI35+AH36-AQ35)))</f>
        <v>509.80000000000018</v>
      </c>
      <c r="AJ36" s="14">
        <f>AI36*VLOOKUP('Données projet'!$B$10,Paramètres!$A$1:$I$89,3,0)*VLOOKUP('Données projet'!$B$10,Paramètres!$A$1:$I$89,5,0)</f>
        <v>225.33160000000012</v>
      </c>
      <c r="AK36" s="14">
        <f t="shared" si="35"/>
        <v>55.272062766294781</v>
      </c>
      <c r="AL36" s="22">
        <f t="shared" si="4"/>
        <v>488.71804598463024</v>
      </c>
      <c r="AM36" s="62">
        <f t="shared" si="5"/>
        <v>730.59889181917094</v>
      </c>
      <c r="AN36" s="62">
        <f ca="1">AVERAGE(OFFSET($AM$3,0,0,'Données projet'!$E$10+1,1))-AVERAGE(OFFSET($H$3,0,0,'Données projet'!$E$10+1,1))</f>
        <v>413.08876898406481</v>
      </c>
      <c r="AO36" s="62">
        <f t="shared" si="36"/>
        <v>520.31320932826566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0</v>
      </c>
      <c r="AV36" s="23">
        <f>EXP(-LN(2)/25)*AV35+(1-EXP(-LN(2)/25))/(LN(2)/25)*Calculateur!AQ36*Calculateur!AS36*VLOOKUP('Données projet'!$B$10,Paramètres!$A$1:$I$89,3,0)*0.475*44/12</f>
        <v>9.795781635032581</v>
      </c>
      <c r="AW36" s="23">
        <f>EXP(-LN(2)/2)*AW35+(1-EXP(-LN(2)/2))/(LN(2)/2)*AQ36*AT36*VLOOKUP('Données projet'!$B$10,Paramètres!$A$1:$I$89,3,0)*0.475*44/12</f>
        <v>0</v>
      </c>
      <c r="AX36" s="23">
        <f t="shared" si="6"/>
        <v>9.795781635032581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24.6</v>
      </c>
      <c r="BD36" s="13">
        <f>IF('Données projet'!$A$88&gt;35,BD35+BC36-BL35,IF(A36&lt;'Données projet'!$A$88,$BA$205^A36,IF(A36='Données projet'!$A$88,'Données projet'!$B$88,BD35+BC36-BL35)))</f>
        <v>509.80000000000018</v>
      </c>
      <c r="BE36" s="14">
        <f>BD36*VLOOKUP('Données projet'!$B$11,Paramètres!$A$1:$I$89,3,0)*VLOOKUP('Données projet'!$B$11,Paramètres!$A$1:$I$89,5,0)</f>
        <v>284.97820000000013</v>
      </c>
      <c r="BF36" s="14">
        <f t="shared" si="37"/>
        <v>68.017964183169582</v>
      </c>
      <c r="BG36" s="22">
        <f t="shared" si="7"/>
        <v>614.8016526190205</v>
      </c>
      <c r="BH36" s="62">
        <f t="shared" si="8"/>
        <v>856.68249845356127</v>
      </c>
      <c r="BI36" s="62">
        <f ca="1">AVERAGE(OFFSET($BH$3,0,0,'Données projet'!$E$11+1,1))-AVERAGE(OFFSET($H$3,0,0,'Données projet'!$E$11+1,1))</f>
        <v>507.66185230065889</v>
      </c>
      <c r="BJ36" s="62">
        <f t="shared" si="38"/>
        <v>640.14375617778342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12.388782656070617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12.388782656070617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7.8773148160000019</v>
      </c>
      <c r="BY36" s="13">
        <f>IF('Données projet'!$A$114&gt;35,BY35+BX36-CG35,IF(A36&lt;'Données projet'!$A$114,$BV$205^A36,IF(A36='Données projet'!$A$114,'Données projet'!$B$114,BY35+BX36-CG35)))</f>
        <v>130.85416668799999</v>
      </c>
      <c r="BZ36" s="14">
        <f>BY36*VLOOKUP('Données projet'!$B$12,Paramètres!$A$1:$I$89,3,0)*VLOOKUP('Données projet'!$B$12,Paramètres!$A$1:$I$89,5,0)</f>
        <v>61.239750009983993</v>
      </c>
      <c r="CA36" s="14">
        <f t="shared" si="39"/>
        <v>17.481342640357521</v>
      </c>
      <c r="CB36" s="22">
        <f t="shared" si="10"/>
        <v>137.10590303267813</v>
      </c>
      <c r="CC36" s="62">
        <f t="shared" si="11"/>
        <v>378.98674886721886</v>
      </c>
      <c r="CD36" s="62">
        <f ca="1">AVERAGE(OFFSET($CC$3,0,0,'Données projet'!$E$12+1,1))-AVERAGE(OFFSET($H$3,0,0,'Données projet'!$E$12+1,1))</f>
        <v>289.21044803824958</v>
      </c>
      <c r="CE36" s="62">
        <f t="shared" si="40"/>
        <v>196.11836398299445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>
        <f>EXP(-LN(2)/35)*CK35+(1-EXP(-LN(2)/35))/(LN(2)/35)*CG36*CH36*VLOOKUP('Données projet'!$B$12,Paramètres!$A$1:$I$89,3,0)*0.475*44/12</f>
        <v>0</v>
      </c>
      <c r="CL36" s="23">
        <f>EXP(-LN(2)/25)*CL35+(1-EXP(-LN(2)/25))/(LN(2)/25)*Calculateur!CG36*Calculateur!CI36*VLOOKUP('Données projet'!$B$12,Paramètres!$A$1:$I$89,3,0)*0.475*44/12</f>
        <v>4.1946406221183148</v>
      </c>
      <c r="CM36" s="23">
        <f>EXP(-LN(2)/2)*CM35+(1-EXP(-LN(2)/2))/(LN(2)/2)*CG36*CJ36*VLOOKUP('Données projet'!$B$12,Paramètres!$A$1:$I$89,3,0)*0.475*44/12</f>
        <v>0</v>
      </c>
      <c r="CN36" s="24">
        <f t="shared" si="12"/>
        <v>4.1946406221183148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7</v>
      </c>
      <c r="CT36" s="13">
        <f>IF('Données projet'!$A$140&gt;35,CT35+CS36-DB35,IF(A36&lt;'Données projet'!$A$140,$CQ$205^A36,IF(A36='Données projet'!$A$140,'Données projet'!$B$140,CT35+CS36-DB35)))</f>
        <v>252.99999999999997</v>
      </c>
      <c r="CU36" s="18">
        <f>CT36*VLOOKUP('Données projet'!$B$13,Paramètres!$A$1:$I$89,3,0)*VLOOKUP('Données projet'!$B$13,Paramètres!$A$1:$I$89,5,0)</f>
        <v>228.91439999999997</v>
      </c>
      <c r="CV36" s="14">
        <f t="shared" si="41"/>
        <v>56.047884834417424</v>
      </c>
      <c r="CW36" s="22">
        <f t="shared" si="13"/>
        <v>496.30931275327697</v>
      </c>
      <c r="CX36" s="62">
        <f t="shared" si="14"/>
        <v>738.19015858781768</v>
      </c>
      <c r="CY36" s="62">
        <f ca="1">AVERAGE(OFFSET($CX$3,0,0,'Données projet'!$E$13+1,1))-AVERAGE(OFFSET($H$3,0,0,'Données projet'!$E$13+1,1))</f>
        <v>376.68007030857598</v>
      </c>
      <c r="CZ36" s="62">
        <f t="shared" si="42"/>
        <v>532.90758914457626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>
        <f>EXP(-LN(2)/35)*DF35+(1-EXP(-LN(2)/35))/(LN(2)/35)*DB36*DC36*VLOOKUP('Données projet'!$B$13,Paramètres!$A$1:$I$89,3,0)*0.475*44/12</f>
        <v>0</v>
      </c>
      <c r="DG36" s="23">
        <f>EXP(-LN(2)/25)*DG35+(1-EXP(-LN(2)/25))/(LN(2)/25)*Calculateur!DB36*Calculateur!DD36*VLOOKUP('Données projet'!$B$13,Paramètres!$A$1:$I$89,3,0)*0.475*44/12</f>
        <v>9.362831319622579</v>
      </c>
      <c r="DH36" s="23">
        <f>EXP(-LN(2)/2)*DH35+(1-EXP(-LN(2)/2))/(LN(2)/2)*DB36*DE36*VLOOKUP('Données projet'!$B$13,Paramètres!$A$1:$I$89,3,0)*0.475*44/12</f>
        <v>0</v>
      </c>
      <c r="DI36" s="24">
        <f t="shared" si="15"/>
        <v>9.362831319622579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11.5</v>
      </c>
      <c r="DO36" s="13">
        <f>IF('Données projet'!$A$166&gt;35,DO35+DN36-DW35,IF(A36&lt;'Données projet'!$A$166,$DL$205^A36,IF(A36='Données projet'!$A$166,'Données projet'!$B$166,DO35+DN36-DW35)))</f>
        <v>141.99999999999994</v>
      </c>
      <c r="DP36" s="18">
        <f>DO36*VLOOKUP('Données projet'!$B$14,Paramètres!$A$1:$I$89,3,0)*VLOOKUP('Données projet'!$B$14,Paramètres!$A$1:$I$89,5,0)</f>
        <v>135.12719999999996</v>
      </c>
      <c r="DQ36" s="14">
        <f t="shared" si="43"/>
        <v>35.178424340611144</v>
      </c>
      <c r="DR36" s="22">
        <f t="shared" si="16"/>
        <v>296.61562905989763</v>
      </c>
      <c r="DS36" s="62">
        <f t="shared" si="17"/>
        <v>538.49647489443839</v>
      </c>
      <c r="DT36" s="62">
        <f ca="1">AVERAGE(OFFSET($DS$3,0,0,'Données projet'!$E$14+1,1))-AVERAGE(OFFSET($H$3,0,0,'Données projet'!$E$14+1,1))</f>
        <v>364.63161066507769</v>
      </c>
      <c r="DU36" s="62">
        <f t="shared" si="44"/>
        <v>355.44729904860708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>
        <f>EXP(-LN(2)/35)*EA35+(1-EXP(-LN(2)/35))/(LN(2)/35)*DW36*DX36*VLOOKUP('Données projet'!$B$14,Paramètres!$A$1:$I$89,3,0)*0.475*44/12</f>
        <v>0</v>
      </c>
      <c r="EB36" s="23">
        <f>EXP(-LN(2)/25)*EB35+(1-EXP(-LN(2)/25))/(LN(2)/25)*Calculateur!DW36*Calculateur!DY36*VLOOKUP('Données projet'!$B$14,Paramètres!$A$1:$I$89,3,0)*0.475*44/12</f>
        <v>0</v>
      </c>
      <c r="EC36" s="23">
        <f>EXP(-LN(2)/2)*EC35+(1-EXP(-LN(2)/2))/(LN(2)/2)*DW36*DZ36*VLOOKUP('Données projet'!$B$14,Paramètres!$A$1:$I$89,3,0)*0.475*44/12</f>
        <v>0</v>
      </c>
      <c r="ED36" s="24">
        <f t="shared" si="18"/>
        <v>0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11.5</v>
      </c>
      <c r="EJ36" s="13">
        <f>IF('Données projet'!$A$192&gt;35,EJ35+EI36-ER35,IF(A36&lt;'Données projet'!$A$192,$EG$205^A36,IF(A36='Données projet'!$A$192,'Données projet'!$B$192,EJ35+EI36-ER35)))</f>
        <v>141.99999999999994</v>
      </c>
      <c r="EK36" s="18">
        <f>EJ36*VLOOKUP('Données projet'!$B$15,Paramètres!$A$1:$I$89,3,0)*VLOOKUP('Données projet'!$B$15,Paramètres!$A$1:$I$89,5,0)</f>
        <v>104.11439999999995</v>
      </c>
      <c r="EL36" s="14">
        <f t="shared" si="45"/>
        <v>27.939884621063893</v>
      </c>
      <c r="EM36" s="22">
        <f t="shared" si="19"/>
        <v>229.99454571501948</v>
      </c>
      <c r="EN36" s="62">
        <f t="shared" si="20"/>
        <v>471.87539154956022</v>
      </c>
      <c r="EO36" s="62">
        <f ca="1">AVERAGE(OFFSET($EN$3,0,0,'Données projet'!$E$15+1,1))-AVERAGE(OFFSET($H$3,0,0,'Données projet'!$E$15+1,1))</f>
        <v>293.59366973965774</v>
      </c>
      <c r="EP36" s="62">
        <f t="shared" si="46"/>
        <v>288.13804536120426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>
        <f>EXP(-LN(2)/35)*EV35+(1-EXP(-LN(2)/35))/(LN(2)/35)*ER36*ES36*VLOOKUP('Données projet'!$B$15,Paramètres!$A$1:$I$89,3,0)*0.475*44/12</f>
        <v>0</v>
      </c>
      <c r="EW36" s="23">
        <f>EXP(-LN(2)/25)*EW35+(1-EXP(-LN(2)/25))/(LN(2)/25)*Calculateur!ER36*Calculateur!ET36*VLOOKUP('Données projet'!$B$15,Paramètres!$A$1:$I$89,3,0)*0.475*44/12</f>
        <v>0</v>
      </c>
      <c r="EX36" s="23">
        <f>EXP(-LN(2)/2)*EX35+(1-EXP(-LN(2)/2))/(LN(2)/2)*ER36*EU36*VLOOKUP('Données projet'!$B$15,Paramètres!$A$1:$I$89,3,0)*0.475*44/12</f>
        <v>0</v>
      </c>
      <c r="EY36" s="24">
        <f t="shared" si="21"/>
        <v>0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11.5</v>
      </c>
      <c r="FE36" s="13">
        <f>IF('Données projet'!$A$218&gt;35,FE35+FD36-FM35,IF(A36&lt;'Données projet'!$A$218,$FB$205^A36,IF(A36='Données projet'!$A$218,'Données projet'!$B$218,FE35+FD36-FM35)))</f>
        <v>141.99999999999994</v>
      </c>
      <c r="FF36" s="18">
        <f>FE36*VLOOKUP('Données projet'!$B$16,Paramètres!$A$1:$I$89,3,0)*VLOOKUP('Données projet'!$B$16,Paramètres!$A$1:$I$89,5,0)</f>
        <v>137.34239999999994</v>
      </c>
      <c r="FG36" s="14">
        <f t="shared" si="47"/>
        <v>35.687509229988642</v>
      </c>
      <c r="FH36" s="22">
        <f t="shared" si="22"/>
        <v>301.36042524223006</v>
      </c>
      <c r="FI36" s="62">
        <f t="shared" si="23"/>
        <v>543.24127107677077</v>
      </c>
      <c r="FJ36" s="62">
        <f ca="1">AVERAGE(OFFSET($FI$3,0,0,'Données projet'!$E$16+1,1))-AVERAGE(OFFSET($H$3,0,0,'Données projet'!$E$16+1,1))</f>
        <v>369.69145521630799</v>
      </c>
      <c r="FK36" s="62">
        <f t="shared" si="48"/>
        <v>360.24112103688719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>
        <f>EXP(-LN(2)/35)*FQ35+(1-EXP(-LN(2)/35))/(LN(2)/35)*FM36*FN36*VLOOKUP('Données projet'!$B$16,Paramètres!$A$1:$I$89,3,0)*0.475*44/12</f>
        <v>0</v>
      </c>
      <c r="FR36" s="23">
        <f>EXP(-LN(2)/25)*FR35+(1-EXP(-LN(2)/25))/(LN(2)/25)*Calculateur!FM36*Calculateur!FO36*VLOOKUP('Données projet'!$B$16,Paramètres!$A$1:$I$89,3,0)*0.475*44/12</f>
        <v>0</v>
      </c>
      <c r="FS36" s="23">
        <f>EXP(-LN(2)/2)*FS35+(1-EXP(-LN(2)/2))/(LN(2)/2)*FM36*FP36*VLOOKUP('Données projet'!$B$16,Paramètres!$A$1:$I$89,3,0)*0.475*44/12</f>
        <v>0</v>
      </c>
      <c r="FT36" s="24">
        <f t="shared" si="24"/>
        <v>0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11.5</v>
      </c>
      <c r="FZ36" s="13">
        <f>IF('Données projet'!$A$244&gt;35,FZ35+FY36-GH35,IF(A36&lt;'Données projet'!$A$244,$FW$205^A36,IF(A36='Données projet'!$A$244,'Données projet'!$B$244,FZ35+FY36-GH35)))</f>
        <v>141.99999999999994</v>
      </c>
      <c r="GA36" s="18">
        <f>FZ36*VLOOKUP('Données projet'!$B$17,Paramètres!$A$1:$I$89,3,0)*VLOOKUP('Données projet'!$B$17,Paramètres!$A$1:$I$89,5,0)</f>
        <v>152.84879999999993</v>
      </c>
      <c r="GB36" s="14">
        <f t="shared" si="49"/>
        <v>39.225275057139491</v>
      </c>
      <c r="GC36" s="22">
        <f t="shared" si="25"/>
        <v>334.52901405785116</v>
      </c>
      <c r="GD36" s="62">
        <f t="shared" si="26"/>
        <v>576.40985989239186</v>
      </c>
      <c r="GE36" s="62">
        <f ca="1">AVERAGE(OFFSET($GD$3,0,0,'Données projet'!$E$17+1,1))-AVERAGE(OFFSET($H$3,0,0,'Données projet'!$E$17+1,1))</f>
        <v>405.06394904053946</v>
      </c>
      <c r="GF36" s="62">
        <f t="shared" si="50"/>
        <v>393.75247087518198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>
        <f>EXP(-LN(2)/35)*GL35+(1-EXP(-LN(2)/35))/(LN(2)/35)*GH36*GI36*VLOOKUP('Données projet'!$B$17,Paramètres!$A$1:$I$89,3,0)*0.475*44/12</f>
        <v>0</v>
      </c>
      <c r="GM36" s="23">
        <f>EXP(-LN(2)/25)*GM35+(1-EXP(-LN(2)/25))/(LN(2)/25)*Calculateur!GH36*Calculateur!GJ36*VLOOKUP('Données projet'!$B$17,Paramètres!$A$1:$I$89,3,0)*0.475*44/12</f>
        <v>0</v>
      </c>
      <c r="GN36" s="23">
        <f>EXP(-LN(2)/2)*GN35+(1-EXP(-LN(2)/2))/(LN(2)/2)*GH36*GK36*VLOOKUP('Données projet'!$B$17,Paramètres!$A$1:$I$89,3,0)*0.475*44/12</f>
        <v>0</v>
      </c>
      <c r="GO36" s="23">
        <f t="shared" si="27"/>
        <v>0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11.5</v>
      </c>
      <c r="GU36" s="13">
        <f>IF('Données projet'!$A$270&gt;35,GU35+GT36-HC35,IF(A36&lt;'Données projet'!$A$270,$GR$205^A36,IF(A36='Données projet'!$A$270,'Données projet'!$B$270,GU35+GT36-HC35)))</f>
        <v>141.99999999999994</v>
      </c>
      <c r="GV36" s="18">
        <f>GU36*VLOOKUP('Données projet'!$B$18,Paramètres!$A$1:$I$89,3,0)*VLOOKUP('Données projet'!$B$18,Paramètres!$A$1:$I$89,5,0)</f>
        <v>95.253599999999963</v>
      </c>
      <c r="GW36" s="14">
        <f t="shared" si="51"/>
        <v>25.828052970353951</v>
      </c>
      <c r="GX36" s="22">
        <f t="shared" si="28"/>
        <v>210.88387892336638</v>
      </c>
      <c r="GY36" s="62">
        <f t="shared" si="29"/>
        <v>452.76472475790712</v>
      </c>
      <c r="GZ36" s="62">
        <f ca="1">AVERAGE(OFFSET($GY$3,0,0,'Données projet'!$E$18+1,1))-AVERAGE(OFFSET($H$3,0,0,'Données projet'!$E$18+1,1))</f>
        <v>273.21861937609918</v>
      </c>
      <c r="HA36" s="62">
        <f t="shared" si="52"/>
        <v>268.83004886965318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>
        <f>EXP(-LN(2)/35)*HG35+(1-EXP(-LN(2)/35))/(LN(2)/35)*HC36*HD36*VLOOKUP('Données projet'!$B$18,Paramètres!$A$1:$I$89,3,0)*0.475*44/12</f>
        <v>0</v>
      </c>
      <c r="HH36" s="23">
        <f>EXP(-LN(2)/25)*HH35+(1-EXP(-LN(2)/25))/(LN(2)/25)*Calculateur!HC36*Calculateur!HE36*VLOOKUP('Données projet'!$B$18,Paramètres!$A$1:$I$89,3,0)*0.475*44/12</f>
        <v>0</v>
      </c>
      <c r="HI36" s="23">
        <f>EXP(-LN(2)/2)*HI35+(1-EXP(-LN(2)/2))/(LN(2)/2)*HC36*HF36*VLOOKUP('Données projet'!$B$18,Paramètres!$A$1:$I$89,3,0)*0.475*44/12</f>
        <v>0</v>
      </c>
      <c r="HJ36" s="24">
        <f t="shared" si="30"/>
        <v>0</v>
      </c>
    </row>
    <row r="37" spans="1:218" s="5" customFormat="1" x14ac:dyDescent="0.4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2.4423076923076925</v>
      </c>
      <c r="N37" s="14">
        <f>IF('Données projet'!$A$36&gt;35,N36+M37-V36,IF(A37&lt;'Données projet'!$A$36,$K$205^A37,IF(A37='Données projet'!$A$36,'Données projet'!$B$36,N36+M37-V36)))</f>
        <v>83.038461538461561</v>
      </c>
      <c r="O37" s="14">
        <f>N37*VLOOKUP('Données projet'!$B$9,Paramètres!$A$1:$I$89,3,0)*VLOOKUP('Données projet'!$B$9,Paramètres!$A$1:$I$89,5,0)</f>
        <v>75.133200000000016</v>
      </c>
      <c r="P37" s="14">
        <f t="shared" si="33"/>
        <v>20.942914494033012</v>
      </c>
      <c r="Q37" s="22">
        <f t="shared" si="53"/>
        <v>167.33256607710749</v>
      </c>
      <c r="R37" s="62">
        <f t="shared" si="0"/>
        <v>410.10599753922304</v>
      </c>
      <c r="S37" s="62">
        <f ca="1">AVERAGE(OFFSET($R$3,0,0,'Données projet'!$E$9+1,1))-AVERAGE(OFFSET($H$3,0,0,'Données projet'!$E$9+1,1))</f>
        <v>432.80275651765203</v>
      </c>
      <c r="T37" s="62">
        <f t="shared" si="34"/>
        <v>203.89279893419919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0</v>
      </c>
      <c r="AA37" s="23">
        <f>EXP(-LN(2)/25)*AA36+(1-EXP(-LN(2)/25))/(LN(2)/25)*Calculateur!V37*Calculateur!X37*VLOOKUP('Données projet'!$B$9,Paramètres!$A$1:$I$89,3,0)*0.475*44/12</f>
        <v>0</v>
      </c>
      <c r="AB37" s="23">
        <f>EXP(-LN(2)/2)*AB36+(1-EXP(-LN(2)/2))/(LN(2)/2)*V37*Y37*VLOOKUP('Données projet'!$B$9,Paramètres!$A$1:$I$89,3,0)*0.475*44/12</f>
        <v>0</v>
      </c>
      <c r="AC37" s="24">
        <f t="shared" si="3"/>
        <v>0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24.6</v>
      </c>
      <c r="AI37" s="14">
        <f>IF('Données projet'!$A$62&gt;35,AI36+AH37-AQ36,IF(A37&lt;'Données projet'!$A$62,$AF$205^A37,IF(A37='Données projet'!$A$62,'Données projet'!$B$62,AI36+AH37-AQ36)))</f>
        <v>534.4000000000002</v>
      </c>
      <c r="AJ37" s="14">
        <f>AI37*VLOOKUP('Données projet'!$B$10,Paramètres!$A$1:$I$89,3,0)*VLOOKUP('Données projet'!$B$10,Paramètres!$A$1:$I$89,5,0)</f>
        <v>236.20480000000012</v>
      </c>
      <c r="AK37" s="14">
        <f t="shared" si="35"/>
        <v>57.622218748906803</v>
      </c>
      <c r="AL37" s="22">
        <f t="shared" si="4"/>
        <v>511.74872432101296</v>
      </c>
      <c r="AM37" s="62">
        <f t="shared" si="5"/>
        <v>754.52215578312848</v>
      </c>
      <c r="AN37" s="62">
        <f ca="1">AVERAGE(OFFSET($AM$3,0,0,'Données projet'!$E$10+1,1))-AVERAGE(OFFSET($H$3,0,0,'Données projet'!$E$10+1,1))</f>
        <v>413.08876898406481</v>
      </c>
      <c r="AO37" s="62">
        <f t="shared" si="36"/>
        <v>520.31320932826566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0</v>
      </c>
      <c r="AV37" s="23">
        <f>EXP(-LN(2)/25)*AV36+(1-EXP(-LN(2)/25))/(LN(2)/25)*Calculateur!AQ37*Calculateur!AS37*VLOOKUP('Données projet'!$B$10,Paramètres!$A$1:$I$89,3,0)*0.475*44/12</f>
        <v>9.5279154710848477</v>
      </c>
      <c r="AW37" s="23">
        <f>EXP(-LN(2)/2)*AW36+(1-EXP(-LN(2)/2))/(LN(2)/2)*AQ37*AT37*VLOOKUP('Données projet'!$B$10,Paramètres!$A$1:$I$89,3,0)*0.475*44/12</f>
        <v>0</v>
      </c>
      <c r="AX37" s="23">
        <f t="shared" si="6"/>
        <v>9.5279154710848477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24.6</v>
      </c>
      <c r="BD37" s="13">
        <f>IF('Données projet'!$A$88&gt;35,BD36+BC37-BL36,IF(A37&lt;'Données projet'!$A$88,$BA$205^A37,IF(A37='Données projet'!$A$88,'Données projet'!$B$88,BD36+BC37-BL36)))</f>
        <v>534.4000000000002</v>
      </c>
      <c r="BE37" s="14">
        <f>BD37*VLOOKUP('Données projet'!$B$11,Paramètres!$A$1:$I$89,3,0)*VLOOKUP('Données projet'!$B$11,Paramètres!$A$1:$I$89,5,0)</f>
        <v>298.72960000000012</v>
      </c>
      <c r="BF37" s="14">
        <f t="shared" si="37"/>
        <v>70.910073097686976</v>
      </c>
      <c r="BG37" s="22">
        <f t="shared" si="7"/>
        <v>643.78909731180499</v>
      </c>
      <c r="BH37" s="62">
        <f t="shared" si="8"/>
        <v>886.56252877392058</v>
      </c>
      <c r="BI37" s="62">
        <f ca="1">AVERAGE(OFFSET($BH$3,0,0,'Données projet'!$E$11+1,1))-AVERAGE(OFFSET($H$3,0,0,'Données projet'!$E$11+1,1))</f>
        <v>507.66185230065889</v>
      </c>
      <c r="BJ37" s="62">
        <f t="shared" si="38"/>
        <v>640.14375617778342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12.050010742842602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12.050010742842602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7.8773148160000019</v>
      </c>
      <c r="BY37" s="13">
        <f>IF('Données projet'!$A$114&gt;35,BY36+BX37-CG36,IF(A37&lt;'Données projet'!$A$114,$BV$205^A37,IF(A37='Données projet'!$A$114,'Données projet'!$B$114,BY36+BX37-CG36)))</f>
        <v>138.73148150399999</v>
      </c>
      <c r="BZ37" s="14">
        <f>BY37*VLOOKUP('Données projet'!$B$12,Paramètres!$A$1:$I$89,3,0)*VLOOKUP('Données projet'!$B$12,Paramètres!$A$1:$I$89,5,0)</f>
        <v>64.926333343872003</v>
      </c>
      <c r="CA37" s="14">
        <f t="shared" si="39"/>
        <v>18.408023154703958</v>
      </c>
      <c r="CB37" s="22">
        <f t="shared" si="10"/>
        <v>145.14067090168646</v>
      </c>
      <c r="CC37" s="62">
        <f t="shared" si="11"/>
        <v>387.91410236380204</v>
      </c>
      <c r="CD37" s="62">
        <f ca="1">AVERAGE(OFFSET($CC$3,0,0,'Données projet'!$E$12+1,1))-AVERAGE(OFFSET($H$3,0,0,'Données projet'!$E$12+1,1))</f>
        <v>289.21044803824958</v>
      </c>
      <c r="CE37" s="62">
        <f t="shared" si="40"/>
        <v>196.11836398299445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>
        <f>EXP(-LN(2)/35)*CK36+(1-EXP(-LN(2)/35))/(LN(2)/35)*CG37*CH37*VLOOKUP('Données projet'!$B$12,Paramètres!$A$1:$I$89,3,0)*0.475*44/12</f>
        <v>0</v>
      </c>
      <c r="CL37" s="23">
        <f>EXP(-LN(2)/25)*CL36+(1-EXP(-LN(2)/25))/(LN(2)/25)*Calculateur!CG37*Calculateur!CI37*VLOOKUP('Données projet'!$B$12,Paramètres!$A$1:$I$89,3,0)*0.475*44/12</f>
        <v>4.0799379537199263</v>
      </c>
      <c r="CM37" s="23">
        <f>EXP(-LN(2)/2)*CM36+(1-EXP(-LN(2)/2))/(LN(2)/2)*CG37*CJ37*VLOOKUP('Données projet'!$B$12,Paramètres!$A$1:$I$89,3,0)*0.475*44/12</f>
        <v>0</v>
      </c>
      <c r="CN37" s="24">
        <f t="shared" si="12"/>
        <v>4.0799379537199263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7</v>
      </c>
      <c r="CT37" s="13">
        <f>IF('Données projet'!$A$140&gt;35,CT36+CS37-DB36,IF(A37&lt;'Données projet'!$A$140,$CQ$205^A37,IF(A37='Données projet'!$A$140,'Données projet'!$B$140,CT36+CS37-DB36)))</f>
        <v>260</v>
      </c>
      <c r="CU37" s="18">
        <f>CT37*VLOOKUP('Données projet'!$B$13,Paramètres!$A$1:$I$89,3,0)*VLOOKUP('Données projet'!$B$13,Paramètres!$A$1:$I$89,5,0)</f>
        <v>235.24799999999999</v>
      </c>
      <c r="CV37" s="14">
        <f t="shared" si="41"/>
        <v>57.41592756883739</v>
      </c>
      <c r="CW37" s="22">
        <f t="shared" si="13"/>
        <v>509.72300718239177</v>
      </c>
      <c r="CX37" s="62">
        <f t="shared" si="14"/>
        <v>752.49643864450741</v>
      </c>
      <c r="CY37" s="62">
        <f ca="1">AVERAGE(OFFSET($CX$3,0,0,'Données projet'!$E$13+1,1))-AVERAGE(OFFSET($H$3,0,0,'Données projet'!$E$13+1,1))</f>
        <v>376.68007030857598</v>
      </c>
      <c r="CZ37" s="62">
        <f t="shared" si="42"/>
        <v>532.90758914457626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>
        <f>EXP(-LN(2)/35)*DF36+(1-EXP(-LN(2)/35))/(LN(2)/35)*DB37*DC37*VLOOKUP('Données projet'!$B$13,Paramètres!$A$1:$I$89,3,0)*0.475*44/12</f>
        <v>0</v>
      </c>
      <c r="DG37" s="23">
        <f>EXP(-LN(2)/25)*DG36+(1-EXP(-LN(2)/25))/(LN(2)/25)*Calculateur!DB37*Calculateur!DD37*VLOOKUP('Données projet'!$B$13,Paramètres!$A$1:$I$89,3,0)*0.475*44/12</f>
        <v>9.1068042048175997</v>
      </c>
      <c r="DH37" s="23">
        <f>EXP(-LN(2)/2)*DH36+(1-EXP(-LN(2)/2))/(LN(2)/2)*DB37*DE37*VLOOKUP('Données projet'!$B$13,Paramètres!$A$1:$I$89,3,0)*0.475*44/12</f>
        <v>0</v>
      </c>
      <c r="DI37" s="24">
        <f t="shared" si="15"/>
        <v>9.1068042048175997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11.5</v>
      </c>
      <c r="DO37" s="13">
        <f>IF('Données projet'!$A$166&gt;35,DO36+DN37-DW36,IF(A37&lt;'Données projet'!$A$166,$DL$205^A37,IF(A37='Données projet'!$A$166,'Données projet'!$B$166,DO36+DN37-DW36)))</f>
        <v>153.49999999999994</v>
      </c>
      <c r="DP37" s="18">
        <f>DO37*VLOOKUP('Données projet'!$B$14,Paramètres!$A$1:$I$89,3,0)*VLOOKUP('Données projet'!$B$14,Paramètres!$A$1:$I$89,5,0)</f>
        <v>146.07059999999996</v>
      </c>
      <c r="DQ37" s="14">
        <f t="shared" si="43"/>
        <v>37.684240483094953</v>
      </c>
      <c r="DR37" s="22">
        <f t="shared" si="16"/>
        <v>320.03968050805696</v>
      </c>
      <c r="DS37" s="62">
        <f t="shared" si="17"/>
        <v>562.81311197017249</v>
      </c>
      <c r="DT37" s="62">
        <f ca="1">AVERAGE(OFFSET($DS$3,0,0,'Données projet'!$E$14+1,1))-AVERAGE(OFFSET($H$3,0,0,'Données projet'!$E$14+1,1))</f>
        <v>364.63161066507769</v>
      </c>
      <c r="DU37" s="62">
        <f t="shared" si="44"/>
        <v>355.44729904860708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>
        <f>EXP(-LN(2)/35)*EA36+(1-EXP(-LN(2)/35))/(LN(2)/35)*DW37*DX37*VLOOKUP('Données projet'!$B$14,Paramètres!$A$1:$I$89,3,0)*0.475*44/12</f>
        <v>0</v>
      </c>
      <c r="EB37" s="23">
        <f>EXP(-LN(2)/25)*EB36+(1-EXP(-LN(2)/25))/(LN(2)/25)*Calculateur!DW37*Calculateur!DY37*VLOOKUP('Données projet'!$B$14,Paramètres!$A$1:$I$89,3,0)*0.475*44/12</f>
        <v>0</v>
      </c>
      <c r="EC37" s="23">
        <f>EXP(-LN(2)/2)*EC36+(1-EXP(-LN(2)/2))/(LN(2)/2)*DW37*DZ37*VLOOKUP('Données projet'!$B$14,Paramètres!$A$1:$I$89,3,0)*0.475*44/12</f>
        <v>0</v>
      </c>
      <c r="ED37" s="24">
        <f t="shared" si="18"/>
        <v>0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11.5</v>
      </c>
      <c r="EJ37" s="13">
        <f>IF('Données projet'!$A$192&gt;35,EJ36+EI37-ER36,IF(A37&lt;'Données projet'!$A$192,$EG$205^A37,IF(A37='Données projet'!$A$192,'Données projet'!$B$192,EJ36+EI37-ER36)))</f>
        <v>153.49999999999994</v>
      </c>
      <c r="EK37" s="18">
        <f>EJ37*VLOOKUP('Données projet'!$B$15,Paramètres!$A$1:$I$89,3,0)*VLOOKUP('Données projet'!$B$15,Paramètres!$A$1:$I$89,5,0)</f>
        <v>112.54619999999996</v>
      </c>
      <c r="EL37" s="14">
        <f t="shared" si="45"/>
        <v>29.930087855430269</v>
      </c>
      <c r="EM37" s="22">
        <f t="shared" si="19"/>
        <v>248.14620134820765</v>
      </c>
      <c r="EN37" s="62">
        <f t="shared" si="20"/>
        <v>490.91963281032326</v>
      </c>
      <c r="EO37" s="62">
        <f ca="1">AVERAGE(OFFSET($EN$3,0,0,'Données projet'!$E$15+1,1))-AVERAGE(OFFSET($H$3,0,0,'Données projet'!$E$15+1,1))</f>
        <v>293.59366973965774</v>
      </c>
      <c r="EP37" s="62">
        <f t="shared" si="46"/>
        <v>288.13804536120426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>
        <f>EXP(-LN(2)/35)*EV36+(1-EXP(-LN(2)/35))/(LN(2)/35)*ER37*ES37*VLOOKUP('Données projet'!$B$15,Paramètres!$A$1:$I$89,3,0)*0.475*44/12</f>
        <v>0</v>
      </c>
      <c r="EW37" s="23">
        <f>EXP(-LN(2)/25)*EW36+(1-EXP(-LN(2)/25))/(LN(2)/25)*Calculateur!ER37*Calculateur!ET37*VLOOKUP('Données projet'!$B$15,Paramètres!$A$1:$I$89,3,0)*0.475*44/12</f>
        <v>0</v>
      </c>
      <c r="EX37" s="23">
        <f>EXP(-LN(2)/2)*EX36+(1-EXP(-LN(2)/2))/(LN(2)/2)*ER37*EU37*VLOOKUP('Données projet'!$B$15,Paramètres!$A$1:$I$89,3,0)*0.475*44/12</f>
        <v>0</v>
      </c>
      <c r="EY37" s="24">
        <f t="shared" si="21"/>
        <v>0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11.5</v>
      </c>
      <c r="FE37" s="13">
        <f>IF('Données projet'!$A$218&gt;35,FE36+FD37-FM36,IF(A37&lt;'Données projet'!$A$218,$FB$205^A37,IF(A37='Données projet'!$A$218,'Données projet'!$B$218,FE36+FD37-FM36)))</f>
        <v>153.49999999999994</v>
      </c>
      <c r="FF37" s="18">
        <f>FE37*VLOOKUP('Données projet'!$B$16,Paramètres!$A$1:$I$89,3,0)*VLOOKUP('Données projet'!$B$16,Paramètres!$A$1:$I$89,5,0)</f>
        <v>148.46519999999995</v>
      </c>
      <c r="FG37" s="14">
        <f t="shared" si="47"/>
        <v>38.229588313681646</v>
      </c>
      <c r="FH37" s="22">
        <f t="shared" si="22"/>
        <v>325.1600896463288</v>
      </c>
      <c r="FI37" s="62">
        <f t="shared" si="23"/>
        <v>567.93352110844444</v>
      </c>
      <c r="FJ37" s="62">
        <f ca="1">AVERAGE(OFFSET($FI$3,0,0,'Données projet'!$E$16+1,1))-AVERAGE(OFFSET($H$3,0,0,'Données projet'!$E$16+1,1))</f>
        <v>369.69145521630799</v>
      </c>
      <c r="FK37" s="62">
        <f t="shared" si="48"/>
        <v>360.24112103688719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>
        <f>EXP(-LN(2)/35)*FQ36+(1-EXP(-LN(2)/35))/(LN(2)/35)*FM37*FN37*VLOOKUP('Données projet'!$B$16,Paramètres!$A$1:$I$89,3,0)*0.475*44/12</f>
        <v>0</v>
      </c>
      <c r="FR37" s="23">
        <f>EXP(-LN(2)/25)*FR36+(1-EXP(-LN(2)/25))/(LN(2)/25)*Calculateur!FM37*Calculateur!FO37*VLOOKUP('Données projet'!$B$16,Paramètres!$A$1:$I$89,3,0)*0.475*44/12</f>
        <v>0</v>
      </c>
      <c r="FS37" s="23">
        <f>EXP(-LN(2)/2)*FS36+(1-EXP(-LN(2)/2))/(LN(2)/2)*FM37*FP37*VLOOKUP('Données projet'!$B$16,Paramètres!$A$1:$I$89,3,0)*0.475*44/12</f>
        <v>0</v>
      </c>
      <c r="FT37" s="24">
        <f t="shared" si="24"/>
        <v>0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11.5</v>
      </c>
      <c r="FZ37" s="13">
        <f>IF('Données projet'!$A$244&gt;35,FZ36+FY37-GH36,IF(A37&lt;'Données projet'!$A$244,$FW$205^A37,IF(A37='Données projet'!$A$244,'Données projet'!$B$244,FZ36+FY37-GH36)))</f>
        <v>153.49999999999994</v>
      </c>
      <c r="GA37" s="18">
        <f>FZ37*VLOOKUP('Données projet'!$B$17,Paramètres!$A$1:$I$89,3,0)*VLOOKUP('Données projet'!$B$17,Paramètres!$A$1:$I$89,5,0)</f>
        <v>165.22739999999993</v>
      </c>
      <c r="GB37" s="14">
        <f t="shared" si="49"/>
        <v>42.019354930639594</v>
      </c>
      <c r="GC37" s="22">
        <f t="shared" si="25"/>
        <v>360.95476483753049</v>
      </c>
      <c r="GD37" s="62">
        <f t="shared" si="26"/>
        <v>603.72819629964602</v>
      </c>
      <c r="GE37" s="62">
        <f ca="1">AVERAGE(OFFSET($GD$3,0,0,'Données projet'!$E$17+1,1))-AVERAGE(OFFSET($H$3,0,0,'Données projet'!$E$17+1,1))</f>
        <v>405.06394904053946</v>
      </c>
      <c r="GF37" s="62">
        <f t="shared" si="50"/>
        <v>393.75247087518198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>
        <f>EXP(-LN(2)/35)*GL36+(1-EXP(-LN(2)/35))/(LN(2)/35)*GH37*GI37*VLOOKUP('Données projet'!$B$17,Paramètres!$A$1:$I$89,3,0)*0.475*44/12</f>
        <v>0</v>
      </c>
      <c r="GM37" s="23">
        <f>EXP(-LN(2)/25)*GM36+(1-EXP(-LN(2)/25))/(LN(2)/25)*Calculateur!GH37*Calculateur!GJ37*VLOOKUP('Données projet'!$B$17,Paramètres!$A$1:$I$89,3,0)*0.475*44/12</f>
        <v>0</v>
      </c>
      <c r="GN37" s="23">
        <f>EXP(-LN(2)/2)*GN36+(1-EXP(-LN(2)/2))/(LN(2)/2)*GH37*GK37*VLOOKUP('Données projet'!$B$17,Paramètres!$A$1:$I$89,3,0)*0.475*44/12</f>
        <v>0</v>
      </c>
      <c r="GO37" s="23">
        <f t="shared" si="27"/>
        <v>0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11.5</v>
      </c>
      <c r="GU37" s="13">
        <f>IF('Données projet'!$A$270&gt;35,GU36+GT37-HC36,IF(A37&lt;'Données projet'!$A$270,$GR$205^A37,IF(A37='Données projet'!$A$270,'Données projet'!$B$270,GU36+GT37-HC36)))</f>
        <v>153.49999999999994</v>
      </c>
      <c r="GV37" s="18">
        <f>GU37*VLOOKUP('Données projet'!$B$18,Paramètres!$A$1:$I$89,3,0)*VLOOKUP('Données projet'!$B$18,Paramètres!$A$1:$I$89,5,0)</f>
        <v>102.96779999999997</v>
      </c>
      <c r="GW37" s="14">
        <f t="shared" si="51"/>
        <v>27.667827015814101</v>
      </c>
      <c r="GX37" s="22">
        <f t="shared" si="28"/>
        <v>227.52371705254282</v>
      </c>
      <c r="GY37" s="62">
        <f t="shared" si="29"/>
        <v>470.29714851465837</v>
      </c>
      <c r="GZ37" s="62">
        <f ca="1">AVERAGE(OFFSET($GY$3,0,0,'Données projet'!$E$18+1,1))-AVERAGE(OFFSET($H$3,0,0,'Données projet'!$E$18+1,1))</f>
        <v>273.21861937609918</v>
      </c>
      <c r="HA37" s="62">
        <f t="shared" si="52"/>
        <v>268.83004886965318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>
        <f>EXP(-LN(2)/35)*HG36+(1-EXP(-LN(2)/35))/(LN(2)/35)*HC37*HD37*VLOOKUP('Données projet'!$B$18,Paramètres!$A$1:$I$89,3,0)*0.475*44/12</f>
        <v>0</v>
      </c>
      <c r="HH37" s="23">
        <f>EXP(-LN(2)/25)*HH36+(1-EXP(-LN(2)/25))/(LN(2)/25)*Calculateur!HC37*Calculateur!HE37*VLOOKUP('Données projet'!$B$18,Paramètres!$A$1:$I$89,3,0)*0.475*44/12</f>
        <v>0</v>
      </c>
      <c r="HI37" s="23">
        <f>EXP(-LN(2)/2)*HI36+(1-EXP(-LN(2)/2))/(LN(2)/2)*HC37*HF37*VLOOKUP('Données projet'!$B$18,Paramètres!$A$1:$I$89,3,0)*0.475*44/12</f>
        <v>0</v>
      </c>
      <c r="HJ37" s="24">
        <f t="shared" si="30"/>
        <v>0</v>
      </c>
    </row>
    <row r="38" spans="1:218" s="5" customFormat="1" x14ac:dyDescent="0.4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 t="e">
        <f>VLOOKUP(A38,'Données projet'!$A$35:$I$55,2,0)</f>
        <v>#N/A</v>
      </c>
      <c r="L38" s="13" t="e">
        <f>VLOOKUP(A38,'Données projet'!$A$35:$I$55,9,0)</f>
        <v>#N/A</v>
      </c>
      <c r="M38" s="13">
        <f t="array" ref="M38">INDEX(L:L,MIN(IF(ISNUMBER(L38:L234),ROW(L38:L234),"")))</f>
        <v>2.4423076923076925</v>
      </c>
      <c r="N38" s="14">
        <f>IF('Données projet'!$A$36&gt;35,N37+M38-V37,IF(A38&lt;'Données projet'!$A$36,$K$205^A38,IF(A38='Données projet'!$A$36,'Données projet'!$B$36,N37+M38-V37)))</f>
        <v>85.480769230769255</v>
      </c>
      <c r="O38" s="14">
        <f>N38*VLOOKUP('Données projet'!$B$9,Paramètres!$A$1:$I$89,3,0)*VLOOKUP('Données projet'!$B$9,Paramètres!$A$1:$I$89,5,0)</f>
        <v>77.343000000000018</v>
      </c>
      <c r="P38" s="14">
        <f t="shared" si="33"/>
        <v>21.48626226380561</v>
      </c>
      <c r="Q38" s="22">
        <f t="shared" si="53"/>
        <v>172.12763177612814</v>
      </c>
      <c r="R38" s="62">
        <f t="shared" si="0"/>
        <v>415.77816450070264</v>
      </c>
      <c r="S38" s="62">
        <f ca="1">AVERAGE(OFFSET($R$3,0,0,'Données projet'!$E$9+1,1))-AVERAGE(OFFSET($H$3,0,0,'Données projet'!$E$9+1,1))</f>
        <v>432.80275651765203</v>
      </c>
      <c r="T38" s="62">
        <f t="shared" si="34"/>
        <v>203.89279893419919</v>
      </c>
      <c r="U38" s="16">
        <f>IF(ISNA(VLOOKUP(A38,'Données projet'!$A$35:$I$55,3,0)),0,VLOOKUP(A38,'Données projet'!$A$35:$I$55,3,0))</f>
        <v>0</v>
      </c>
      <c r="V38" s="16">
        <f>IF(ISNA(VLOOKUP(A38,'Données projet'!$A$35:$I$55,4,0)),0,VLOOKUP(A38,'Données projet'!$A$35:$I$55,4,0))</f>
        <v>0</v>
      </c>
      <c r="W38" s="17">
        <f>IF(ISNA(VLOOKUP(A38,'Données projet'!$A$35:$I$55,5,0)),0%,VLOOKUP(A38,'Données projet'!$A$35:$I$55,5,0)*VLOOKUP('Données projet'!$B$9,Paramètres!$A$1:$I$89,7,0))</f>
        <v>0</v>
      </c>
      <c r="X38" s="17">
        <f>IF(ISNA(VLOOKUP(A38,'Données projet'!$A$35:$I$55,6,0)),0%,VLOOKUP(A38,'Données projet'!$A$35:$I$55,6,0)*VLOOKUP('Données projet'!$B$9,Paramètres!$A$1:$I$89,7,0))</f>
        <v>0</v>
      </c>
      <c r="Y38" s="17">
        <f>IF(ISNA(VLOOKUP(A38,'Données projet'!$A$35:$I$55,7,0)),0%,VLOOKUP(A38,'Données projet'!$A$35:$I$55,7,0))</f>
        <v>0</v>
      </c>
      <c r="Z38" s="23">
        <f>EXP(-LN(2)/35)*Z37+(1-EXP(-LN(2)/35))/(LN(2)/35)*V38*W38*VLOOKUP('Données projet'!$B$9,Paramètres!$A$1:$I$89,3,0)*0.475*44/12</f>
        <v>0</v>
      </c>
      <c r="AA38" s="23">
        <f>EXP(-LN(2)/25)*AA37+(1-EXP(-LN(2)/25))/(LN(2)/25)*Calculateur!V38*Calculateur!X38*VLOOKUP('Données projet'!$B$9,Paramètres!$A$1:$I$89,3,0)*0.475*44/12</f>
        <v>0</v>
      </c>
      <c r="AB38" s="23">
        <f>EXP(-LN(2)/2)*AB37+(1-EXP(-LN(2)/2))/(LN(2)/2)*V38*Y38*VLOOKUP('Données projet'!$B$9,Paramètres!$A$1:$I$89,3,0)*0.475*44/12</f>
        <v>0</v>
      </c>
      <c r="AC38" s="24">
        <f t="shared" si="3"/>
        <v>0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>
        <f>VLOOKUP(A38,'Données projet'!$A$61:$I$81,2,0)</f>
        <v>559</v>
      </c>
      <c r="AG38" s="13">
        <f>VLOOKUP(A38,'Données projet'!$A$61:$I$81,9,0)</f>
        <v>24.6</v>
      </c>
      <c r="AH38" s="13">
        <f t="array" ref="AH38">INDEX(AG:AG,MIN(IF(ISNUMBER(AG38:AG234),ROW(AG38:AG234),"")))</f>
        <v>24.6</v>
      </c>
      <c r="AI38" s="14">
        <f>IF('Données projet'!$A$62&gt;35,AI37+AH38-AQ37,IF(A38&lt;'Données projet'!$A$62,$AF$205^A38,IF(A38='Données projet'!$A$62,'Données projet'!$B$62,AI37+AH38-AQ37)))</f>
        <v>559.00000000000023</v>
      </c>
      <c r="AJ38" s="14">
        <f>AI38*VLOOKUP('Données projet'!$B$10,Paramètres!$A$1:$I$89,3,0)*VLOOKUP('Données projet'!$B$10,Paramètres!$A$1:$I$89,5,0)</f>
        <v>247.07800000000012</v>
      </c>
      <c r="AK38" s="14">
        <f t="shared" si="35"/>
        <v>59.959811038797376</v>
      </c>
      <c r="AL38" s="22">
        <f t="shared" si="4"/>
        <v>534.75752089257219</v>
      </c>
      <c r="AM38" s="62">
        <f t="shared" si="5"/>
        <v>778.40805361714672</v>
      </c>
      <c r="AN38" s="62">
        <f ca="1">AVERAGE(OFFSET($AM$3,0,0,'Données projet'!$E$10+1,1))-AVERAGE(OFFSET($H$3,0,0,'Données projet'!$E$10+1,1))</f>
        <v>413.08876898406481</v>
      </c>
      <c r="AO38" s="62">
        <f t="shared" si="36"/>
        <v>520.31320932826566</v>
      </c>
      <c r="AP38" s="16">
        <f>IF(ISNA(VLOOKUP(A38,'Données projet'!$A$61:$I$81,3,0)),0,VLOOKUP(A38,'Données projet'!$A$61:$I$81,3,0))</f>
        <v>3</v>
      </c>
      <c r="AQ38" s="16">
        <f>IF(ISNA(VLOOKUP(A38,'Données projet'!$A$61:$I$81,4,0)),0,VLOOKUP(A38,'Données projet'!$A$61:$I$81,4,0))</f>
        <v>61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0.27500000000000002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0</v>
      </c>
      <c r="AV38" s="23">
        <f>EXP(-LN(2)/25)*AV37+(1-EXP(-LN(2)/25))/(LN(2)/25)*Calculateur!AQ38*Calculateur!AS38*VLOOKUP('Données projet'!$B$10,Paramètres!$A$1:$I$89,3,0)*0.475*44/12</f>
        <v>19.064525003204572</v>
      </c>
      <c r="AW38" s="23">
        <f>EXP(-LN(2)/2)*AW37+(1-EXP(-LN(2)/2))/(LN(2)/2)*AQ38*AT38*VLOOKUP('Données projet'!$B$10,Paramètres!$A$1:$I$89,3,0)*0.475*44/12</f>
        <v>0</v>
      </c>
      <c r="AX38" s="23">
        <f t="shared" si="6"/>
        <v>19.064525003204572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559</v>
      </c>
      <c r="BB38" s="13">
        <f>VLOOKUP(A38,'Données projet'!$A$87:$I$107,9,0)</f>
        <v>24.6</v>
      </c>
      <c r="BC38" s="13">
        <f t="array" ref="BC38">INDEX(BB:BB,MIN(IF(ISNUMBER(BB38:BB234),ROW(BB38:BB234),"")))</f>
        <v>24.6</v>
      </c>
      <c r="BD38" s="13">
        <f>IF('Données projet'!$A$88&gt;35,BD37+BC38-BL37,IF(A38&lt;'Données projet'!$A$88,$BA$205^A38,IF(A38='Données projet'!$A$88,'Données projet'!$B$88,BD37+BC38-BL37)))</f>
        <v>559.00000000000023</v>
      </c>
      <c r="BE38" s="14">
        <f>BD38*VLOOKUP('Données projet'!$B$11,Paramètres!$A$1:$I$89,3,0)*VLOOKUP('Données projet'!$B$11,Paramètres!$A$1:$I$89,5,0)</f>
        <v>312.48100000000011</v>
      </c>
      <c r="BF38" s="14">
        <f t="shared" si="37"/>
        <v>73.786721094721486</v>
      </c>
      <c r="BG38" s="22">
        <f t="shared" si="7"/>
        <v>672.74961423997343</v>
      </c>
      <c r="BH38" s="62">
        <f t="shared" si="8"/>
        <v>916.40014696454796</v>
      </c>
      <c r="BI38" s="62">
        <f ca="1">AVERAGE(OFFSET($BH$3,0,0,'Données projet'!$E$11+1,1))-AVERAGE(OFFSET($H$3,0,0,'Données projet'!$E$11+1,1))</f>
        <v>507.66185230065889</v>
      </c>
      <c r="BJ38" s="62">
        <f t="shared" si="38"/>
        <v>640.14375617778342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61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0.27500000000000002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24.111016915817547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24.111016915817547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7.8773148160000019</v>
      </c>
      <c r="BY38" s="13">
        <f>IF('Données projet'!$A$114&gt;35,BY37+BX38-CG37,IF(A38&lt;'Données projet'!$A$114,$BV$205^A38,IF(A38='Données projet'!$A$114,'Données projet'!$B$114,BY37+BX38-CG37)))</f>
        <v>146.60879631999998</v>
      </c>
      <c r="BZ38" s="14">
        <f>BY38*VLOOKUP('Données projet'!$B$12,Paramètres!$A$1:$I$89,3,0)*VLOOKUP('Données projet'!$B$12,Paramètres!$A$1:$I$89,5,0)</f>
        <v>68.612916677759983</v>
      </c>
      <c r="CA38" s="14">
        <f t="shared" si="39"/>
        <v>19.328595680942719</v>
      </c>
      <c r="CB38" s="22">
        <f t="shared" si="10"/>
        <v>153.16480069140721</v>
      </c>
      <c r="CC38" s="62">
        <f t="shared" si="11"/>
        <v>396.81533341598174</v>
      </c>
      <c r="CD38" s="62">
        <f ca="1">AVERAGE(OFFSET($CC$3,0,0,'Données projet'!$E$12+1,1))-AVERAGE(OFFSET($H$3,0,0,'Données projet'!$E$12+1,1))</f>
        <v>289.21044803824958</v>
      </c>
      <c r="CE38" s="62">
        <f t="shared" si="40"/>
        <v>196.11836398299445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>
        <f>EXP(-LN(2)/35)*CK37+(1-EXP(-LN(2)/35))/(LN(2)/35)*CG38*CH38*VLOOKUP('Données projet'!$B$12,Paramètres!$A$1:$I$89,3,0)*0.475*44/12</f>
        <v>0</v>
      </c>
      <c r="CL38" s="23">
        <f>EXP(-LN(2)/25)*CL37+(1-EXP(-LN(2)/25))/(LN(2)/25)*Calculateur!CG38*Calculateur!CI38*VLOOKUP('Données projet'!$B$12,Paramètres!$A$1:$I$89,3,0)*0.475*44/12</f>
        <v>3.9683718358208426</v>
      </c>
      <c r="CM38" s="23">
        <f>EXP(-LN(2)/2)*CM37+(1-EXP(-LN(2)/2))/(LN(2)/2)*CG38*CJ38*VLOOKUP('Données projet'!$B$12,Paramètres!$A$1:$I$89,3,0)*0.475*44/12</f>
        <v>0</v>
      </c>
      <c r="CN38" s="24">
        <f t="shared" si="12"/>
        <v>3.9683718358208426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>
        <f>VLOOKUP(A38,'Données projet'!$A$139:$I$159,2,0)</f>
        <v>267</v>
      </c>
      <c r="CR38" s="13">
        <f>VLOOKUP(A38,'Données projet'!$A$139:$I$159,9,0)</f>
        <v>7</v>
      </c>
      <c r="CS38" s="13">
        <f t="array" ref="CS38">INDEX(CR:CR,MIN(IF(ISNUMBER(CR38:CR234),ROW(CR38:CR234),"")))</f>
        <v>7</v>
      </c>
      <c r="CT38" s="13">
        <f>IF('Données projet'!$A$140&gt;35,CT37+CS38-DB37,IF(A38&lt;'Données projet'!$A$140,$CQ$205^A38,IF(A38='Données projet'!$A$140,'Données projet'!$B$140,CT37+CS38-DB37)))</f>
        <v>267</v>
      </c>
      <c r="CU38" s="18">
        <f>CT38*VLOOKUP('Données projet'!$B$13,Paramètres!$A$1:$I$89,3,0)*VLOOKUP('Données projet'!$B$13,Paramètres!$A$1:$I$89,5,0)</f>
        <v>241.58159999999998</v>
      </c>
      <c r="CV38" s="14">
        <f t="shared" si="41"/>
        <v>58.779689232021951</v>
      </c>
      <c r="CW38" s="22">
        <f t="shared" si="13"/>
        <v>523.12924541243819</v>
      </c>
      <c r="CX38" s="62">
        <f t="shared" si="14"/>
        <v>766.77977813701273</v>
      </c>
      <c r="CY38" s="62">
        <f ca="1">AVERAGE(OFFSET($CX$3,0,0,'Données projet'!$E$13+1,1))-AVERAGE(OFFSET($H$3,0,0,'Données projet'!$E$13+1,1))</f>
        <v>376.68007030857598</v>
      </c>
      <c r="CZ38" s="62">
        <f t="shared" si="42"/>
        <v>532.90758914457626</v>
      </c>
      <c r="DA38" s="16">
        <f>IF(ISNA(VLOOKUP(A38,'Données projet'!$A$139:$I$159,3,0)),0,VLOOKUP(A38,'Données projet'!$A$139:$I$159,3,0))</f>
        <v>7</v>
      </c>
      <c r="DB38" s="16">
        <f>IF(ISNA(VLOOKUP(A38,'Données projet'!$A$139:$I$159,4,0)),0,VLOOKUP(A38,'Données projet'!$A$139:$I$159,4,0))</f>
        <v>9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0.15</v>
      </c>
      <c r="DE38" s="17">
        <f>IF(ISNA(VLOOKUP(A38,'Données projet'!$A$139:$I$159,7,0)),0%,VLOOKUP(A38,'Données projet'!$A$139:$I$159,7,0))</f>
        <v>0</v>
      </c>
      <c r="DF38" s="23">
        <f>EXP(-LN(2)/35)*DF37+(1-EXP(-LN(2)/35))/(LN(2)/35)*DB38*DC38*VLOOKUP('Données projet'!$B$13,Paramètres!$A$1:$I$89,3,0)*0.475*44/12</f>
        <v>0</v>
      </c>
      <c r="DG38" s="23">
        <f>EXP(-LN(2)/25)*DG37+(1-EXP(-LN(2)/25))/(LN(2)/25)*Calculateur!DB38*Calculateur!DD38*VLOOKUP('Données projet'!$B$13,Paramètres!$A$1:$I$89,3,0)*0.475*44/12</f>
        <v>10.202771439304982</v>
      </c>
      <c r="DH38" s="23">
        <f>EXP(-LN(2)/2)*DH37+(1-EXP(-LN(2)/2))/(LN(2)/2)*DB38*DE38*VLOOKUP('Données projet'!$B$13,Paramètres!$A$1:$I$89,3,0)*0.475*44/12</f>
        <v>0</v>
      </c>
      <c r="DI38" s="24">
        <f t="shared" si="15"/>
        <v>10.202771439304982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11.5</v>
      </c>
      <c r="DO38" s="13">
        <f>IF('Données projet'!$A$166&gt;35,DO37+DN38-DW37,IF(A38&lt;'Données projet'!$A$166,$DL$205^A38,IF(A38='Données projet'!$A$166,'Données projet'!$B$166,DO37+DN38-DW37)))</f>
        <v>164.99999999999994</v>
      </c>
      <c r="DP38" s="18">
        <f>DO38*VLOOKUP('Données projet'!$B$14,Paramètres!$A$1:$I$89,3,0)*VLOOKUP('Données projet'!$B$14,Paramètres!$A$1:$I$89,5,0)</f>
        <v>157.01399999999995</v>
      </c>
      <c r="DQ38" s="14">
        <f t="shared" si="43"/>
        <v>40.168278112836184</v>
      </c>
      <c r="DR38" s="22">
        <f t="shared" si="16"/>
        <v>343.42580104652296</v>
      </c>
      <c r="DS38" s="62">
        <f t="shared" si="17"/>
        <v>587.07633377109744</v>
      </c>
      <c r="DT38" s="62">
        <f ca="1">AVERAGE(OFFSET($DS$3,0,0,'Données projet'!$E$14+1,1))-AVERAGE(OFFSET($H$3,0,0,'Données projet'!$E$14+1,1))</f>
        <v>364.63161066507769</v>
      </c>
      <c r="DU38" s="62">
        <f t="shared" si="44"/>
        <v>355.44729904860708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>
        <f>EXP(-LN(2)/35)*EA37+(1-EXP(-LN(2)/35))/(LN(2)/35)*DW38*DX38*VLOOKUP('Données projet'!$B$14,Paramètres!$A$1:$I$89,3,0)*0.475*44/12</f>
        <v>0</v>
      </c>
      <c r="EB38" s="23">
        <f>EXP(-LN(2)/25)*EB37+(1-EXP(-LN(2)/25))/(LN(2)/25)*Calculateur!DW38*Calculateur!DY38*VLOOKUP('Données projet'!$B$14,Paramètres!$A$1:$I$89,3,0)*0.475*44/12</f>
        <v>0</v>
      </c>
      <c r="EC38" s="23">
        <f>EXP(-LN(2)/2)*EC37+(1-EXP(-LN(2)/2))/(LN(2)/2)*DW38*DZ38*VLOOKUP('Données projet'!$B$14,Paramètres!$A$1:$I$89,3,0)*0.475*44/12</f>
        <v>0</v>
      </c>
      <c r="ED38" s="24">
        <f t="shared" si="18"/>
        <v>0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11.5</v>
      </c>
      <c r="EJ38" s="13">
        <f>IF('Données projet'!$A$192&gt;35,EJ37+EI38-ER37,IF(A38&lt;'Données projet'!$A$192,$EG$205^A38,IF(A38='Données projet'!$A$192,'Données projet'!$B$192,EJ37+EI38-ER37)))</f>
        <v>164.99999999999994</v>
      </c>
      <c r="EK38" s="18">
        <f>EJ38*VLOOKUP('Données projet'!$B$15,Paramètres!$A$1:$I$89,3,0)*VLOOKUP('Données projet'!$B$15,Paramètres!$A$1:$I$89,5,0)</f>
        <v>120.97799999999995</v>
      </c>
      <c r="EL38" s="14">
        <f t="shared" si="45"/>
        <v>31.902993864447502</v>
      </c>
      <c r="EM38" s="22">
        <f t="shared" si="19"/>
        <v>266.2677309805793</v>
      </c>
      <c r="EN38" s="62">
        <f t="shared" si="20"/>
        <v>509.91826370515378</v>
      </c>
      <c r="EO38" s="62">
        <f ca="1">AVERAGE(OFFSET($EN$3,0,0,'Données projet'!$E$15+1,1))-AVERAGE(OFFSET($H$3,0,0,'Données projet'!$E$15+1,1))</f>
        <v>293.59366973965774</v>
      </c>
      <c r="EP38" s="62">
        <f t="shared" si="46"/>
        <v>288.13804536120426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>
        <f>EXP(-LN(2)/35)*EV37+(1-EXP(-LN(2)/35))/(LN(2)/35)*ER38*ES38*VLOOKUP('Données projet'!$B$15,Paramètres!$A$1:$I$89,3,0)*0.475*44/12</f>
        <v>0</v>
      </c>
      <c r="EW38" s="23">
        <f>EXP(-LN(2)/25)*EW37+(1-EXP(-LN(2)/25))/(LN(2)/25)*Calculateur!ER38*Calculateur!ET38*VLOOKUP('Données projet'!$B$15,Paramètres!$A$1:$I$89,3,0)*0.475*44/12</f>
        <v>0</v>
      </c>
      <c r="EX38" s="23">
        <f>EXP(-LN(2)/2)*EX37+(1-EXP(-LN(2)/2))/(LN(2)/2)*ER38*EU38*VLOOKUP('Données projet'!$B$15,Paramètres!$A$1:$I$89,3,0)*0.475*44/12</f>
        <v>0</v>
      </c>
      <c r="EY38" s="24">
        <f t="shared" si="21"/>
        <v>0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11.5</v>
      </c>
      <c r="FE38" s="13">
        <f>IF('Données projet'!$A$218&gt;35,FE37+FD38-FM37,IF(A38&lt;'Données projet'!$A$218,$FB$205^A38,IF(A38='Données projet'!$A$218,'Données projet'!$B$218,FE37+FD38-FM37)))</f>
        <v>164.99999999999994</v>
      </c>
      <c r="FF38" s="18">
        <f>FE38*VLOOKUP('Données projet'!$B$16,Paramètres!$A$1:$I$89,3,0)*VLOOKUP('Données projet'!$B$16,Paramètres!$A$1:$I$89,5,0)</f>
        <v>159.58799999999997</v>
      </c>
      <c r="FG38" s="14">
        <f t="shared" si="47"/>
        <v>40.74957371668588</v>
      </c>
      <c r="FH38" s="22">
        <f t="shared" si="22"/>
        <v>348.92127422322784</v>
      </c>
      <c r="FI38" s="62">
        <f t="shared" si="23"/>
        <v>592.57180694780232</v>
      </c>
      <c r="FJ38" s="62">
        <f ca="1">AVERAGE(OFFSET($FI$3,0,0,'Données projet'!$E$16+1,1))-AVERAGE(OFFSET($H$3,0,0,'Données projet'!$E$16+1,1))</f>
        <v>369.69145521630799</v>
      </c>
      <c r="FK38" s="62">
        <f t="shared" si="48"/>
        <v>360.24112103688719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>
        <f>EXP(-LN(2)/35)*FQ37+(1-EXP(-LN(2)/35))/(LN(2)/35)*FM38*FN38*VLOOKUP('Données projet'!$B$16,Paramètres!$A$1:$I$89,3,0)*0.475*44/12</f>
        <v>0</v>
      </c>
      <c r="FR38" s="23">
        <f>EXP(-LN(2)/25)*FR37+(1-EXP(-LN(2)/25))/(LN(2)/25)*Calculateur!FM38*Calculateur!FO38*VLOOKUP('Données projet'!$B$16,Paramètres!$A$1:$I$89,3,0)*0.475*44/12</f>
        <v>0</v>
      </c>
      <c r="FS38" s="23">
        <f>EXP(-LN(2)/2)*FS37+(1-EXP(-LN(2)/2))/(LN(2)/2)*FM38*FP38*VLOOKUP('Données projet'!$B$16,Paramètres!$A$1:$I$89,3,0)*0.475*44/12</f>
        <v>0</v>
      </c>
      <c r="FT38" s="24">
        <f t="shared" si="24"/>
        <v>0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11.5</v>
      </c>
      <c r="FZ38" s="13">
        <f>IF('Données projet'!$A$244&gt;35,FZ37+FY38-GH37,IF(A38&lt;'Données projet'!$A$244,$FW$205^A38,IF(A38='Données projet'!$A$244,'Données projet'!$B$244,FZ37+FY38-GH37)))</f>
        <v>164.99999999999994</v>
      </c>
      <c r="GA38" s="18">
        <f>FZ38*VLOOKUP('Données projet'!$B$17,Paramètres!$A$1:$I$89,3,0)*VLOOKUP('Données projet'!$B$17,Paramètres!$A$1:$I$89,5,0)</f>
        <v>177.60599999999994</v>
      </c>
      <c r="GB38" s="14">
        <f t="shared" si="49"/>
        <v>44.789150937858665</v>
      </c>
      <c r="GC38" s="22">
        <f t="shared" si="25"/>
        <v>387.33822121677036</v>
      </c>
      <c r="GD38" s="62">
        <f t="shared" si="26"/>
        <v>630.98875394134484</v>
      </c>
      <c r="GE38" s="62">
        <f ca="1">AVERAGE(OFFSET($GD$3,0,0,'Données projet'!$E$17+1,1))-AVERAGE(OFFSET($H$3,0,0,'Données projet'!$E$17+1,1))</f>
        <v>405.06394904053946</v>
      </c>
      <c r="GF38" s="62">
        <f t="shared" si="50"/>
        <v>393.75247087518198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>
        <f>EXP(-LN(2)/35)*GL37+(1-EXP(-LN(2)/35))/(LN(2)/35)*GH38*GI38*VLOOKUP('Données projet'!$B$17,Paramètres!$A$1:$I$89,3,0)*0.475*44/12</f>
        <v>0</v>
      </c>
      <c r="GM38" s="23">
        <f>EXP(-LN(2)/25)*GM37+(1-EXP(-LN(2)/25))/(LN(2)/25)*Calculateur!GH38*Calculateur!GJ38*VLOOKUP('Données projet'!$B$17,Paramètres!$A$1:$I$89,3,0)*0.475*44/12</f>
        <v>0</v>
      </c>
      <c r="GN38" s="23">
        <f>EXP(-LN(2)/2)*GN37+(1-EXP(-LN(2)/2))/(LN(2)/2)*GH38*GK38*VLOOKUP('Données projet'!$B$17,Paramètres!$A$1:$I$89,3,0)*0.475*44/12</f>
        <v>0</v>
      </c>
      <c r="GO38" s="23">
        <f t="shared" si="27"/>
        <v>0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11.5</v>
      </c>
      <c r="GU38" s="13">
        <f>IF('Données projet'!$A$270&gt;35,GU37+GT38-HC37,IF(A38&lt;'Données projet'!$A$270,$GR$205^A38,IF(A38='Données projet'!$A$270,'Données projet'!$B$270,GU37+GT38-HC37)))</f>
        <v>164.99999999999994</v>
      </c>
      <c r="GV38" s="18">
        <f>GU38*VLOOKUP('Données projet'!$B$18,Paramètres!$A$1:$I$89,3,0)*VLOOKUP('Données projet'!$B$18,Paramètres!$A$1:$I$89,5,0)</f>
        <v>110.68199999999996</v>
      </c>
      <c r="GW38" s="14">
        <f t="shared" si="51"/>
        <v>29.491611243899666</v>
      </c>
      <c r="GX38" s="22">
        <f t="shared" si="28"/>
        <v>244.13570624979181</v>
      </c>
      <c r="GY38" s="62">
        <f t="shared" si="29"/>
        <v>487.78623897436631</v>
      </c>
      <c r="GZ38" s="62">
        <f ca="1">AVERAGE(OFFSET($GY$3,0,0,'Données projet'!$E$18+1,1))-AVERAGE(OFFSET($H$3,0,0,'Données projet'!$E$18+1,1))</f>
        <v>273.21861937609918</v>
      </c>
      <c r="HA38" s="62">
        <f t="shared" si="52"/>
        <v>268.83004886965318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>
        <f>EXP(-LN(2)/35)*HG37+(1-EXP(-LN(2)/35))/(LN(2)/35)*HC38*HD38*VLOOKUP('Données projet'!$B$18,Paramètres!$A$1:$I$89,3,0)*0.475*44/12</f>
        <v>0</v>
      </c>
      <c r="HH38" s="23">
        <f>EXP(-LN(2)/25)*HH37+(1-EXP(-LN(2)/25))/(LN(2)/25)*Calculateur!HC38*Calculateur!HE38*VLOOKUP('Données projet'!$B$18,Paramètres!$A$1:$I$89,3,0)*0.475*44/12</f>
        <v>0</v>
      </c>
      <c r="HI38" s="23">
        <f>EXP(-LN(2)/2)*HI37+(1-EXP(-LN(2)/2))/(LN(2)/2)*HC38*HF38*VLOOKUP('Données projet'!$B$18,Paramètres!$A$1:$I$89,3,0)*0.475*44/12</f>
        <v>0</v>
      </c>
      <c r="HJ38" s="24">
        <f t="shared" si="30"/>
        <v>0</v>
      </c>
    </row>
    <row r="39" spans="1:218" s="5" customFormat="1" x14ac:dyDescent="0.4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2.4423076923076925</v>
      </c>
      <c r="N39" s="14">
        <f>IF('Données projet'!$A$36&gt;35,N38+M39-V38,IF(A39&lt;'Données projet'!$A$36,$K$205^A39,IF(A39='Données projet'!$A$36,'Données projet'!$B$36,N38+M39-V38)))</f>
        <v>87.923076923076948</v>
      </c>
      <c r="O39" s="14">
        <f>N39*VLOOKUP('Données projet'!$B$9,Paramètres!$A$1:$I$89,3,0)*VLOOKUP('Données projet'!$B$9,Paramètres!$A$1:$I$89,5,0)</f>
        <v>79.552800000000019</v>
      </c>
      <c r="P39" s="14">
        <f t="shared" si="33"/>
        <v>22.027805756238603</v>
      </c>
      <c r="Q39" s="22">
        <f t="shared" si="53"/>
        <v>176.91955502544894</v>
      </c>
      <c r="R39" s="62">
        <f t="shared" si="0"/>
        <v>421.4319732664834</v>
      </c>
      <c r="S39" s="62">
        <f ca="1">AVERAGE(OFFSET($R$3,0,0,'Données projet'!$E$9+1,1))-AVERAGE(OFFSET($H$3,0,0,'Données projet'!$E$9+1,1))</f>
        <v>432.80275651765203</v>
      </c>
      <c r="T39" s="62">
        <f t="shared" si="34"/>
        <v>203.89279893419919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0</v>
      </c>
      <c r="AA39" s="23">
        <f>EXP(-LN(2)/25)*AA38+(1-EXP(-LN(2)/25))/(LN(2)/25)*Calculateur!V39*Calculateur!X39*VLOOKUP('Données projet'!$B$9,Paramètres!$A$1:$I$89,3,0)*0.475*44/12</f>
        <v>0</v>
      </c>
      <c r="AB39" s="23">
        <f>EXP(-LN(2)/2)*AB38+(1-EXP(-LN(2)/2))/(LN(2)/2)*V39*Y39*VLOOKUP('Données projet'!$B$9,Paramètres!$A$1:$I$89,3,0)*0.475*44/12</f>
        <v>0</v>
      </c>
      <c r="AC39" s="24">
        <f t="shared" si="3"/>
        <v>0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22</v>
      </c>
      <c r="AI39" s="14">
        <f>IF('Données projet'!$A$62&gt;35,AI38+AH39-AQ38,IF(A39&lt;'Données projet'!$A$62,$AF$205^A39,IF(A39='Données projet'!$A$62,'Données projet'!$B$62,AI38+AH39-AQ38)))</f>
        <v>520.00000000000023</v>
      </c>
      <c r="AJ39" s="14">
        <f>AI39*VLOOKUP('Données projet'!$B$10,Paramètres!$A$1:$I$89,3,0)*VLOOKUP('Données projet'!$B$10,Paramètres!$A$1:$I$89,5,0)</f>
        <v>229.84000000000015</v>
      </c>
      <c r="AK39" s="14">
        <f t="shared" si="35"/>
        <v>56.248084389301404</v>
      </c>
      <c r="AL39" s="22">
        <f t="shared" si="4"/>
        <v>498.27008031136688</v>
      </c>
      <c r="AM39" s="62">
        <f t="shared" si="5"/>
        <v>742.78249855240131</v>
      </c>
      <c r="AN39" s="62">
        <f ca="1">AVERAGE(OFFSET($AM$3,0,0,'Données projet'!$E$10+1,1))-AVERAGE(OFFSET($H$3,0,0,'Données projet'!$E$10+1,1))</f>
        <v>413.08876898406481</v>
      </c>
      <c r="AO39" s="62">
        <f t="shared" si="36"/>
        <v>520.31320932826566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0</v>
      </c>
      <c r="AV39" s="23">
        <f>EXP(-LN(2)/25)*AV38+(1-EXP(-LN(2)/25))/(LN(2)/25)*Calculateur!AQ39*Calculateur!AS39*VLOOKUP('Données projet'!$B$10,Paramètres!$A$1:$I$89,3,0)*0.475*44/12</f>
        <v>18.543204564432145</v>
      </c>
      <c r="AW39" s="23">
        <f>EXP(-LN(2)/2)*AW38+(1-EXP(-LN(2)/2))/(LN(2)/2)*AQ39*AT39*VLOOKUP('Données projet'!$B$10,Paramètres!$A$1:$I$89,3,0)*0.475*44/12</f>
        <v>0</v>
      </c>
      <c r="AX39" s="23">
        <f t="shared" si="6"/>
        <v>18.543204564432145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22</v>
      </c>
      <c r="BD39" s="13">
        <f>IF('Données projet'!$A$88&gt;35,BD38+BC39-BL38,IF(A39&lt;'Données projet'!$A$88,$BA$205^A39,IF(A39='Données projet'!$A$88,'Données projet'!$B$88,BD38+BC39-BL38)))</f>
        <v>520.00000000000023</v>
      </c>
      <c r="BE39" s="14">
        <f>BD39*VLOOKUP('Données projet'!$B$11,Paramètres!$A$1:$I$89,3,0)*VLOOKUP('Données projet'!$B$11,Paramètres!$A$1:$I$89,5,0)</f>
        <v>290.68000000000018</v>
      </c>
      <c r="BF39" s="14">
        <f t="shared" si="37"/>
        <v>69.219059283896499</v>
      </c>
      <c r="BG39" s="22">
        <f t="shared" si="7"/>
        <v>626.82419491945336</v>
      </c>
      <c r="BH39" s="62">
        <f t="shared" si="8"/>
        <v>871.33661316048779</v>
      </c>
      <c r="BI39" s="62">
        <f ca="1">AVERAGE(OFFSET($BH$3,0,0,'Données projet'!$E$11+1,1))-AVERAGE(OFFSET($H$3,0,0,'Données projet'!$E$11+1,1))</f>
        <v>507.66185230065889</v>
      </c>
      <c r="BJ39" s="62">
        <f t="shared" si="38"/>
        <v>640.14375617778342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23.451699890311243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23.451699890311243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7.8773148160000019</v>
      </c>
      <c r="BY39" s="13">
        <f>IF('Données projet'!$A$114&gt;35,BY38+BX39-CG38,IF(A39&lt;'Données projet'!$A$114,$BV$205^A39,IF(A39='Données projet'!$A$114,'Données projet'!$B$114,BY38+BX39-CG38)))</f>
        <v>154.48611113599998</v>
      </c>
      <c r="BZ39" s="14">
        <f>BY39*VLOOKUP('Données projet'!$B$12,Paramètres!$A$1:$I$89,3,0)*VLOOKUP('Données projet'!$B$12,Paramètres!$A$1:$I$89,5,0)</f>
        <v>72.299500011647993</v>
      </c>
      <c r="CA39" s="14">
        <f t="shared" si="39"/>
        <v>20.243425820470694</v>
      </c>
      <c r="CB39" s="22">
        <f t="shared" si="10"/>
        <v>161.17892915760669</v>
      </c>
      <c r="CC39" s="62">
        <f t="shared" si="11"/>
        <v>405.69134739864114</v>
      </c>
      <c r="CD39" s="62">
        <f ca="1">AVERAGE(OFFSET($CC$3,0,0,'Données projet'!$E$12+1,1))-AVERAGE(OFFSET($H$3,0,0,'Données projet'!$E$12+1,1))</f>
        <v>289.21044803824958</v>
      </c>
      <c r="CE39" s="62">
        <f t="shared" si="40"/>
        <v>196.11836398299445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>
        <f>EXP(-LN(2)/35)*CK38+(1-EXP(-LN(2)/35))/(LN(2)/35)*CG39*CH39*VLOOKUP('Données projet'!$B$12,Paramètres!$A$1:$I$89,3,0)*0.475*44/12</f>
        <v>0</v>
      </c>
      <c r="CL39" s="23">
        <f>EXP(-LN(2)/25)*CL38+(1-EXP(-LN(2)/25))/(LN(2)/25)*Calculateur!CG39*Calculateur!CI39*VLOOKUP('Données projet'!$B$12,Paramètres!$A$1:$I$89,3,0)*0.475*44/12</f>
        <v>3.8598564992827167</v>
      </c>
      <c r="CM39" s="23">
        <f>EXP(-LN(2)/2)*CM38+(1-EXP(-LN(2)/2))/(LN(2)/2)*CG39*CJ39*VLOOKUP('Données projet'!$B$12,Paramètres!$A$1:$I$89,3,0)*0.475*44/12</f>
        <v>0</v>
      </c>
      <c r="CN39" s="24">
        <f t="shared" si="12"/>
        <v>3.8598564992827167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6.2</v>
      </c>
      <c r="CT39" s="13">
        <f>IF('Données projet'!$A$140&gt;35,CT38+CS39-DB38,IF(A39&lt;'Données projet'!$A$140,$CQ$205^A39,IF(A39='Données projet'!$A$140,'Données projet'!$B$140,CT38+CS39-DB38)))</f>
        <v>264.2</v>
      </c>
      <c r="CU39" s="18">
        <f>CT39*VLOOKUP('Données projet'!$B$13,Paramètres!$A$1:$I$89,3,0)*VLOOKUP('Données projet'!$B$13,Paramètres!$A$1:$I$89,5,0)</f>
        <v>239.04816</v>
      </c>
      <c r="CV39" s="14">
        <f t="shared" si="41"/>
        <v>58.234690128947292</v>
      </c>
      <c r="CW39" s="22">
        <f t="shared" si="13"/>
        <v>517.76763064124987</v>
      </c>
      <c r="CX39" s="62">
        <f t="shared" si="14"/>
        <v>762.28004888228429</v>
      </c>
      <c r="CY39" s="62">
        <f ca="1">AVERAGE(OFFSET($CX$3,0,0,'Données projet'!$E$13+1,1))-AVERAGE(OFFSET($H$3,0,0,'Données projet'!$E$13+1,1))</f>
        <v>376.68007030857598</v>
      </c>
      <c r="CZ39" s="62">
        <f t="shared" si="42"/>
        <v>532.90758914457626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>
        <f>EXP(-LN(2)/35)*DF38+(1-EXP(-LN(2)/35))/(LN(2)/35)*DB39*DC39*VLOOKUP('Données projet'!$B$13,Paramètres!$A$1:$I$89,3,0)*0.475*44/12</f>
        <v>0</v>
      </c>
      <c r="DG39" s="23">
        <f>EXP(-LN(2)/25)*DG38+(1-EXP(-LN(2)/25))/(LN(2)/25)*Calculateur!DB39*Calculateur!DD39*VLOOKUP('Données projet'!$B$13,Paramètres!$A$1:$I$89,3,0)*0.475*44/12</f>
        <v>9.9237761177567556</v>
      </c>
      <c r="DH39" s="23">
        <f>EXP(-LN(2)/2)*DH38+(1-EXP(-LN(2)/2))/(LN(2)/2)*DB39*DE39*VLOOKUP('Données projet'!$B$13,Paramètres!$A$1:$I$89,3,0)*0.475*44/12</f>
        <v>0</v>
      </c>
      <c r="DI39" s="24">
        <f t="shared" si="15"/>
        <v>9.9237761177567556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11.5</v>
      </c>
      <c r="DO39" s="13">
        <f>IF('Données projet'!$A$166&gt;35,DO38+DN39-DW38,IF(A39&lt;'Données projet'!$A$166,$DL$205^A39,IF(A39='Données projet'!$A$166,'Données projet'!$B$166,DO38+DN39-DW38)))</f>
        <v>176.49999999999994</v>
      </c>
      <c r="DP39" s="18">
        <f>DO39*VLOOKUP('Données projet'!$B$14,Paramètres!$A$1:$I$89,3,0)*VLOOKUP('Données projet'!$B$14,Paramètres!$A$1:$I$89,5,0)</f>
        <v>167.95739999999995</v>
      </c>
      <c r="DQ39" s="14">
        <f t="shared" si="43"/>
        <v>42.632227786798772</v>
      </c>
      <c r="DR39" s="22">
        <f t="shared" si="16"/>
        <v>366.77693506200779</v>
      </c>
      <c r="DS39" s="62">
        <f t="shared" si="17"/>
        <v>611.28935330304216</v>
      </c>
      <c r="DT39" s="62">
        <f ca="1">AVERAGE(OFFSET($DS$3,0,0,'Données projet'!$E$14+1,1))-AVERAGE(OFFSET($H$3,0,0,'Données projet'!$E$14+1,1))</f>
        <v>364.63161066507769</v>
      </c>
      <c r="DU39" s="62">
        <f t="shared" si="44"/>
        <v>355.44729904860708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>
        <f>EXP(-LN(2)/35)*EA38+(1-EXP(-LN(2)/35))/(LN(2)/35)*DW39*DX39*VLOOKUP('Données projet'!$B$14,Paramètres!$A$1:$I$89,3,0)*0.475*44/12</f>
        <v>0</v>
      </c>
      <c r="EB39" s="23">
        <f>EXP(-LN(2)/25)*EB38+(1-EXP(-LN(2)/25))/(LN(2)/25)*Calculateur!DW39*Calculateur!DY39*VLOOKUP('Données projet'!$B$14,Paramètres!$A$1:$I$89,3,0)*0.475*44/12</f>
        <v>0</v>
      </c>
      <c r="EC39" s="23">
        <f>EXP(-LN(2)/2)*EC38+(1-EXP(-LN(2)/2))/(LN(2)/2)*DW39*DZ39*VLOOKUP('Données projet'!$B$14,Paramètres!$A$1:$I$89,3,0)*0.475*44/12</f>
        <v>0</v>
      </c>
      <c r="ED39" s="24">
        <f t="shared" si="18"/>
        <v>0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11.5</v>
      </c>
      <c r="EJ39" s="13">
        <f>IF('Données projet'!$A$192&gt;35,EJ38+EI39-ER38,IF(A39&lt;'Données projet'!$A$192,$EG$205^A39,IF(A39='Données projet'!$A$192,'Données projet'!$B$192,EJ38+EI39-ER38)))</f>
        <v>176.49999999999994</v>
      </c>
      <c r="EK39" s="18">
        <f>EJ39*VLOOKUP('Données projet'!$B$15,Paramètres!$A$1:$I$89,3,0)*VLOOKUP('Données projet'!$B$15,Paramètres!$A$1:$I$89,5,0)</f>
        <v>129.40979999999996</v>
      </c>
      <c r="EL39" s="14">
        <f t="shared" si="45"/>
        <v>33.85994534516373</v>
      </c>
      <c r="EM39" s="22">
        <f t="shared" si="19"/>
        <v>284.36147314282675</v>
      </c>
      <c r="EN39" s="62">
        <f t="shared" si="20"/>
        <v>528.87389138386118</v>
      </c>
      <c r="EO39" s="62">
        <f ca="1">AVERAGE(OFFSET($EN$3,0,0,'Données projet'!$E$15+1,1))-AVERAGE(OFFSET($H$3,0,0,'Données projet'!$E$15+1,1))</f>
        <v>293.59366973965774</v>
      </c>
      <c r="EP39" s="62">
        <f t="shared" si="46"/>
        <v>288.13804536120426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>
        <f>EXP(-LN(2)/35)*EV38+(1-EXP(-LN(2)/35))/(LN(2)/35)*ER39*ES39*VLOOKUP('Données projet'!$B$15,Paramètres!$A$1:$I$89,3,0)*0.475*44/12</f>
        <v>0</v>
      </c>
      <c r="EW39" s="23">
        <f>EXP(-LN(2)/25)*EW38+(1-EXP(-LN(2)/25))/(LN(2)/25)*Calculateur!ER39*Calculateur!ET39*VLOOKUP('Données projet'!$B$15,Paramètres!$A$1:$I$89,3,0)*0.475*44/12</f>
        <v>0</v>
      </c>
      <c r="EX39" s="23">
        <f>EXP(-LN(2)/2)*EX38+(1-EXP(-LN(2)/2))/(LN(2)/2)*ER39*EU39*VLOOKUP('Données projet'!$B$15,Paramètres!$A$1:$I$89,3,0)*0.475*44/12</f>
        <v>0</v>
      </c>
      <c r="EY39" s="24">
        <f t="shared" si="21"/>
        <v>0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11.5</v>
      </c>
      <c r="FE39" s="13">
        <f>IF('Données projet'!$A$218&gt;35,FE38+FD39-FM38,IF(A39&lt;'Données projet'!$A$218,$FB$205^A39,IF(A39='Données projet'!$A$218,'Données projet'!$B$218,FE38+FD39-FM38)))</f>
        <v>176.49999999999994</v>
      </c>
      <c r="FF39" s="18">
        <f>FE39*VLOOKUP('Données projet'!$B$16,Paramètres!$A$1:$I$89,3,0)*VLOOKUP('Données projet'!$B$16,Paramètres!$A$1:$I$89,5,0)</f>
        <v>170.71079999999995</v>
      </c>
      <c r="FG39" s="14">
        <f t="shared" si="47"/>
        <v>43.249180460875827</v>
      </c>
      <c r="FH39" s="22">
        <f t="shared" si="22"/>
        <v>372.64696596935863</v>
      </c>
      <c r="FI39" s="62">
        <f t="shared" si="23"/>
        <v>617.159384210393</v>
      </c>
      <c r="FJ39" s="62">
        <f ca="1">AVERAGE(OFFSET($FI$3,0,0,'Données projet'!$E$16+1,1))-AVERAGE(OFFSET($H$3,0,0,'Données projet'!$E$16+1,1))</f>
        <v>369.69145521630799</v>
      </c>
      <c r="FK39" s="62">
        <f t="shared" si="48"/>
        <v>360.24112103688719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>
        <f>EXP(-LN(2)/35)*FQ38+(1-EXP(-LN(2)/35))/(LN(2)/35)*FM39*FN39*VLOOKUP('Données projet'!$B$16,Paramètres!$A$1:$I$89,3,0)*0.475*44/12</f>
        <v>0</v>
      </c>
      <c r="FR39" s="23">
        <f>EXP(-LN(2)/25)*FR38+(1-EXP(-LN(2)/25))/(LN(2)/25)*Calculateur!FM39*Calculateur!FO39*VLOOKUP('Données projet'!$B$16,Paramètres!$A$1:$I$89,3,0)*0.475*44/12</f>
        <v>0</v>
      </c>
      <c r="FS39" s="23">
        <f>EXP(-LN(2)/2)*FS38+(1-EXP(-LN(2)/2))/(LN(2)/2)*FM39*FP39*VLOOKUP('Données projet'!$B$16,Paramètres!$A$1:$I$89,3,0)*0.475*44/12</f>
        <v>0</v>
      </c>
      <c r="FT39" s="24">
        <f t="shared" si="24"/>
        <v>0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11.5</v>
      </c>
      <c r="FZ39" s="13">
        <f>IF('Données projet'!$A$244&gt;35,FZ38+FY39-GH38,IF(A39&lt;'Données projet'!$A$244,$FW$205^A39,IF(A39='Données projet'!$A$244,'Données projet'!$B$244,FZ38+FY39-GH38)))</f>
        <v>176.49999999999994</v>
      </c>
      <c r="GA39" s="18">
        <f>FZ39*VLOOKUP('Données projet'!$B$17,Paramètres!$A$1:$I$89,3,0)*VLOOKUP('Données projet'!$B$17,Paramètres!$A$1:$I$89,5,0)</f>
        <v>189.98459999999994</v>
      </c>
      <c r="GB39" s="14">
        <f t="shared" si="49"/>
        <v>47.536548113819066</v>
      </c>
      <c r="GC39" s="22">
        <f t="shared" si="25"/>
        <v>413.68266629823478</v>
      </c>
      <c r="GD39" s="62">
        <f t="shared" si="26"/>
        <v>658.19508453926915</v>
      </c>
      <c r="GE39" s="62">
        <f ca="1">AVERAGE(OFFSET($GD$3,0,0,'Données projet'!$E$17+1,1))-AVERAGE(OFFSET($H$3,0,0,'Données projet'!$E$17+1,1))</f>
        <v>405.06394904053946</v>
      </c>
      <c r="GF39" s="62">
        <f t="shared" si="50"/>
        <v>393.75247087518198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>
        <f>EXP(-LN(2)/35)*GL38+(1-EXP(-LN(2)/35))/(LN(2)/35)*GH39*GI39*VLOOKUP('Données projet'!$B$17,Paramètres!$A$1:$I$89,3,0)*0.475*44/12</f>
        <v>0</v>
      </c>
      <c r="GM39" s="23">
        <f>EXP(-LN(2)/25)*GM38+(1-EXP(-LN(2)/25))/(LN(2)/25)*Calculateur!GH39*Calculateur!GJ39*VLOOKUP('Données projet'!$B$17,Paramètres!$A$1:$I$89,3,0)*0.475*44/12</f>
        <v>0</v>
      </c>
      <c r="GN39" s="23">
        <f>EXP(-LN(2)/2)*GN38+(1-EXP(-LN(2)/2))/(LN(2)/2)*GH39*GK39*VLOOKUP('Données projet'!$B$17,Paramètres!$A$1:$I$89,3,0)*0.475*44/12</f>
        <v>0</v>
      </c>
      <c r="GO39" s="23">
        <f t="shared" si="27"/>
        <v>0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11.5</v>
      </c>
      <c r="GU39" s="13">
        <f>IF('Données projet'!$A$270&gt;35,GU38+GT39-HC38,IF(A39&lt;'Données projet'!$A$270,$GR$205^A39,IF(A39='Données projet'!$A$270,'Données projet'!$B$270,GU38+GT39-HC38)))</f>
        <v>176.49999999999994</v>
      </c>
      <c r="GV39" s="18">
        <f>GU39*VLOOKUP('Données projet'!$B$18,Paramètres!$A$1:$I$89,3,0)*VLOOKUP('Données projet'!$B$18,Paramètres!$A$1:$I$89,5,0)</f>
        <v>118.39619999999995</v>
      </c>
      <c r="GW39" s="14">
        <f t="shared" si="51"/>
        <v>31.300646864120012</v>
      </c>
      <c r="GX39" s="22">
        <f t="shared" si="28"/>
        <v>260.72200828834224</v>
      </c>
      <c r="GY39" s="62">
        <f t="shared" si="29"/>
        <v>505.23442652937666</v>
      </c>
      <c r="GZ39" s="62">
        <f ca="1">AVERAGE(OFFSET($GY$3,0,0,'Données projet'!$E$18+1,1))-AVERAGE(OFFSET($H$3,0,0,'Données projet'!$E$18+1,1))</f>
        <v>273.21861937609918</v>
      </c>
      <c r="HA39" s="62">
        <f t="shared" si="52"/>
        <v>268.83004886965318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>
        <f>EXP(-LN(2)/35)*HG38+(1-EXP(-LN(2)/35))/(LN(2)/35)*HC39*HD39*VLOOKUP('Données projet'!$B$18,Paramètres!$A$1:$I$89,3,0)*0.475*44/12</f>
        <v>0</v>
      </c>
      <c r="HH39" s="23">
        <f>EXP(-LN(2)/25)*HH38+(1-EXP(-LN(2)/25))/(LN(2)/25)*Calculateur!HC39*Calculateur!HE39*VLOOKUP('Données projet'!$B$18,Paramètres!$A$1:$I$89,3,0)*0.475*44/12</f>
        <v>0</v>
      </c>
      <c r="HI39" s="23">
        <f>EXP(-LN(2)/2)*HI38+(1-EXP(-LN(2)/2))/(LN(2)/2)*HC39*HF39*VLOOKUP('Données projet'!$B$18,Paramètres!$A$1:$I$89,3,0)*0.475*44/12</f>
        <v>0</v>
      </c>
      <c r="HJ39" s="24">
        <f t="shared" si="30"/>
        <v>0</v>
      </c>
    </row>
    <row r="40" spans="1:218" s="5" customFormat="1" x14ac:dyDescent="0.4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2.4423076923076925</v>
      </c>
      <c r="N40" s="14">
        <f>IF('Données projet'!$A$36&gt;35,N39+M40-V39,IF(A40&lt;'Données projet'!$A$36,$K$205^A40,IF(A40='Données projet'!$A$36,'Données projet'!$B$36,N39+M40-V39)))</f>
        <v>90.365384615384642</v>
      </c>
      <c r="O40" s="14">
        <f>N40*VLOOKUP('Données projet'!$B$9,Paramètres!$A$1:$I$89,3,0)*VLOOKUP('Données projet'!$B$9,Paramètres!$A$1:$I$89,5,0)</f>
        <v>81.76260000000002</v>
      </c>
      <c r="P40" s="14">
        <f t="shared" si="33"/>
        <v>22.567600848174017</v>
      </c>
      <c r="Q40" s="22">
        <f t="shared" si="53"/>
        <v>181.70843314390311</v>
      </c>
      <c r="R40" s="62">
        <f t="shared" si="0"/>
        <v>427.06778511457424</v>
      </c>
      <c r="S40" s="62">
        <f ca="1">AVERAGE(OFFSET($R$3,0,0,'Données projet'!$E$9+1,1))-AVERAGE(OFFSET($H$3,0,0,'Données projet'!$E$9+1,1))</f>
        <v>432.80275651765203</v>
      </c>
      <c r="T40" s="62">
        <f t="shared" si="34"/>
        <v>203.89279893419919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0</v>
      </c>
      <c r="AA40" s="23">
        <f>EXP(-LN(2)/25)*AA39+(1-EXP(-LN(2)/25))/(LN(2)/25)*Calculateur!V40*Calculateur!X40*VLOOKUP('Données projet'!$B$9,Paramètres!$A$1:$I$89,3,0)*0.475*44/12</f>
        <v>0</v>
      </c>
      <c r="AB40" s="23">
        <f>EXP(-LN(2)/2)*AB39+(1-EXP(-LN(2)/2))/(LN(2)/2)*V40*Y40*VLOOKUP('Données projet'!$B$9,Paramètres!$A$1:$I$89,3,0)*0.475*44/12</f>
        <v>0</v>
      </c>
      <c r="AC40" s="24">
        <f t="shared" si="3"/>
        <v>0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22</v>
      </c>
      <c r="AI40" s="14">
        <f>IF('Données projet'!$A$62&gt;35,AI39+AH40-AQ39,IF(A40&lt;'Données projet'!$A$62,$AF$205^A40,IF(A40='Données projet'!$A$62,'Données projet'!$B$62,AI39+AH40-AQ39)))</f>
        <v>542.00000000000023</v>
      </c>
      <c r="AJ40" s="14">
        <f>AI40*VLOOKUP('Données projet'!$B$10,Paramètres!$A$1:$I$89,3,0)*VLOOKUP('Données projet'!$B$10,Paramètres!$A$1:$I$89,5,0)</f>
        <v>239.56400000000011</v>
      </c>
      <c r="AK40" s="14">
        <f t="shared" si="35"/>
        <v>58.345713033306502</v>
      </c>
      <c r="AL40" s="22">
        <f t="shared" si="4"/>
        <v>518.85941686634226</v>
      </c>
      <c r="AM40" s="62">
        <f t="shared" si="5"/>
        <v>764.21876883701339</v>
      </c>
      <c r="AN40" s="62">
        <f ca="1">AVERAGE(OFFSET($AM$3,0,0,'Données projet'!$E$10+1,1))-AVERAGE(OFFSET($H$3,0,0,'Données projet'!$E$10+1,1))</f>
        <v>413.08876898406481</v>
      </c>
      <c r="AO40" s="62">
        <f t="shared" si="36"/>
        <v>520.31320932826566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0</v>
      </c>
      <c r="AV40" s="23">
        <f>EXP(-LN(2)/25)*AV39+(1-EXP(-LN(2)/25))/(LN(2)/25)*Calculateur!AQ40*Calculateur!AS40*VLOOKUP('Données projet'!$B$10,Paramètres!$A$1:$I$89,3,0)*0.475*44/12</f>
        <v>18.036139660473001</v>
      </c>
      <c r="AW40" s="23">
        <f>EXP(-LN(2)/2)*AW39+(1-EXP(-LN(2)/2))/(LN(2)/2)*AQ40*AT40*VLOOKUP('Données projet'!$B$10,Paramètres!$A$1:$I$89,3,0)*0.475*44/12</f>
        <v>0</v>
      </c>
      <c r="AX40" s="23">
        <f t="shared" si="6"/>
        <v>18.036139660473001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22</v>
      </c>
      <c r="BD40" s="13">
        <f>IF('Données projet'!$A$88&gt;35,BD39+BC40-BL39,IF(A40&lt;'Données projet'!$A$88,$BA$205^A40,IF(A40='Données projet'!$A$88,'Données projet'!$B$88,BD39+BC40-BL39)))</f>
        <v>542.00000000000023</v>
      </c>
      <c r="BE40" s="14">
        <f>BD40*VLOOKUP('Données projet'!$B$11,Paramètres!$A$1:$I$89,3,0)*VLOOKUP('Données projet'!$B$11,Paramètres!$A$1:$I$89,5,0)</f>
        <v>302.97800000000012</v>
      </c>
      <c r="BF40" s="14">
        <f t="shared" si="37"/>
        <v>71.800407307414275</v>
      </c>
      <c r="BG40" s="22">
        <f t="shared" si="7"/>
        <v>652.73905939374674</v>
      </c>
      <c r="BH40" s="62">
        <f t="shared" si="8"/>
        <v>898.09841136441787</v>
      </c>
      <c r="BI40" s="62">
        <f ca="1">AVERAGE(OFFSET($BH$3,0,0,'Données projet'!$E$11+1,1))-AVERAGE(OFFSET($H$3,0,0,'Données projet'!$E$11+1,1))</f>
        <v>507.66185230065889</v>
      </c>
      <c r="BJ40" s="62">
        <f t="shared" si="38"/>
        <v>640.14375617778342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22.810411923539384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22.810411923539384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7.8773148160000019</v>
      </c>
      <c r="BY40" s="13">
        <f>IF('Données projet'!$A$114&gt;35,BY39+BX40-CG39,IF(A40&lt;'Données projet'!$A$114,$BV$205^A40,IF(A40='Données projet'!$A$114,'Données projet'!$B$114,BY39+BX40-CG39)))</f>
        <v>162.36342595199997</v>
      </c>
      <c r="BZ40" s="14">
        <f>BY40*VLOOKUP('Données projet'!$B$12,Paramètres!$A$1:$I$89,3,0)*VLOOKUP('Données projet'!$B$12,Paramètres!$A$1:$I$89,5,0)</f>
        <v>75.986083345535988</v>
      </c>
      <c r="CA40" s="14">
        <f t="shared" si="39"/>
        <v>21.152839784332354</v>
      </c>
      <c r="CB40" s="22">
        <f t="shared" si="10"/>
        <v>169.18362445118737</v>
      </c>
      <c r="CC40" s="62">
        <f t="shared" si="11"/>
        <v>414.5429764218585</v>
      </c>
      <c r="CD40" s="62">
        <f ca="1">AVERAGE(OFFSET($CC$3,0,0,'Données projet'!$E$12+1,1))-AVERAGE(OFFSET($H$3,0,0,'Données projet'!$E$12+1,1))</f>
        <v>289.21044803824958</v>
      </c>
      <c r="CE40" s="62">
        <f t="shared" si="40"/>
        <v>196.11836398299445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>
        <f>EXP(-LN(2)/35)*CK39+(1-EXP(-LN(2)/35))/(LN(2)/35)*CG40*CH40*VLOOKUP('Données projet'!$B$12,Paramètres!$A$1:$I$89,3,0)*0.475*44/12</f>
        <v>0</v>
      </c>
      <c r="CL40" s="23">
        <f>EXP(-LN(2)/25)*CL39+(1-EXP(-LN(2)/25))/(LN(2)/25)*Calculateur!CG40*Calculateur!CI40*VLOOKUP('Données projet'!$B$12,Paramètres!$A$1:$I$89,3,0)*0.475*44/12</f>
        <v>3.7543085203287991</v>
      </c>
      <c r="CM40" s="23">
        <f>EXP(-LN(2)/2)*CM39+(1-EXP(-LN(2)/2))/(LN(2)/2)*CG40*CJ40*VLOOKUP('Données projet'!$B$12,Paramètres!$A$1:$I$89,3,0)*0.475*44/12</f>
        <v>0</v>
      </c>
      <c r="CN40" s="24">
        <f t="shared" si="12"/>
        <v>3.7543085203287991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6.2</v>
      </c>
      <c r="CT40" s="13">
        <f>IF('Données projet'!$A$140&gt;35,CT39+CS40-DB39,IF(A40&lt;'Données projet'!$A$140,$CQ$205^A40,IF(A40='Données projet'!$A$140,'Données projet'!$B$140,CT39+CS40-DB39)))</f>
        <v>270.39999999999998</v>
      </c>
      <c r="CU40" s="18">
        <f>CT40*VLOOKUP('Données projet'!$B$13,Paramètres!$A$1:$I$89,3,0)*VLOOKUP('Données projet'!$B$13,Paramètres!$A$1:$I$89,5,0)</f>
        <v>244.65791999999996</v>
      </c>
      <c r="CV40" s="14">
        <f t="shared" si="41"/>
        <v>59.44058075210868</v>
      </c>
      <c r="CW40" s="22">
        <f t="shared" si="13"/>
        <v>529.6382221432558</v>
      </c>
      <c r="CX40" s="62">
        <f t="shared" si="14"/>
        <v>774.99757411392693</v>
      </c>
      <c r="CY40" s="62">
        <f ca="1">AVERAGE(OFFSET($CX$3,0,0,'Données projet'!$E$13+1,1))-AVERAGE(OFFSET($H$3,0,0,'Données projet'!$E$13+1,1))</f>
        <v>376.68007030857598</v>
      </c>
      <c r="CZ40" s="62">
        <f t="shared" si="42"/>
        <v>532.90758914457626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>
        <f>EXP(-LN(2)/35)*DF39+(1-EXP(-LN(2)/35))/(LN(2)/35)*DB40*DC40*VLOOKUP('Données projet'!$B$13,Paramètres!$A$1:$I$89,3,0)*0.475*44/12</f>
        <v>0</v>
      </c>
      <c r="DG40" s="23">
        <f>EXP(-LN(2)/25)*DG39+(1-EXP(-LN(2)/25))/(LN(2)/25)*Calculateur!DB40*Calculateur!DD40*VLOOKUP('Données projet'!$B$13,Paramètres!$A$1:$I$89,3,0)*0.475*44/12</f>
        <v>9.6524099379479917</v>
      </c>
      <c r="DH40" s="23">
        <f>EXP(-LN(2)/2)*DH39+(1-EXP(-LN(2)/2))/(LN(2)/2)*DB40*DE40*VLOOKUP('Données projet'!$B$13,Paramètres!$A$1:$I$89,3,0)*0.475*44/12</f>
        <v>0</v>
      </c>
      <c r="DI40" s="24">
        <f t="shared" si="15"/>
        <v>9.6524099379479917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>
        <f>VLOOKUP(A40,'Données projet'!$A$165:$I$185,2,0)</f>
        <v>188</v>
      </c>
      <c r="DM40" s="13">
        <f>VLOOKUP(A40,'Données projet'!$A$165:$I$185,9,0)</f>
        <v>11.5</v>
      </c>
      <c r="DN40" s="13">
        <f t="array" ref="DN40">INDEX(DM:DM,MIN(IF(ISNUMBER(DM40:DM236),ROW(DM40:DM236),"")))</f>
        <v>11.5</v>
      </c>
      <c r="DO40" s="13">
        <f>IF('Données projet'!$A$166&gt;35,DO39+DN40-DW39,IF(A40&lt;'Données projet'!$A$166,$DL$205^A40,IF(A40='Données projet'!$A$166,'Données projet'!$B$166,DO39+DN40-DW39)))</f>
        <v>187.99999999999994</v>
      </c>
      <c r="DP40" s="18">
        <f>DO40*VLOOKUP('Données projet'!$B$14,Paramètres!$A$1:$I$89,3,0)*VLOOKUP('Données projet'!$B$14,Paramètres!$A$1:$I$89,5,0)</f>
        <v>178.90079999999995</v>
      </c>
      <c r="DQ40" s="14">
        <f t="shared" si="43"/>
        <v>45.077547304318614</v>
      </c>
      <c r="DR40" s="22">
        <f t="shared" si="16"/>
        <v>390.09562155502141</v>
      </c>
      <c r="DS40" s="62">
        <f t="shared" si="17"/>
        <v>635.45497352569248</v>
      </c>
      <c r="DT40" s="62">
        <f ca="1">AVERAGE(OFFSET($DS$3,0,0,'Données projet'!$E$14+1,1))-AVERAGE(OFFSET($H$3,0,0,'Données projet'!$E$14+1,1))</f>
        <v>364.63161066507769</v>
      </c>
      <c r="DU40" s="62">
        <f t="shared" si="44"/>
        <v>355.44729904860708</v>
      </c>
      <c r="DV40" s="16">
        <f>IF(ISNA(VLOOKUP(A40,'Données projet'!$A$165:$I$185,3,0)),0,VLOOKUP(A40,'Données projet'!$A$165:$I$185,3,0))</f>
        <v>5</v>
      </c>
      <c r="DW40" s="16">
        <f>IF(ISNA(VLOOKUP(A40,'Données projet'!$A$165:$I$185,4,0)),0,VLOOKUP(A40,'Données projet'!$A$165:$I$185,4,0))</f>
        <v>36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>
        <f>EXP(-LN(2)/35)*EA39+(1-EXP(-LN(2)/35))/(LN(2)/35)*DW40*DX40*VLOOKUP('Données projet'!$B$14,Paramètres!$A$1:$I$89,3,0)*0.475*44/12</f>
        <v>0</v>
      </c>
      <c r="EB40" s="23">
        <f>EXP(-LN(2)/25)*EB39+(1-EXP(-LN(2)/25))/(LN(2)/25)*Calculateur!DW40*Calculateur!DY40*VLOOKUP('Données projet'!$B$14,Paramètres!$A$1:$I$89,3,0)*0.475*44/12</f>
        <v>0</v>
      </c>
      <c r="EC40" s="23">
        <f>EXP(-LN(2)/2)*EC39+(1-EXP(-LN(2)/2))/(LN(2)/2)*DW40*DZ40*VLOOKUP('Données projet'!$B$14,Paramètres!$A$1:$I$89,3,0)*0.475*44/12</f>
        <v>0</v>
      </c>
      <c r="ED40" s="24">
        <f t="shared" si="18"/>
        <v>0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>
        <f>VLOOKUP(A40,'Données projet'!$A$191:$I$211,2,0)</f>
        <v>188</v>
      </c>
      <c r="EH40" s="13">
        <f>VLOOKUP(A40,'Données projet'!$A$191:$I$211,9,0)</f>
        <v>11.5</v>
      </c>
      <c r="EI40" s="13">
        <f t="array" ref="EI40">INDEX(EH:EH,MIN(IF(ISNUMBER(EH40:EH236),ROW(EH40:EH236),"")))</f>
        <v>11.5</v>
      </c>
      <c r="EJ40" s="13">
        <f>IF('Données projet'!$A$192&gt;35,EJ39+EI40-ER39,IF(A40&lt;'Données projet'!$A$192,$EG$205^A40,IF(A40='Données projet'!$A$192,'Données projet'!$B$192,EJ39+EI40-ER39)))</f>
        <v>187.99999999999994</v>
      </c>
      <c r="EK40" s="18">
        <f>EJ40*VLOOKUP('Données projet'!$B$15,Paramètres!$A$1:$I$89,3,0)*VLOOKUP('Données projet'!$B$15,Paramètres!$A$1:$I$89,5,0)</f>
        <v>137.84159999999997</v>
      </c>
      <c r="EL40" s="14">
        <f t="shared" si="45"/>
        <v>35.802100130711302</v>
      </c>
      <c r="EM40" s="22">
        <f t="shared" si="19"/>
        <v>302.4294443943221</v>
      </c>
      <c r="EN40" s="62">
        <f t="shared" si="20"/>
        <v>547.78879636499323</v>
      </c>
      <c r="EO40" s="62">
        <f ca="1">AVERAGE(OFFSET($EN$3,0,0,'Données projet'!$E$15+1,1))-AVERAGE(OFFSET($H$3,0,0,'Données projet'!$E$15+1,1))</f>
        <v>293.59366973965774</v>
      </c>
      <c r="EP40" s="62">
        <f t="shared" si="46"/>
        <v>288.13804536120426</v>
      </c>
      <c r="EQ40" s="16">
        <f>IF(ISNA(VLOOKUP(A40,'Données projet'!$A$191:$I$211,3,0)),0,VLOOKUP(A40,'Données projet'!$A$191:$I$211,3,0))</f>
        <v>5</v>
      </c>
      <c r="ER40" s="16">
        <f>IF(ISNA(VLOOKUP(A40,'Données projet'!$A$191:$I$211,4,0)),0,VLOOKUP(A40,'Données projet'!$A$191:$I$211,4,0))</f>
        <v>36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>
        <f>EXP(-LN(2)/35)*EV39+(1-EXP(-LN(2)/35))/(LN(2)/35)*ER40*ES40*VLOOKUP('Données projet'!$B$15,Paramètres!$A$1:$I$89,3,0)*0.475*44/12</f>
        <v>0</v>
      </c>
      <c r="EW40" s="23">
        <f>EXP(-LN(2)/25)*EW39+(1-EXP(-LN(2)/25))/(LN(2)/25)*Calculateur!ER40*Calculateur!ET40*VLOOKUP('Données projet'!$B$15,Paramètres!$A$1:$I$89,3,0)*0.475*44/12</f>
        <v>0</v>
      </c>
      <c r="EX40" s="23">
        <f>EXP(-LN(2)/2)*EX39+(1-EXP(-LN(2)/2))/(LN(2)/2)*ER40*EU40*VLOOKUP('Données projet'!$B$15,Paramètres!$A$1:$I$89,3,0)*0.475*44/12</f>
        <v>0</v>
      </c>
      <c r="EY40" s="24">
        <f t="shared" si="21"/>
        <v>0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>
        <f>VLOOKUP(A40,'Données projet'!$A$217:$I$237,2,0)</f>
        <v>188</v>
      </c>
      <c r="FC40" s="13">
        <f>VLOOKUP(A40,'Données projet'!$A$217:$I$237,9,0)</f>
        <v>11.5</v>
      </c>
      <c r="FD40" s="13">
        <f t="array" ref="FD40">INDEX(FC:FC,MIN(IF(ISNUMBER(FC40:FC236),ROW(FC40:FC236),"")))</f>
        <v>11.5</v>
      </c>
      <c r="FE40" s="13">
        <f>IF('Données projet'!$A$218&gt;35,FE39+FD40-FM39,IF(A40&lt;'Données projet'!$A$218,$FB$205^A40,IF(A40='Données projet'!$A$218,'Données projet'!$B$218,FE39+FD40-FM39)))</f>
        <v>187.99999999999994</v>
      </c>
      <c r="FF40" s="18">
        <f>FE40*VLOOKUP('Données projet'!$B$16,Paramètres!$A$1:$I$89,3,0)*VLOOKUP('Données projet'!$B$16,Paramètres!$A$1:$I$89,5,0)</f>
        <v>181.83359999999993</v>
      </c>
      <c r="FG40" s="14">
        <f t="shared" si="47"/>
        <v>45.729887442143784</v>
      </c>
      <c r="FH40" s="22">
        <f t="shared" si="22"/>
        <v>396.33974062840031</v>
      </c>
      <c r="FI40" s="62">
        <f t="shared" si="23"/>
        <v>641.69909259907138</v>
      </c>
      <c r="FJ40" s="62">
        <f ca="1">AVERAGE(OFFSET($FI$3,0,0,'Données projet'!$E$16+1,1))-AVERAGE(OFFSET($H$3,0,0,'Données projet'!$E$16+1,1))</f>
        <v>369.69145521630799</v>
      </c>
      <c r="FK40" s="62">
        <f t="shared" si="48"/>
        <v>360.24112103688719</v>
      </c>
      <c r="FL40" s="16">
        <f>IF(ISNA(VLOOKUP(A40,'Données projet'!$A$217:$I$237,3,0)),0,VLOOKUP(A40,'Données projet'!$A$217:$I$237,3,0))</f>
        <v>5</v>
      </c>
      <c r="FM40" s="16">
        <f>IF(ISNA(VLOOKUP(A40,'Données projet'!$A$217:$I$237,4,0)),0,VLOOKUP(A40,'Données projet'!$A$217:$I$237,4,0))</f>
        <v>36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>
        <f>EXP(-LN(2)/35)*FQ39+(1-EXP(-LN(2)/35))/(LN(2)/35)*FM40*FN40*VLOOKUP('Données projet'!$B$16,Paramètres!$A$1:$I$89,3,0)*0.475*44/12</f>
        <v>0</v>
      </c>
      <c r="FR40" s="23">
        <f>EXP(-LN(2)/25)*FR39+(1-EXP(-LN(2)/25))/(LN(2)/25)*Calculateur!FM40*Calculateur!FO40*VLOOKUP('Données projet'!$B$16,Paramètres!$A$1:$I$89,3,0)*0.475*44/12</f>
        <v>0</v>
      </c>
      <c r="FS40" s="23">
        <f>EXP(-LN(2)/2)*FS39+(1-EXP(-LN(2)/2))/(LN(2)/2)*FM40*FP40*VLOOKUP('Données projet'!$B$16,Paramètres!$A$1:$I$89,3,0)*0.475*44/12</f>
        <v>0</v>
      </c>
      <c r="FT40" s="24">
        <f t="shared" si="24"/>
        <v>0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>
        <f>VLOOKUP(A40,'Données projet'!$A$243:$I$263,2,0)</f>
        <v>188</v>
      </c>
      <c r="FX40" s="13">
        <f>VLOOKUP(A40,'Données projet'!$A$243:$I$263,9,0)</f>
        <v>11.5</v>
      </c>
      <c r="FY40" s="13">
        <f t="array" ref="FY40">INDEX(FX:FX,MIN(IF(ISNUMBER(FX40:FX236),ROW(FX40:FX236),"")))</f>
        <v>11.5</v>
      </c>
      <c r="FZ40" s="13">
        <f>IF('Données projet'!$A$244&gt;35,FZ39+FY40-GH39,IF(A40&lt;'Données projet'!$A$244,$FW$205^A40,IF(A40='Données projet'!$A$244,'Données projet'!$B$244,FZ39+FY40-GH39)))</f>
        <v>187.99999999999994</v>
      </c>
      <c r="GA40" s="18">
        <f>FZ40*VLOOKUP('Données projet'!$B$17,Paramètres!$A$1:$I$89,3,0)*VLOOKUP('Données projet'!$B$17,Paramètres!$A$1:$I$89,5,0)</f>
        <v>202.36319999999992</v>
      </c>
      <c r="GB40" s="14">
        <f t="shared" si="49"/>
        <v>50.263171959975132</v>
      </c>
      <c r="GC40" s="22">
        <f t="shared" si="25"/>
        <v>439.9909311636232</v>
      </c>
      <c r="GD40" s="62">
        <f t="shared" si="26"/>
        <v>685.35028313429427</v>
      </c>
      <c r="GE40" s="62">
        <f ca="1">AVERAGE(OFFSET($GD$3,0,0,'Données projet'!$E$17+1,1))-AVERAGE(OFFSET($H$3,0,0,'Données projet'!$E$17+1,1))</f>
        <v>405.06394904053946</v>
      </c>
      <c r="GF40" s="62">
        <f t="shared" si="50"/>
        <v>393.75247087518198</v>
      </c>
      <c r="GG40" s="16">
        <f>IF(ISNA(VLOOKUP(A40,'Données projet'!$A$243:$I$263,3,0)),0,VLOOKUP(A40,'Données projet'!$A$243:$I$263,3,0))</f>
        <v>5</v>
      </c>
      <c r="GH40" s="16">
        <f>IF(ISNA(VLOOKUP(A40,'Données projet'!$A$243:$I$263,4,0)),0,VLOOKUP(A40,'Données projet'!$A$243:$I$263,4,0))</f>
        <v>36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>
        <f>EXP(-LN(2)/35)*GL39+(1-EXP(-LN(2)/35))/(LN(2)/35)*GH40*GI40*VLOOKUP('Données projet'!$B$17,Paramètres!$A$1:$I$89,3,0)*0.475*44/12</f>
        <v>0</v>
      </c>
      <c r="GM40" s="23">
        <f>EXP(-LN(2)/25)*GM39+(1-EXP(-LN(2)/25))/(LN(2)/25)*Calculateur!GH40*Calculateur!GJ40*VLOOKUP('Données projet'!$B$17,Paramètres!$A$1:$I$89,3,0)*0.475*44/12</f>
        <v>0</v>
      </c>
      <c r="GN40" s="23">
        <f>EXP(-LN(2)/2)*GN39+(1-EXP(-LN(2)/2))/(LN(2)/2)*GH40*GK40*VLOOKUP('Données projet'!$B$17,Paramètres!$A$1:$I$89,3,0)*0.475*44/12</f>
        <v>0</v>
      </c>
      <c r="GO40" s="23">
        <f t="shared" si="27"/>
        <v>0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>
        <f>VLOOKUP(A40,'Données projet'!$A$269:$I$289,2,0)</f>
        <v>188</v>
      </c>
      <c r="GS40" s="13">
        <f>VLOOKUP(A40,'Données projet'!$A$269:$I$289,9,0)</f>
        <v>11.5</v>
      </c>
      <c r="GT40" s="13">
        <f t="array" ref="GT40">INDEX(GS:GS,MIN(IF(ISNUMBER(GS40:GS236),ROW(GS40:GS236),"")))</f>
        <v>11.5</v>
      </c>
      <c r="GU40" s="13">
        <f>IF('Données projet'!$A$270&gt;35,GU39+GT40-HC39,IF(A40&lt;'Données projet'!$A$270,$GR$205^A40,IF(A40='Données projet'!$A$270,'Données projet'!$B$270,GU39+GT40-HC39)))</f>
        <v>187.99999999999994</v>
      </c>
      <c r="GV40" s="18">
        <f>GU40*VLOOKUP('Données projet'!$B$18,Paramètres!$A$1:$I$89,3,0)*VLOOKUP('Données projet'!$B$18,Paramètres!$A$1:$I$89,5,0)</f>
        <v>126.11039999999997</v>
      </c>
      <c r="GW40" s="14">
        <f t="shared" si="51"/>
        <v>33.096004194977844</v>
      </c>
      <c r="GX40" s="22">
        <f t="shared" si="28"/>
        <v>277.28448730625303</v>
      </c>
      <c r="GY40" s="62">
        <f t="shared" si="29"/>
        <v>522.64383927692415</v>
      </c>
      <c r="GZ40" s="62">
        <f ca="1">AVERAGE(OFFSET($GY$3,0,0,'Données projet'!$E$18+1,1))-AVERAGE(OFFSET($H$3,0,0,'Données projet'!$E$18+1,1))</f>
        <v>273.21861937609918</v>
      </c>
      <c r="HA40" s="62">
        <f t="shared" si="52"/>
        <v>268.83004886965318</v>
      </c>
      <c r="HB40" s="16">
        <f>IF(ISNA(VLOOKUP(A40,'Données projet'!$A$269:$I$289,3,0)),0,VLOOKUP(A40,'Données projet'!$A$269:$I$289,3,0))</f>
        <v>5</v>
      </c>
      <c r="HC40" s="16">
        <f>IF(ISNA(VLOOKUP(A40,'Données projet'!$A$269:$I$289,4,0)),0,VLOOKUP(A40,'Données projet'!$A$269:$I$289,4,0))</f>
        <v>36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>
        <f>EXP(-LN(2)/35)*HG39+(1-EXP(-LN(2)/35))/(LN(2)/35)*HC40*HD40*VLOOKUP('Données projet'!$B$18,Paramètres!$A$1:$I$89,3,0)*0.475*44/12</f>
        <v>0</v>
      </c>
      <c r="HH40" s="23">
        <f>EXP(-LN(2)/25)*HH39+(1-EXP(-LN(2)/25))/(LN(2)/25)*Calculateur!HC40*Calculateur!HE40*VLOOKUP('Données projet'!$B$18,Paramètres!$A$1:$I$89,3,0)*0.475*44/12</f>
        <v>0</v>
      </c>
      <c r="HI40" s="23">
        <f>EXP(-LN(2)/2)*HI39+(1-EXP(-LN(2)/2))/(LN(2)/2)*HC40*HF40*VLOOKUP('Données projet'!$B$18,Paramètres!$A$1:$I$89,3,0)*0.475*44/12</f>
        <v>0</v>
      </c>
      <c r="HJ40" s="24">
        <f t="shared" si="30"/>
        <v>0</v>
      </c>
    </row>
    <row r="41" spans="1:218" s="5" customFormat="1" x14ac:dyDescent="0.4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2.4423076923076925</v>
      </c>
      <c r="N41" s="14">
        <f>IF('Données projet'!$A$36&gt;35,N40+M41-V40,IF(A41&lt;'Données projet'!$A$36,$K$205^A41,IF(A41='Données projet'!$A$36,'Données projet'!$B$36,N40+M41-V40)))</f>
        <v>92.807692307692335</v>
      </c>
      <c r="O41" s="14">
        <f>N41*VLOOKUP('Données projet'!$B$9,Paramètres!$A$1:$I$89,3,0)*VLOOKUP('Données projet'!$B$9,Paramètres!$A$1:$I$89,5,0)</f>
        <v>83.972400000000022</v>
      </c>
      <c r="P41" s="14">
        <f t="shared" si="33"/>
        <v>23.105700224146609</v>
      </c>
      <c r="Q41" s="22">
        <f t="shared" si="53"/>
        <v>186.49435789038873</v>
      </c>
      <c r="R41" s="62">
        <f t="shared" si="0"/>
        <v>432.68595118394745</v>
      </c>
      <c r="S41" s="62">
        <f ca="1">AVERAGE(OFFSET($R$3,0,0,'Données projet'!$E$9+1,1))-AVERAGE(OFFSET($H$3,0,0,'Données projet'!$E$9+1,1))</f>
        <v>432.80275651765203</v>
      </c>
      <c r="T41" s="62">
        <f t="shared" si="34"/>
        <v>203.89279893419919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0</v>
      </c>
      <c r="AA41" s="23">
        <f>EXP(-LN(2)/25)*AA40+(1-EXP(-LN(2)/25))/(LN(2)/25)*Calculateur!V41*Calculateur!X41*VLOOKUP('Données projet'!$B$9,Paramètres!$A$1:$I$89,3,0)*0.475*44/12</f>
        <v>0</v>
      </c>
      <c r="AB41" s="23">
        <f>EXP(-LN(2)/2)*AB40+(1-EXP(-LN(2)/2))/(LN(2)/2)*V41*Y41*VLOOKUP('Données projet'!$B$9,Paramètres!$A$1:$I$89,3,0)*0.475*44/12</f>
        <v>0</v>
      </c>
      <c r="AC41" s="24">
        <f t="shared" si="3"/>
        <v>0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22</v>
      </c>
      <c r="AI41" s="14">
        <f>IF('Données projet'!$A$62&gt;35,AI40+AH41-AQ40,IF(A41&lt;'Données projet'!$A$62,$AF$205^A41,IF(A41='Données projet'!$A$62,'Données projet'!$B$62,AI40+AH41-AQ40)))</f>
        <v>564.00000000000023</v>
      </c>
      <c r="AJ41" s="14">
        <f>AI41*VLOOKUP('Données projet'!$B$10,Paramètres!$A$1:$I$89,3,0)*VLOOKUP('Données projet'!$B$10,Paramètres!$A$1:$I$89,5,0)</f>
        <v>249.28800000000015</v>
      </c>
      <c r="AK41" s="14">
        <f t="shared" si="35"/>
        <v>60.433451470113802</v>
      </c>
      <c r="AL41" s="22">
        <f t="shared" si="4"/>
        <v>539.43152797711502</v>
      </c>
      <c r="AM41" s="62">
        <f t="shared" si="5"/>
        <v>785.62312127067378</v>
      </c>
      <c r="AN41" s="62">
        <f ca="1">AVERAGE(OFFSET($AM$3,0,0,'Données projet'!$E$10+1,1))-AVERAGE(OFFSET($H$3,0,0,'Données projet'!$E$10+1,1))</f>
        <v>413.08876898406481</v>
      </c>
      <c r="AO41" s="62">
        <f t="shared" si="36"/>
        <v>520.31320932826566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0</v>
      </c>
      <c r="AV41" s="23">
        <f>EXP(-LN(2)/25)*AV40+(1-EXP(-LN(2)/25))/(LN(2)/25)*Calculateur!AQ41*Calculateur!AS41*VLOOKUP('Données projet'!$B$10,Paramètres!$A$1:$I$89,3,0)*0.475*44/12</f>
        <v>17.542940472978003</v>
      </c>
      <c r="AW41" s="23">
        <f>EXP(-LN(2)/2)*AW40+(1-EXP(-LN(2)/2))/(LN(2)/2)*AQ41*AT41*VLOOKUP('Données projet'!$B$10,Paramètres!$A$1:$I$89,3,0)*0.475*44/12</f>
        <v>0</v>
      </c>
      <c r="AX41" s="23">
        <f t="shared" si="6"/>
        <v>17.542940472978003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22</v>
      </c>
      <c r="BD41" s="13">
        <f>IF('Données projet'!$A$88&gt;35,BD40+BC41-BL40,IF(A41&lt;'Données projet'!$A$88,$BA$205^A41,IF(A41='Données projet'!$A$88,'Données projet'!$B$88,BD40+BC41-BL40)))</f>
        <v>564.00000000000023</v>
      </c>
      <c r="BE41" s="14">
        <f>BD41*VLOOKUP('Données projet'!$B$11,Paramètres!$A$1:$I$89,3,0)*VLOOKUP('Données projet'!$B$11,Paramètres!$A$1:$I$89,5,0)</f>
        <v>315.27600000000012</v>
      </c>
      <c r="BF41" s="14">
        <f t="shared" si="37"/>
        <v>74.36958441265493</v>
      </c>
      <c r="BG41" s="22">
        <f t="shared" si="7"/>
        <v>678.63272618537417</v>
      </c>
      <c r="BH41" s="62">
        <f t="shared" si="8"/>
        <v>924.82431947893292</v>
      </c>
      <c r="BI41" s="62">
        <f ca="1">AVERAGE(OFFSET($BH$3,0,0,'Données projet'!$E$11+1,1))-AVERAGE(OFFSET($H$3,0,0,'Données projet'!$E$11+1,1))</f>
        <v>507.66185230065889</v>
      </c>
      <c r="BJ41" s="62">
        <f t="shared" si="38"/>
        <v>640.14375617778342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22.18666000994277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22.18666000994277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7.8773148160000019</v>
      </c>
      <c r="BY41" s="13">
        <f>IF('Données projet'!$A$114&gt;35,BY40+BX41-CG40,IF(A41&lt;'Données projet'!$A$114,$BV$205^A41,IF(A41='Données projet'!$A$114,'Données projet'!$B$114,BY40+BX41-CG40)))</f>
        <v>170.24074076799997</v>
      </c>
      <c r="BZ41" s="14">
        <f>BY41*VLOOKUP('Données projet'!$B$12,Paramètres!$A$1:$I$89,3,0)*VLOOKUP('Données projet'!$B$12,Paramètres!$A$1:$I$89,5,0)</f>
        <v>79.672666679423983</v>
      </c>
      <c r="CA41" s="14">
        <f t="shared" si="39"/>
        <v>22.057130341927039</v>
      </c>
      <c r="CB41" s="22">
        <f t="shared" si="10"/>
        <v>177.17939647885302</v>
      </c>
      <c r="CC41" s="62">
        <f t="shared" si="11"/>
        <v>423.37098977241175</v>
      </c>
      <c r="CD41" s="62">
        <f ca="1">AVERAGE(OFFSET($CC$3,0,0,'Données projet'!$E$12+1,1))-AVERAGE(OFFSET($H$3,0,0,'Données projet'!$E$12+1,1))</f>
        <v>289.21044803824958</v>
      </c>
      <c r="CE41" s="62">
        <f t="shared" si="40"/>
        <v>196.11836398299445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>
        <f>EXP(-LN(2)/35)*CK40+(1-EXP(-LN(2)/35))/(LN(2)/35)*CG41*CH41*VLOOKUP('Données projet'!$B$12,Paramètres!$A$1:$I$89,3,0)*0.475*44/12</f>
        <v>0</v>
      </c>
      <c r="CL41" s="23">
        <f>EXP(-LN(2)/25)*CL40+(1-EXP(-LN(2)/25))/(LN(2)/25)*Calculateur!CG41*Calculateur!CI41*VLOOKUP('Données projet'!$B$12,Paramètres!$A$1:$I$89,3,0)*0.475*44/12</f>
        <v>3.6516467564099035</v>
      </c>
      <c r="CM41" s="23">
        <f>EXP(-LN(2)/2)*CM40+(1-EXP(-LN(2)/2))/(LN(2)/2)*CG41*CJ41*VLOOKUP('Données projet'!$B$12,Paramètres!$A$1:$I$89,3,0)*0.475*44/12</f>
        <v>0</v>
      </c>
      <c r="CN41" s="24">
        <f t="shared" si="12"/>
        <v>3.6516467564099035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6.2</v>
      </c>
      <c r="CT41" s="13">
        <f>IF('Données projet'!$A$140&gt;35,CT40+CS41-DB40,IF(A41&lt;'Données projet'!$A$140,$CQ$205^A41,IF(A41='Données projet'!$A$140,'Données projet'!$B$140,CT40+CS41-DB40)))</f>
        <v>276.59999999999997</v>
      </c>
      <c r="CU41" s="18">
        <f>CT41*VLOOKUP('Données projet'!$B$13,Paramètres!$A$1:$I$89,3,0)*VLOOKUP('Données projet'!$B$13,Paramètres!$A$1:$I$89,5,0)</f>
        <v>250.26767999999996</v>
      </c>
      <c r="CV41" s="14">
        <f t="shared" si="41"/>
        <v>60.643256925083442</v>
      </c>
      <c r="CW41" s="22">
        <f t="shared" si="13"/>
        <v>541.50321514452014</v>
      </c>
      <c r="CX41" s="62">
        <f t="shared" si="14"/>
        <v>787.69480843807889</v>
      </c>
      <c r="CY41" s="62">
        <f ca="1">AVERAGE(OFFSET($CX$3,0,0,'Données projet'!$E$13+1,1))-AVERAGE(OFFSET($H$3,0,0,'Données projet'!$E$13+1,1))</f>
        <v>376.68007030857598</v>
      </c>
      <c r="CZ41" s="62">
        <f t="shared" si="42"/>
        <v>532.90758914457626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>
        <f>EXP(-LN(2)/35)*DF40+(1-EXP(-LN(2)/35))/(LN(2)/35)*DB41*DC41*VLOOKUP('Données projet'!$B$13,Paramètres!$A$1:$I$89,3,0)*0.475*44/12</f>
        <v>0</v>
      </c>
      <c r="DG41" s="23">
        <f>EXP(-LN(2)/25)*DG40+(1-EXP(-LN(2)/25))/(LN(2)/25)*Calculateur!DB41*Calculateur!DD41*VLOOKUP('Données projet'!$B$13,Paramètres!$A$1:$I$89,3,0)*0.475*44/12</f>
        <v>9.3884642805966259</v>
      </c>
      <c r="DH41" s="23">
        <f>EXP(-LN(2)/2)*DH40+(1-EXP(-LN(2)/2))/(LN(2)/2)*DB41*DE41*VLOOKUP('Données projet'!$B$13,Paramètres!$A$1:$I$89,3,0)*0.475*44/12</f>
        <v>0</v>
      </c>
      <c r="DI41" s="24">
        <f t="shared" si="15"/>
        <v>9.3884642805966259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11.142857142857142</v>
      </c>
      <c r="DO41" s="13">
        <f>IF('Données projet'!$A$166&gt;35,DO40+DN41-DW40,IF(A41&lt;'Données projet'!$A$166,$DL$205^A41,IF(A41='Données projet'!$A$166,'Données projet'!$B$166,DO40+DN41-DW40)))</f>
        <v>163.14285714285708</v>
      </c>
      <c r="DP41" s="18">
        <f>DO41*VLOOKUP('Données projet'!$B$14,Paramètres!$A$1:$I$89,3,0)*VLOOKUP('Données projet'!$B$14,Paramètres!$A$1:$I$89,5,0)</f>
        <v>155.24674285714281</v>
      </c>
      <c r="DQ41" s="14">
        <f t="shared" si="43"/>
        <v>39.76853049307897</v>
      </c>
      <c r="DR41" s="22">
        <f t="shared" si="16"/>
        <v>339.65160108496957</v>
      </c>
      <c r="DS41" s="62">
        <f t="shared" si="17"/>
        <v>585.84319437852832</v>
      </c>
      <c r="DT41" s="62">
        <f ca="1">AVERAGE(OFFSET($DS$3,0,0,'Données projet'!$E$14+1,1))-AVERAGE(OFFSET($H$3,0,0,'Données projet'!$E$14+1,1))</f>
        <v>364.63161066507769</v>
      </c>
      <c r="DU41" s="62">
        <f t="shared" si="44"/>
        <v>355.44729904860708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>
        <f>EXP(-LN(2)/35)*EA40+(1-EXP(-LN(2)/35))/(LN(2)/35)*DW41*DX41*VLOOKUP('Données projet'!$B$14,Paramètres!$A$1:$I$89,3,0)*0.475*44/12</f>
        <v>0</v>
      </c>
      <c r="EB41" s="23">
        <f>EXP(-LN(2)/25)*EB40+(1-EXP(-LN(2)/25))/(LN(2)/25)*Calculateur!DW41*Calculateur!DY41*VLOOKUP('Données projet'!$B$14,Paramètres!$A$1:$I$89,3,0)*0.475*44/12</f>
        <v>0</v>
      </c>
      <c r="EC41" s="23">
        <f>EXP(-LN(2)/2)*EC40+(1-EXP(-LN(2)/2))/(LN(2)/2)*DW41*DZ41*VLOOKUP('Données projet'!$B$14,Paramètres!$A$1:$I$89,3,0)*0.475*44/12</f>
        <v>0</v>
      </c>
      <c r="ED41" s="24">
        <f t="shared" si="18"/>
        <v>0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11.142857142857142</v>
      </c>
      <c r="EJ41" s="13">
        <f>IF('Données projet'!$A$192&gt;35,EJ40+EI41-ER40,IF(A41&lt;'Données projet'!$A$192,$EG$205^A41,IF(A41='Données projet'!$A$192,'Données projet'!$B$192,EJ40+EI41-ER40)))</f>
        <v>163.14285714285708</v>
      </c>
      <c r="EK41" s="18">
        <f>EJ41*VLOOKUP('Données projet'!$B$15,Paramètres!$A$1:$I$89,3,0)*VLOOKUP('Données projet'!$B$15,Paramètres!$A$1:$I$89,5,0)</f>
        <v>119.61634285714281</v>
      </c>
      <c r="EL41" s="14">
        <f t="shared" si="45"/>
        <v>31.585500895876233</v>
      </c>
      <c r="EM41" s="22">
        <f t="shared" si="19"/>
        <v>263.3432112031748</v>
      </c>
      <c r="EN41" s="62">
        <f t="shared" si="20"/>
        <v>509.5348044967335</v>
      </c>
      <c r="EO41" s="62">
        <f ca="1">AVERAGE(OFFSET($EN$3,0,0,'Données projet'!$E$15+1,1))-AVERAGE(OFFSET($H$3,0,0,'Données projet'!$E$15+1,1))</f>
        <v>293.59366973965774</v>
      </c>
      <c r="EP41" s="62">
        <f t="shared" si="46"/>
        <v>288.13804536120426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>
        <f>EXP(-LN(2)/35)*EV40+(1-EXP(-LN(2)/35))/(LN(2)/35)*ER41*ES41*VLOOKUP('Données projet'!$B$15,Paramètres!$A$1:$I$89,3,0)*0.475*44/12</f>
        <v>0</v>
      </c>
      <c r="EW41" s="23">
        <f>EXP(-LN(2)/25)*EW40+(1-EXP(-LN(2)/25))/(LN(2)/25)*Calculateur!ER41*Calculateur!ET41*VLOOKUP('Données projet'!$B$15,Paramètres!$A$1:$I$89,3,0)*0.475*44/12</f>
        <v>0</v>
      </c>
      <c r="EX41" s="23">
        <f>EXP(-LN(2)/2)*EX40+(1-EXP(-LN(2)/2))/(LN(2)/2)*ER41*EU41*VLOOKUP('Données projet'!$B$15,Paramètres!$A$1:$I$89,3,0)*0.475*44/12</f>
        <v>0</v>
      </c>
      <c r="EY41" s="24">
        <f t="shared" si="21"/>
        <v>0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11.142857142857142</v>
      </c>
      <c r="FE41" s="13">
        <f>IF('Données projet'!$A$218&gt;35,FE40+FD41-FM40,IF(A41&lt;'Données projet'!$A$218,$FB$205^A41,IF(A41='Données projet'!$A$218,'Données projet'!$B$218,FE40+FD41-FM40)))</f>
        <v>163.14285714285708</v>
      </c>
      <c r="FF41" s="18">
        <f>FE41*VLOOKUP('Données projet'!$B$16,Paramètres!$A$1:$I$89,3,0)*VLOOKUP('Données projet'!$B$16,Paramètres!$A$1:$I$89,5,0)</f>
        <v>157.79177142857137</v>
      </c>
      <c r="FG41" s="14">
        <f t="shared" si="47"/>
        <v>40.344041145595639</v>
      </c>
      <c r="FH41" s="22">
        <f t="shared" si="22"/>
        <v>345.08654023334083</v>
      </c>
      <c r="FI41" s="62">
        <f t="shared" si="23"/>
        <v>591.27813352689952</v>
      </c>
      <c r="FJ41" s="62">
        <f ca="1">AVERAGE(OFFSET($FI$3,0,0,'Données projet'!$E$16+1,1))-AVERAGE(OFFSET($H$3,0,0,'Données projet'!$E$16+1,1))</f>
        <v>369.69145521630799</v>
      </c>
      <c r="FK41" s="62">
        <f t="shared" si="48"/>
        <v>360.24112103688719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>
        <f>EXP(-LN(2)/35)*FQ40+(1-EXP(-LN(2)/35))/(LN(2)/35)*FM41*FN41*VLOOKUP('Données projet'!$B$16,Paramètres!$A$1:$I$89,3,0)*0.475*44/12</f>
        <v>0</v>
      </c>
      <c r="FR41" s="23">
        <f>EXP(-LN(2)/25)*FR40+(1-EXP(-LN(2)/25))/(LN(2)/25)*Calculateur!FM41*Calculateur!FO41*VLOOKUP('Données projet'!$B$16,Paramètres!$A$1:$I$89,3,0)*0.475*44/12</f>
        <v>0</v>
      </c>
      <c r="FS41" s="23">
        <f>EXP(-LN(2)/2)*FS40+(1-EXP(-LN(2)/2))/(LN(2)/2)*FM41*FP41*VLOOKUP('Données projet'!$B$16,Paramètres!$A$1:$I$89,3,0)*0.475*44/12</f>
        <v>0</v>
      </c>
      <c r="FT41" s="24">
        <f t="shared" si="24"/>
        <v>0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11.142857142857142</v>
      </c>
      <c r="FZ41" s="13">
        <f>IF('Données projet'!$A$244&gt;35,FZ40+FY41-GH40,IF(A41&lt;'Données projet'!$A$244,$FW$205^A41,IF(A41='Données projet'!$A$244,'Données projet'!$B$244,FZ40+FY41-GH40)))</f>
        <v>163.14285714285708</v>
      </c>
      <c r="GA41" s="18">
        <f>FZ41*VLOOKUP('Données projet'!$B$17,Paramètres!$A$1:$I$89,3,0)*VLOOKUP('Données projet'!$B$17,Paramètres!$A$1:$I$89,5,0)</f>
        <v>175.60697142857134</v>
      </c>
      <c r="GB41" s="14">
        <f t="shared" si="49"/>
        <v>44.343417206677579</v>
      </c>
      <c r="GC41" s="22">
        <f t="shared" si="25"/>
        <v>383.08026020639187</v>
      </c>
      <c r="GD41" s="62">
        <f t="shared" si="26"/>
        <v>629.27185349995057</v>
      </c>
      <c r="GE41" s="62">
        <f ca="1">AVERAGE(OFFSET($GD$3,0,0,'Données projet'!$E$17+1,1))-AVERAGE(OFFSET($H$3,0,0,'Données projet'!$E$17+1,1))</f>
        <v>405.06394904053946</v>
      </c>
      <c r="GF41" s="62">
        <f t="shared" si="50"/>
        <v>393.75247087518198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>
        <f>EXP(-LN(2)/35)*GL40+(1-EXP(-LN(2)/35))/(LN(2)/35)*GH41*GI41*VLOOKUP('Données projet'!$B$17,Paramètres!$A$1:$I$89,3,0)*0.475*44/12</f>
        <v>0</v>
      </c>
      <c r="GM41" s="23">
        <f>EXP(-LN(2)/25)*GM40+(1-EXP(-LN(2)/25))/(LN(2)/25)*Calculateur!GH41*Calculateur!GJ41*VLOOKUP('Données projet'!$B$17,Paramètres!$A$1:$I$89,3,0)*0.475*44/12</f>
        <v>0</v>
      </c>
      <c r="GN41" s="23">
        <f>EXP(-LN(2)/2)*GN40+(1-EXP(-LN(2)/2))/(LN(2)/2)*GH41*GK41*VLOOKUP('Données projet'!$B$17,Paramètres!$A$1:$I$89,3,0)*0.475*44/12</f>
        <v>0</v>
      </c>
      <c r="GO41" s="23">
        <f t="shared" si="27"/>
        <v>0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11.142857142857142</v>
      </c>
      <c r="GU41" s="13">
        <f>IF('Données projet'!$A$270&gt;35,GU40+GT41-HC40,IF(A41&lt;'Données projet'!$A$270,$GR$205^A41,IF(A41='Données projet'!$A$270,'Données projet'!$B$270,GU40+GT41-HC40)))</f>
        <v>163.14285714285708</v>
      </c>
      <c r="GV41" s="18">
        <f>GU41*VLOOKUP('Données projet'!$B$18,Paramètres!$A$1:$I$89,3,0)*VLOOKUP('Données projet'!$B$18,Paramètres!$A$1:$I$89,5,0)</f>
        <v>109.43622857142853</v>
      </c>
      <c r="GW41" s="14">
        <f t="shared" si="51"/>
        <v>29.198115929899995</v>
      </c>
      <c r="GX41" s="22">
        <f t="shared" si="28"/>
        <v>241.45481667314718</v>
      </c>
      <c r="GY41" s="62">
        <f t="shared" si="29"/>
        <v>487.6464099667059</v>
      </c>
      <c r="GZ41" s="62">
        <f ca="1">AVERAGE(OFFSET($GY$3,0,0,'Données projet'!$E$18+1,1))-AVERAGE(OFFSET($H$3,0,0,'Données projet'!$E$18+1,1))</f>
        <v>273.21861937609918</v>
      </c>
      <c r="HA41" s="62">
        <f t="shared" si="52"/>
        <v>268.83004886965318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>
        <f>EXP(-LN(2)/35)*HG40+(1-EXP(-LN(2)/35))/(LN(2)/35)*HC41*HD41*VLOOKUP('Données projet'!$B$18,Paramètres!$A$1:$I$89,3,0)*0.475*44/12</f>
        <v>0</v>
      </c>
      <c r="HH41" s="23">
        <f>EXP(-LN(2)/25)*HH40+(1-EXP(-LN(2)/25))/(LN(2)/25)*Calculateur!HC41*Calculateur!HE41*VLOOKUP('Données projet'!$B$18,Paramètres!$A$1:$I$89,3,0)*0.475*44/12</f>
        <v>0</v>
      </c>
      <c r="HI41" s="23">
        <f>EXP(-LN(2)/2)*HI40+(1-EXP(-LN(2)/2))/(LN(2)/2)*HC41*HF41*VLOOKUP('Données projet'!$B$18,Paramètres!$A$1:$I$89,3,0)*0.475*44/12</f>
        <v>0</v>
      </c>
      <c r="HJ41" s="24">
        <f t="shared" si="30"/>
        <v>0</v>
      </c>
    </row>
    <row r="42" spans="1:218" s="5" customFormat="1" x14ac:dyDescent="0.4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2.4423076923076925</v>
      </c>
      <c r="N42" s="14">
        <f>IF('Données projet'!$A$36&gt;35,N41+M42-V41,IF(A42&lt;'Données projet'!$A$36,$K$205^A42,IF(A42='Données projet'!$A$36,'Données projet'!$B$36,N41+M42-V41)))</f>
        <v>95.250000000000028</v>
      </c>
      <c r="O42" s="14">
        <f>N42*VLOOKUP('Données projet'!$B$9,Paramètres!$A$1:$I$89,3,0)*VLOOKUP('Données projet'!$B$9,Paramètres!$A$1:$I$89,5,0)</f>
        <v>86.182200000000023</v>
      </c>
      <c r="P42" s="14">
        <f t="shared" si="33"/>
        <v>23.642153637908169</v>
      </c>
      <c r="Q42" s="22">
        <f t="shared" si="53"/>
        <v>191.27741591935674</v>
      </c>
      <c r="R42" s="62">
        <f t="shared" si="0"/>
        <v>438.28681300946386</v>
      </c>
      <c r="S42" s="62">
        <f ca="1">AVERAGE(OFFSET($R$3,0,0,'Données projet'!$E$9+1,1))-AVERAGE(OFFSET($H$3,0,0,'Données projet'!$E$9+1,1))</f>
        <v>432.80275651765203</v>
      </c>
      <c r="T42" s="62">
        <f t="shared" si="34"/>
        <v>203.89279893419919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0</v>
      </c>
      <c r="AA42" s="23">
        <f>EXP(-LN(2)/25)*AA41+(1-EXP(-LN(2)/25))/(LN(2)/25)*Calculateur!V42*Calculateur!X42*VLOOKUP('Données projet'!$B$9,Paramètres!$A$1:$I$89,3,0)*0.475*44/12</f>
        <v>0</v>
      </c>
      <c r="AB42" s="23">
        <f>EXP(-LN(2)/2)*AB41+(1-EXP(-LN(2)/2))/(LN(2)/2)*V42*Y42*VLOOKUP('Données projet'!$B$9,Paramètres!$A$1:$I$89,3,0)*0.475*44/12</f>
        <v>0</v>
      </c>
      <c r="AC42" s="24">
        <f t="shared" si="3"/>
        <v>0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22</v>
      </c>
      <c r="AI42" s="14">
        <f>IF('Données projet'!$A$62&gt;35,AI41+AH42-AQ41,IF(A42&lt;'Données projet'!$A$62,$AF$205^A42,IF(A42='Données projet'!$A$62,'Données projet'!$B$62,AI41+AH42-AQ41)))</f>
        <v>586.00000000000023</v>
      </c>
      <c r="AJ42" s="14">
        <f>AI42*VLOOKUP('Données projet'!$B$10,Paramètres!$A$1:$I$89,3,0)*VLOOKUP('Données projet'!$B$10,Paramètres!$A$1:$I$89,5,0)</f>
        <v>259.01200000000011</v>
      </c>
      <c r="AK42" s="14">
        <f t="shared" si="35"/>
        <v>62.511729639483519</v>
      </c>
      <c r="AL42" s="22">
        <f t="shared" si="4"/>
        <v>559.98716245543392</v>
      </c>
      <c r="AM42" s="62">
        <f t="shared" si="5"/>
        <v>806.996559545541</v>
      </c>
      <c r="AN42" s="62">
        <f ca="1">AVERAGE(OFFSET($AM$3,0,0,'Données projet'!$E$10+1,1))-AVERAGE(OFFSET($H$3,0,0,'Données projet'!$E$10+1,1))</f>
        <v>413.08876898406481</v>
      </c>
      <c r="AO42" s="62">
        <f t="shared" si="36"/>
        <v>520.31320932826566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0</v>
      </c>
      <c r="AV42" s="23">
        <f>EXP(-LN(2)/25)*AV41+(1-EXP(-LN(2)/25))/(LN(2)/25)*Calculateur!AQ42*Calculateur!AS42*VLOOKUP('Données projet'!$B$10,Paramètres!$A$1:$I$89,3,0)*0.475*44/12</f>
        <v>17.063227843201275</v>
      </c>
      <c r="AW42" s="23">
        <f>EXP(-LN(2)/2)*AW41+(1-EXP(-LN(2)/2))/(LN(2)/2)*AQ42*AT42*VLOOKUP('Données projet'!$B$10,Paramètres!$A$1:$I$89,3,0)*0.475*44/12</f>
        <v>0</v>
      </c>
      <c r="AX42" s="23">
        <f t="shared" si="6"/>
        <v>17.063227843201275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22</v>
      </c>
      <c r="BD42" s="13">
        <f>IF('Données projet'!$A$88&gt;35,BD41+BC42-BL41,IF(A42&lt;'Données projet'!$A$88,$BA$205^A42,IF(A42='Données projet'!$A$88,'Données projet'!$B$88,BD41+BC42-BL41)))</f>
        <v>586.00000000000023</v>
      </c>
      <c r="BE42" s="14">
        <f>BD42*VLOOKUP('Données projet'!$B$11,Paramètres!$A$1:$I$89,3,0)*VLOOKUP('Données projet'!$B$11,Paramètres!$A$1:$I$89,5,0)</f>
        <v>327.57400000000013</v>
      </c>
      <c r="BF42" s="14">
        <f t="shared" si="37"/>
        <v>76.927119684760882</v>
      </c>
      <c r="BG42" s="22">
        <f t="shared" si="7"/>
        <v>704.5061167842922</v>
      </c>
      <c r="BH42" s="62">
        <f t="shared" si="8"/>
        <v>951.51551387439929</v>
      </c>
      <c r="BI42" s="62">
        <f ca="1">AVERAGE(OFFSET($BH$3,0,0,'Données projet'!$E$11+1,1))-AVERAGE(OFFSET($H$3,0,0,'Données projet'!$E$11+1,1))</f>
        <v>507.66185230065889</v>
      </c>
      <c r="BJ42" s="62">
        <f t="shared" si="38"/>
        <v>640.14375617778342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21.579964625225145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21.579964625225145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7.8773148160000019</v>
      </c>
      <c r="BY42" s="13">
        <f>IF('Données projet'!$A$114&gt;35,BY41+BX42-CG41,IF(A42&lt;'Données projet'!$A$114,$BV$205^A42,IF(A42='Données projet'!$A$114,'Données projet'!$B$114,BY41+BX42-CG41)))</f>
        <v>178.11805558399996</v>
      </c>
      <c r="BZ42" s="14">
        <f>BY42*VLOOKUP('Données projet'!$B$12,Paramètres!$A$1:$I$89,3,0)*VLOOKUP('Données projet'!$B$12,Paramètres!$A$1:$I$89,5,0)</f>
        <v>83.359250013311993</v>
      </c>
      <c r="CA42" s="14">
        <f t="shared" si="39"/>
        <v>22.95656163754143</v>
      </c>
      <c r="CB42" s="22">
        <f t="shared" si="10"/>
        <v>185.16670529190301</v>
      </c>
      <c r="CC42" s="62">
        <f t="shared" si="11"/>
        <v>432.17610238201013</v>
      </c>
      <c r="CD42" s="62">
        <f ca="1">AVERAGE(OFFSET($CC$3,0,0,'Données projet'!$E$12+1,1))-AVERAGE(OFFSET($H$3,0,0,'Données projet'!$E$12+1,1))</f>
        <v>289.21044803824958</v>
      </c>
      <c r="CE42" s="62">
        <f t="shared" si="40"/>
        <v>196.11836398299445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>
        <f>EXP(-LN(2)/35)*CK41+(1-EXP(-LN(2)/35))/(LN(2)/35)*CG42*CH42*VLOOKUP('Données projet'!$B$12,Paramètres!$A$1:$I$89,3,0)*0.475*44/12</f>
        <v>0</v>
      </c>
      <c r="CL42" s="23">
        <f>EXP(-LN(2)/25)*CL41+(1-EXP(-LN(2)/25))/(LN(2)/25)*Calculateur!CG42*Calculateur!CI42*VLOOKUP('Données projet'!$B$12,Paramètres!$A$1:$I$89,3,0)*0.475*44/12</f>
        <v>3.5517922838241178</v>
      </c>
      <c r="CM42" s="23">
        <f>EXP(-LN(2)/2)*CM41+(1-EXP(-LN(2)/2))/(LN(2)/2)*CG42*CJ42*VLOOKUP('Données projet'!$B$12,Paramètres!$A$1:$I$89,3,0)*0.475*44/12</f>
        <v>0</v>
      </c>
      <c r="CN42" s="24">
        <f t="shared" si="12"/>
        <v>3.5517922838241178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6.2</v>
      </c>
      <c r="CT42" s="13">
        <f>IF('Données projet'!$A$140&gt;35,CT41+CS42-DB41,IF(A42&lt;'Données projet'!$A$140,$CQ$205^A42,IF(A42='Données projet'!$A$140,'Données projet'!$B$140,CT41+CS42-DB41)))</f>
        <v>282.79999999999995</v>
      </c>
      <c r="CU42" s="18">
        <f>CT42*VLOOKUP('Données projet'!$B$13,Paramètres!$A$1:$I$89,3,0)*VLOOKUP('Données projet'!$B$13,Paramètres!$A$1:$I$89,5,0)</f>
        <v>255.87743999999998</v>
      </c>
      <c r="CV42" s="14">
        <f t="shared" si="41"/>
        <v>61.842798995505326</v>
      </c>
      <c r="CW42" s="22">
        <f t="shared" si="13"/>
        <v>553.36274958383854</v>
      </c>
      <c r="CX42" s="62">
        <f t="shared" si="14"/>
        <v>800.37214667394562</v>
      </c>
      <c r="CY42" s="62">
        <f ca="1">AVERAGE(OFFSET($CX$3,0,0,'Données projet'!$E$13+1,1))-AVERAGE(OFFSET($H$3,0,0,'Données projet'!$E$13+1,1))</f>
        <v>376.68007030857598</v>
      </c>
      <c r="CZ42" s="62">
        <f t="shared" si="42"/>
        <v>532.90758914457626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>
        <f>EXP(-LN(2)/35)*DF41+(1-EXP(-LN(2)/35))/(LN(2)/35)*DB42*DC42*VLOOKUP('Données projet'!$B$13,Paramètres!$A$1:$I$89,3,0)*0.475*44/12</f>
        <v>0</v>
      </c>
      <c r="DG42" s="23">
        <f>EXP(-LN(2)/25)*DG41+(1-EXP(-LN(2)/25))/(LN(2)/25)*Calculateur!DB42*Calculateur!DD42*VLOOKUP('Données projet'!$B$13,Paramètres!$A$1:$I$89,3,0)*0.475*44/12</f>
        <v>9.1317362311258314</v>
      </c>
      <c r="DH42" s="23">
        <f>EXP(-LN(2)/2)*DH41+(1-EXP(-LN(2)/2))/(LN(2)/2)*DB42*DE42*VLOOKUP('Données projet'!$B$13,Paramètres!$A$1:$I$89,3,0)*0.475*44/12</f>
        <v>0</v>
      </c>
      <c r="DI42" s="24">
        <f t="shared" si="15"/>
        <v>9.1317362311258314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11.142857142857142</v>
      </c>
      <c r="DO42" s="13">
        <f>IF('Données projet'!$A$166&gt;35,DO41+DN42-DW41,IF(A42&lt;'Données projet'!$A$166,$DL$205^A42,IF(A42='Données projet'!$A$166,'Données projet'!$B$166,DO41+DN42-DW41)))</f>
        <v>174.28571428571422</v>
      </c>
      <c r="DP42" s="18">
        <f>DO42*VLOOKUP('Données projet'!$B$14,Paramètres!$A$1:$I$89,3,0)*VLOOKUP('Données projet'!$B$14,Paramètres!$A$1:$I$89,5,0)</f>
        <v>165.85028571428566</v>
      </c>
      <c r="DQ42" s="14">
        <f t="shared" si="43"/>
        <v>42.159293112095675</v>
      </c>
      <c r="DR42" s="22">
        <f t="shared" si="16"/>
        <v>362.28334978928075</v>
      </c>
      <c r="DS42" s="62">
        <f t="shared" si="17"/>
        <v>609.29274687938789</v>
      </c>
      <c r="DT42" s="62">
        <f ca="1">AVERAGE(OFFSET($DS$3,0,0,'Données projet'!$E$14+1,1))-AVERAGE(OFFSET($H$3,0,0,'Données projet'!$E$14+1,1))</f>
        <v>364.63161066507769</v>
      </c>
      <c r="DU42" s="62">
        <f t="shared" si="44"/>
        <v>355.44729904860708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>
        <f>EXP(-LN(2)/35)*EA41+(1-EXP(-LN(2)/35))/(LN(2)/35)*DW42*DX42*VLOOKUP('Données projet'!$B$14,Paramètres!$A$1:$I$89,3,0)*0.475*44/12</f>
        <v>0</v>
      </c>
      <c r="EB42" s="23">
        <f>EXP(-LN(2)/25)*EB41+(1-EXP(-LN(2)/25))/(LN(2)/25)*Calculateur!DW42*Calculateur!DY42*VLOOKUP('Données projet'!$B$14,Paramètres!$A$1:$I$89,3,0)*0.475*44/12</f>
        <v>0</v>
      </c>
      <c r="EC42" s="23">
        <f>EXP(-LN(2)/2)*EC41+(1-EXP(-LN(2)/2))/(LN(2)/2)*DW42*DZ42*VLOOKUP('Données projet'!$B$14,Paramètres!$A$1:$I$89,3,0)*0.475*44/12</f>
        <v>0</v>
      </c>
      <c r="ED42" s="24">
        <f t="shared" si="18"/>
        <v>0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11.142857142857142</v>
      </c>
      <c r="EJ42" s="13">
        <f>IF('Données projet'!$A$192&gt;35,EJ41+EI42-ER41,IF(A42&lt;'Données projet'!$A$192,$EG$205^A42,IF(A42='Données projet'!$A$192,'Données projet'!$B$192,EJ41+EI42-ER41)))</f>
        <v>174.28571428571422</v>
      </c>
      <c r="EK42" s="18">
        <f>EJ42*VLOOKUP('Données projet'!$B$15,Paramètres!$A$1:$I$89,3,0)*VLOOKUP('Données projet'!$B$15,Paramètres!$A$1:$I$89,5,0)</f>
        <v>127.78628571428567</v>
      </c>
      <c r="EL42" s="14">
        <f t="shared" si="45"/>
        <v>33.484324762599705</v>
      </c>
      <c r="EM42" s="22">
        <f t="shared" si="19"/>
        <v>280.87964658057535</v>
      </c>
      <c r="EN42" s="62">
        <f t="shared" si="20"/>
        <v>527.88904367068244</v>
      </c>
      <c r="EO42" s="62">
        <f ca="1">AVERAGE(OFFSET($EN$3,0,0,'Données projet'!$E$15+1,1))-AVERAGE(OFFSET($H$3,0,0,'Données projet'!$E$15+1,1))</f>
        <v>293.59366973965774</v>
      </c>
      <c r="EP42" s="62">
        <f t="shared" si="46"/>
        <v>288.13804536120426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>
        <f>EXP(-LN(2)/35)*EV41+(1-EXP(-LN(2)/35))/(LN(2)/35)*ER42*ES42*VLOOKUP('Données projet'!$B$15,Paramètres!$A$1:$I$89,3,0)*0.475*44/12</f>
        <v>0</v>
      </c>
      <c r="EW42" s="23">
        <f>EXP(-LN(2)/25)*EW41+(1-EXP(-LN(2)/25))/(LN(2)/25)*Calculateur!ER42*Calculateur!ET42*VLOOKUP('Données projet'!$B$15,Paramètres!$A$1:$I$89,3,0)*0.475*44/12</f>
        <v>0</v>
      </c>
      <c r="EX42" s="23">
        <f>EXP(-LN(2)/2)*EX41+(1-EXP(-LN(2)/2))/(LN(2)/2)*ER42*EU42*VLOOKUP('Données projet'!$B$15,Paramètres!$A$1:$I$89,3,0)*0.475*44/12</f>
        <v>0</v>
      </c>
      <c r="EY42" s="24">
        <f t="shared" si="21"/>
        <v>0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11.142857142857142</v>
      </c>
      <c r="FE42" s="13">
        <f>IF('Données projet'!$A$218&gt;35,FE41+FD42-FM41,IF(A42&lt;'Données projet'!$A$218,$FB$205^A42,IF(A42='Données projet'!$A$218,'Données projet'!$B$218,FE41+FD42-FM41)))</f>
        <v>174.28571428571422</v>
      </c>
      <c r="FF42" s="18">
        <f>FE42*VLOOKUP('Données projet'!$B$16,Paramètres!$A$1:$I$89,3,0)*VLOOKUP('Données projet'!$B$16,Paramètres!$A$1:$I$89,5,0)</f>
        <v>168.56914285714279</v>
      </c>
      <c r="FG42" s="14">
        <f t="shared" si="47"/>
        <v>42.769401707705121</v>
      </c>
      <c r="FH42" s="22">
        <f t="shared" si="22"/>
        <v>368.08129845044346</v>
      </c>
      <c r="FI42" s="62">
        <f t="shared" si="23"/>
        <v>615.09069554055054</v>
      </c>
      <c r="FJ42" s="62">
        <f ca="1">AVERAGE(OFFSET($FI$3,0,0,'Données projet'!$E$16+1,1))-AVERAGE(OFFSET($H$3,0,0,'Données projet'!$E$16+1,1))</f>
        <v>369.69145521630799</v>
      </c>
      <c r="FK42" s="62">
        <f t="shared" si="48"/>
        <v>360.24112103688719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>
        <f>EXP(-LN(2)/35)*FQ41+(1-EXP(-LN(2)/35))/(LN(2)/35)*FM42*FN42*VLOOKUP('Données projet'!$B$16,Paramètres!$A$1:$I$89,3,0)*0.475*44/12</f>
        <v>0</v>
      </c>
      <c r="FR42" s="23">
        <f>EXP(-LN(2)/25)*FR41+(1-EXP(-LN(2)/25))/(LN(2)/25)*Calculateur!FM42*Calculateur!FO42*VLOOKUP('Données projet'!$B$16,Paramètres!$A$1:$I$89,3,0)*0.475*44/12</f>
        <v>0</v>
      </c>
      <c r="FS42" s="23">
        <f>EXP(-LN(2)/2)*FS41+(1-EXP(-LN(2)/2))/(LN(2)/2)*FM42*FP42*VLOOKUP('Données projet'!$B$16,Paramètres!$A$1:$I$89,3,0)*0.475*44/12</f>
        <v>0</v>
      </c>
      <c r="FT42" s="24">
        <f t="shared" si="24"/>
        <v>0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11.142857142857142</v>
      </c>
      <c r="FZ42" s="13">
        <f>IF('Données projet'!$A$244&gt;35,FZ41+FY42-GH41,IF(A42&lt;'Données projet'!$A$244,$FW$205^A42,IF(A42='Données projet'!$A$244,'Données projet'!$B$244,FZ41+FY42-GH41)))</f>
        <v>174.28571428571422</v>
      </c>
      <c r="GA42" s="18">
        <f>FZ42*VLOOKUP('Données projet'!$B$17,Paramètres!$A$1:$I$89,3,0)*VLOOKUP('Données projet'!$B$17,Paramètres!$A$1:$I$89,5,0)</f>
        <v>187.6011428571428</v>
      </c>
      <c r="GB42" s="14">
        <f t="shared" si="49"/>
        <v>47.009208045381953</v>
      </c>
      <c r="GC42" s="22">
        <f t="shared" si="25"/>
        <v>408.61302782189728</v>
      </c>
      <c r="GD42" s="62">
        <f t="shared" si="26"/>
        <v>655.62242491200436</v>
      </c>
      <c r="GE42" s="62">
        <f ca="1">AVERAGE(OFFSET($GD$3,0,0,'Données projet'!$E$17+1,1))-AVERAGE(OFFSET($H$3,0,0,'Données projet'!$E$17+1,1))</f>
        <v>405.06394904053946</v>
      </c>
      <c r="GF42" s="62">
        <f t="shared" si="50"/>
        <v>393.75247087518198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>
        <f>EXP(-LN(2)/35)*GL41+(1-EXP(-LN(2)/35))/(LN(2)/35)*GH42*GI42*VLOOKUP('Données projet'!$B$17,Paramètres!$A$1:$I$89,3,0)*0.475*44/12</f>
        <v>0</v>
      </c>
      <c r="GM42" s="23">
        <f>EXP(-LN(2)/25)*GM41+(1-EXP(-LN(2)/25))/(LN(2)/25)*Calculateur!GH42*Calculateur!GJ42*VLOOKUP('Données projet'!$B$17,Paramètres!$A$1:$I$89,3,0)*0.475*44/12</f>
        <v>0</v>
      </c>
      <c r="GN42" s="23">
        <f>EXP(-LN(2)/2)*GN41+(1-EXP(-LN(2)/2))/(LN(2)/2)*GH42*GK42*VLOOKUP('Données projet'!$B$17,Paramètres!$A$1:$I$89,3,0)*0.475*44/12</f>
        <v>0</v>
      </c>
      <c r="GO42" s="23">
        <f t="shared" si="27"/>
        <v>0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11.142857142857142</v>
      </c>
      <c r="GU42" s="13">
        <f>IF('Données projet'!$A$270&gt;35,GU41+GT42-HC41,IF(A42&lt;'Données projet'!$A$270,$GR$205^A42,IF(A42='Données projet'!$A$270,'Données projet'!$B$270,GU41+GT42-HC41)))</f>
        <v>174.28571428571422</v>
      </c>
      <c r="GV42" s="18">
        <f>GU42*VLOOKUP('Données projet'!$B$18,Paramètres!$A$1:$I$89,3,0)*VLOOKUP('Données projet'!$B$18,Paramètres!$A$1:$I$89,5,0)</f>
        <v>116.9108571428571</v>
      </c>
      <c r="GW42" s="14">
        <f t="shared" si="51"/>
        <v>30.95341750241019</v>
      </c>
      <c r="GX42" s="22">
        <f t="shared" si="28"/>
        <v>257.53027834050721</v>
      </c>
      <c r="GY42" s="62">
        <f t="shared" si="29"/>
        <v>504.53967543061435</v>
      </c>
      <c r="GZ42" s="62">
        <f ca="1">AVERAGE(OFFSET($GY$3,0,0,'Données projet'!$E$18+1,1))-AVERAGE(OFFSET($H$3,0,0,'Données projet'!$E$18+1,1))</f>
        <v>273.21861937609918</v>
      </c>
      <c r="HA42" s="62">
        <f t="shared" si="52"/>
        <v>268.83004886965318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>
        <f>EXP(-LN(2)/35)*HG41+(1-EXP(-LN(2)/35))/(LN(2)/35)*HC42*HD42*VLOOKUP('Données projet'!$B$18,Paramètres!$A$1:$I$89,3,0)*0.475*44/12</f>
        <v>0</v>
      </c>
      <c r="HH42" s="23">
        <f>EXP(-LN(2)/25)*HH41+(1-EXP(-LN(2)/25))/(LN(2)/25)*Calculateur!HC42*Calculateur!HE42*VLOOKUP('Données projet'!$B$18,Paramètres!$A$1:$I$89,3,0)*0.475*44/12</f>
        <v>0</v>
      </c>
      <c r="HI42" s="23">
        <f>EXP(-LN(2)/2)*HI41+(1-EXP(-LN(2)/2))/(LN(2)/2)*HC42*HF42*VLOOKUP('Données projet'!$B$18,Paramètres!$A$1:$I$89,3,0)*0.475*44/12</f>
        <v>0</v>
      </c>
      <c r="HJ42" s="24">
        <f t="shared" si="30"/>
        <v>0</v>
      </c>
    </row>
    <row r="43" spans="1:218" s="5" customFormat="1" x14ac:dyDescent="0.4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 t="e">
        <f>VLOOKUP(A43,'Données projet'!$A$35:$I$55,2,0)</f>
        <v>#N/A</v>
      </c>
      <c r="L43" s="13" t="e">
        <f>VLOOKUP(A43,'Données projet'!$A$35:$I$55,9,0)</f>
        <v>#N/A</v>
      </c>
      <c r="M43" s="13">
        <f t="array" ref="M43">INDEX(L:L,MIN(IF(ISNUMBER(L43:L239),ROW(L43:L239),"")))</f>
        <v>2.4423076923076925</v>
      </c>
      <c r="N43" s="14">
        <f>IF('Données projet'!$A$36&gt;35,N42+M43-V42,IF(A43&lt;'Données projet'!$A$36,$K$205^A43,IF(A43='Données projet'!$A$36,'Données projet'!$B$36,N42+M43-V42)))</f>
        <v>97.692307692307722</v>
      </c>
      <c r="O43" s="14">
        <f>N43*VLOOKUP('Données projet'!$B$9,Paramètres!$A$1:$I$89,3,0)*VLOOKUP('Données projet'!$B$9,Paramètres!$A$1:$I$89,5,0)</f>
        <v>88.392000000000024</v>
      </c>
      <c r="P43" s="14">
        <f t="shared" si="33"/>
        <v>24.177008146373939</v>
      </c>
      <c r="Q43" s="22">
        <f t="shared" si="53"/>
        <v>196.05768918826797</v>
      </c>
      <c r="R43" s="62">
        <f t="shared" si="0"/>
        <v>443.87070300738878</v>
      </c>
      <c r="S43" s="62">
        <f ca="1">AVERAGE(OFFSET($R$3,0,0,'Données projet'!$E$9+1,1))-AVERAGE(OFFSET($H$3,0,0,'Données projet'!$E$9+1,1))</f>
        <v>432.80275651765203</v>
      </c>
      <c r="T43" s="62">
        <f t="shared" si="34"/>
        <v>203.89279893419919</v>
      </c>
      <c r="U43" s="16">
        <f>IF(ISNA(VLOOKUP(A43,'Données projet'!$A$35:$I$55,3,0)),0,VLOOKUP(A43,'Données projet'!$A$35:$I$55,3,0))</f>
        <v>0</v>
      </c>
      <c r="V43" s="16">
        <f>IF(ISNA(VLOOKUP(A43,'Données projet'!$A$35:$I$55,4,0)),0,VLOOKUP(A43,'Données projet'!$A$35:$I$55,4,0))</f>
        <v>0</v>
      </c>
      <c r="W43" s="17">
        <f>IF(ISNA(VLOOKUP(A43,'Données projet'!$A$35:$I$55,5,0)),0%,VLOOKUP(A43,'Données projet'!$A$35:$I$55,5,0)*VLOOKUP('Données projet'!$B$9,Paramètres!$A$1:$I$89,7,0))</f>
        <v>0</v>
      </c>
      <c r="X43" s="17">
        <f>IF(ISNA(VLOOKUP(A43,'Données projet'!$A$35:$I$55,6,0)),0%,VLOOKUP(A43,'Données projet'!$A$35:$I$55,6,0)*VLOOKUP('Données projet'!$B$9,Paramètres!$A$1:$I$89,7,0))</f>
        <v>0</v>
      </c>
      <c r="Y43" s="17">
        <f>IF(ISNA(VLOOKUP(A43,'Données projet'!$A$35:$I$55,7,0)),0%,VLOOKUP(A43,'Données projet'!$A$35:$I$55,7,0))</f>
        <v>0</v>
      </c>
      <c r="Z43" s="23">
        <f>EXP(-LN(2)/35)*Z42+(1-EXP(-LN(2)/35))/(LN(2)/35)*V43*W43*VLOOKUP('Données projet'!$B$9,Paramètres!$A$1:$I$89,3,0)*0.475*44/12</f>
        <v>0</v>
      </c>
      <c r="AA43" s="23">
        <f>EXP(-LN(2)/25)*AA42+(1-EXP(-LN(2)/25))/(LN(2)/25)*Calculateur!V43*Calculateur!X43*VLOOKUP('Données projet'!$B$9,Paramètres!$A$1:$I$89,3,0)*0.475*44/12</f>
        <v>0</v>
      </c>
      <c r="AB43" s="23">
        <f>EXP(-LN(2)/2)*AB42+(1-EXP(-LN(2)/2))/(LN(2)/2)*V43*Y43*VLOOKUP('Données projet'!$B$9,Paramètres!$A$1:$I$89,3,0)*0.475*44/12</f>
        <v>0</v>
      </c>
      <c r="AC43" s="24">
        <f t="shared" si="3"/>
        <v>0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608</v>
      </c>
      <c r="AG43" s="13">
        <f>VLOOKUP(A43,'Données projet'!$A$61:$I$81,9,0)</f>
        <v>22</v>
      </c>
      <c r="AH43" s="13">
        <f t="array" ref="AH43">INDEX(AG:AG,MIN(IF(ISNUMBER(AG43:AG239),ROW(AG43:AG239),"")))</f>
        <v>22</v>
      </c>
      <c r="AI43" s="14">
        <f>IF('Données projet'!$A$62&gt;35,AI42+AH43-AQ42,IF(A43&lt;'Données projet'!$A$62,$AF$205^A43,IF(A43='Données projet'!$A$62,'Données projet'!$B$62,AI42+AH43-AQ42)))</f>
        <v>608.00000000000023</v>
      </c>
      <c r="AJ43" s="14">
        <f>AI43*VLOOKUP('Données projet'!$B$10,Paramètres!$A$1:$I$89,3,0)*VLOOKUP('Données projet'!$B$10,Paramètres!$A$1:$I$89,5,0)</f>
        <v>268.7360000000001</v>
      </c>
      <c r="AK43" s="14">
        <f t="shared" si="35"/>
        <v>64.580943370245521</v>
      </c>
      <c r="AL43" s="22">
        <f t="shared" si="4"/>
        <v>580.52700970317767</v>
      </c>
      <c r="AM43" s="62">
        <f t="shared" si="5"/>
        <v>828.34002352229845</v>
      </c>
      <c r="AN43" s="62">
        <f ca="1">AVERAGE(OFFSET($AM$3,0,0,'Données projet'!$E$10+1,1))-AVERAGE(OFFSET($H$3,0,0,'Données projet'!$E$10+1,1))</f>
        <v>413.08876898406481</v>
      </c>
      <c r="AO43" s="62">
        <f t="shared" si="36"/>
        <v>520.31320932826566</v>
      </c>
      <c r="AP43" s="16">
        <f>IF(ISNA(VLOOKUP(A43,'Données projet'!$A$61:$I$81,3,0)),0,VLOOKUP(A43,'Données projet'!$A$61:$I$81,3,0))</f>
        <v>4</v>
      </c>
      <c r="AQ43" s="16">
        <f>IF(ISNA(VLOOKUP(A43,'Données projet'!$A$61:$I$81,4,0)),0,VLOOKUP(A43,'Données projet'!$A$61:$I$81,4,0))</f>
        <v>65</v>
      </c>
      <c r="AR43" s="17">
        <f>IF(ISNA(VLOOKUP(A43,'Données projet'!$A$61:$I$81,5,0)),0%,VLOOKUP(A43,'Données projet'!$A$61:$I$81,5,0)*VLOOKUP('Données projet'!$B$10,Paramètres!$A$1:$I$89,7,0))</f>
        <v>0.27500000000000002</v>
      </c>
      <c r="AS43" s="17">
        <f>IF(ISNA(VLOOKUP(A43,'Données projet'!$A$61:$I$81,6,0)),0%,VLOOKUP(A43,'Données projet'!$A$61:$I$81,6,0)*VLOOKUP('Données projet'!$B$10,Paramètres!$A$1:$I$89,7,0))</f>
        <v>0.22000000000000003</v>
      </c>
      <c r="AT43" s="17">
        <f>IF(ISNA(VLOOKUP(A43,'Données projet'!$A$61:$I$81,7,0)),0%,VLOOKUP(A43,'Données projet'!$A$61:$I$81,7,0))</f>
        <v>0.1</v>
      </c>
      <c r="AU43" s="23">
        <f>EXP(-LN(2)/35)*AU42+(1-EXP(-LN(2)/35))/(LN(2)/35)*AQ43*AR43*VLOOKUP('Données projet'!$B$10,Paramètres!$A$1:$I$89,3,0)*0.475*44/12</f>
        <v>10.48085412131395</v>
      </c>
      <c r="AV43" s="23">
        <f>EXP(-LN(2)/25)*AV42+(1-EXP(-LN(2)/25))/(LN(2)/25)*Calculateur!AQ43*Calculateur!AS43*VLOOKUP('Données projet'!$B$10,Paramètres!$A$1:$I$89,3,0)*0.475*44/12</f>
        <v>24.948302584608648</v>
      </c>
      <c r="AW43" s="23">
        <f>EXP(-LN(2)/2)*AW42+(1-EXP(-LN(2)/2))/(LN(2)/2)*AQ43*AT43*VLOOKUP('Données projet'!$B$10,Paramètres!$A$1:$I$89,3,0)*0.475*44/12</f>
        <v>3.2529033907935365</v>
      </c>
      <c r="AX43" s="23">
        <f t="shared" si="6"/>
        <v>38.682060096716128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608</v>
      </c>
      <c r="BB43" s="13">
        <f>VLOOKUP(A43,'Données projet'!$A$87:$I$107,9,0)</f>
        <v>22</v>
      </c>
      <c r="BC43" s="13">
        <f t="array" ref="BC43">INDEX(BB:BB,MIN(IF(ISNUMBER(BB43:BB239),ROW(BB43:BB239),"")))</f>
        <v>22</v>
      </c>
      <c r="BD43" s="13">
        <f>IF('Données projet'!$A$88&gt;35,BD42+BC43-BL42,IF(A43&lt;'Données projet'!$A$88,$BA$205^A43,IF(A43='Données projet'!$A$88,'Données projet'!$B$88,BD42+BC43-BL42)))</f>
        <v>608.00000000000023</v>
      </c>
      <c r="BE43" s="14">
        <f>BD43*VLOOKUP('Données projet'!$B$11,Paramètres!$A$1:$I$89,3,0)*VLOOKUP('Données projet'!$B$11,Paramètres!$A$1:$I$89,5,0)</f>
        <v>339.87200000000018</v>
      </c>
      <c r="BF43" s="14">
        <f t="shared" si="37"/>
        <v>79.473500231862857</v>
      </c>
      <c r="BG43" s="22">
        <f t="shared" si="7"/>
        <v>730.3600795704948</v>
      </c>
      <c r="BH43" s="62">
        <f t="shared" si="8"/>
        <v>978.17309338961559</v>
      </c>
      <c r="BI43" s="62">
        <f ca="1">AVERAGE(OFFSET($BH$3,0,0,'Données projet'!$E$11+1,1))-AVERAGE(OFFSET($H$3,0,0,'Données projet'!$E$11+1,1))</f>
        <v>507.66185230065889</v>
      </c>
      <c r="BJ43" s="62">
        <f t="shared" si="38"/>
        <v>640.14375617778342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65</v>
      </c>
      <c r="BM43" s="17">
        <f>IF(ISNA(VLOOKUP(A43,'Données projet'!$A$87:$I$107,5,0)),0%,VLOOKUP(A43,'Données projet'!$A$87:$I$107,5,0)*VLOOKUP('Données projet'!$B$11,Paramètres!$A$1:$I$89,7,0))</f>
        <v>0.27500000000000002</v>
      </c>
      <c r="BN43" s="17">
        <f>IF(ISNA(VLOOKUP(A43,'Données projet'!$A$87:$I$107,6,0)),0%,VLOOKUP(A43,'Données projet'!$A$87:$I$107,6,0)*VLOOKUP('Données projet'!$B$11,Paramètres!$A$1:$I$89,7,0))</f>
        <v>0.22000000000000003</v>
      </c>
      <c r="BO43" s="17">
        <f>IF(ISNA(VLOOKUP(A43,'Données projet'!$A$87:$I$107,7,0)),0%,VLOOKUP(A43,'Données projet'!$A$87:$I$107,7,0))</f>
        <v>0.1</v>
      </c>
      <c r="BP43" s="23">
        <f>EXP(-LN(2)/35)*BP42+(1-EXP(-LN(2)/35))/(LN(2)/35)*BL43*BM43*VLOOKUP('Données projet'!$B$11,Paramètres!$A$1:$I$89,3,0)*0.475*44/12</f>
        <v>13.255197859308817</v>
      </c>
      <c r="BQ43" s="23">
        <f>EXP(-LN(2)/25)*BQ42+(1-EXP(-LN(2)/25))/(LN(2)/25)*Calculateur!BL43*Calculateur!BN43*VLOOKUP('Données projet'!$B$11,Paramètres!$A$1:$I$89,3,0)*0.475*44/12</f>
        <v>31.552265033475642</v>
      </c>
      <c r="BR43" s="23">
        <f>EXP(-LN(2)/2)*BR42+(1-EXP(-LN(2)/2))/(LN(2)/2)*BL43*BO43*VLOOKUP('Données projet'!$B$11,Paramètres!$A$1:$I$89,3,0)*0.475*44/12</f>
        <v>4.1139660530624136</v>
      </c>
      <c r="BS43" s="24">
        <f t="shared" si="9"/>
        <v>48.92142894584687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>
        <f>VLOOKUP(A43,'Données projet'!$A$113:$I$133,2,0)</f>
        <v>185.99537040000001</v>
      </c>
      <c r="BW43" s="13">
        <f>VLOOKUP(A43,'Données projet'!$A$113:$I$133,9,0)</f>
        <v>7.8773148160000019</v>
      </c>
      <c r="BX43" s="13">
        <f t="array" ref="BX43">INDEX(BW:BW,MIN(IF(ISNUMBER(BW43:BW239),ROW(BW43:BW239),"")))</f>
        <v>7.8773148160000019</v>
      </c>
      <c r="BY43" s="13">
        <f>IF('Données projet'!$A$114&gt;35,BY42+BX43-CG42,IF(A43&lt;'Données projet'!$A$114,$BV$205^A43,IF(A43='Données projet'!$A$114,'Données projet'!$B$114,BY42+BX43-CG42)))</f>
        <v>185.99537039999996</v>
      </c>
      <c r="BZ43" s="14">
        <f>BY43*VLOOKUP('Données projet'!$B$12,Paramètres!$A$1:$I$89,3,0)*VLOOKUP('Données projet'!$B$12,Paramètres!$A$1:$I$89,5,0)</f>
        <v>87.045833347199974</v>
      </c>
      <c r="CA43" s="14">
        <f t="shared" si="39"/>
        <v>23.851373130775073</v>
      </c>
      <c r="CB43" s="22">
        <f t="shared" si="10"/>
        <v>193.14596794913984</v>
      </c>
      <c r="CC43" s="62">
        <f t="shared" si="11"/>
        <v>440.95898176826063</v>
      </c>
      <c r="CD43" s="62">
        <f ca="1">AVERAGE(OFFSET($CC$3,0,0,'Données projet'!$E$12+1,1))-AVERAGE(OFFSET($H$3,0,0,'Données projet'!$E$12+1,1))</f>
        <v>289.21044803824958</v>
      </c>
      <c r="CE43" s="62">
        <f t="shared" si="40"/>
        <v>196.11836398299445</v>
      </c>
      <c r="CF43" s="16">
        <f>IF(ISNA(VLOOKUP(A43,'Données projet'!$A$113:$I$133,3,0)),0,VLOOKUP(A43,'Données projet'!$A$113:$I$133,3,0))</f>
        <v>3</v>
      </c>
      <c r="CG43" s="16">
        <f>IF(ISNA(VLOOKUP(A43,'Données projet'!$A$113:$I$133,4,0)),0,VLOOKUP(A43,'Données projet'!$A$113:$I$133,4,0))</f>
        <v>37.199074070000002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0.27500000000000002</v>
      </c>
      <c r="CJ43" s="17">
        <f>IF(ISNA(VLOOKUP(A43,'Données projet'!$A$113:$I$133,7,0)),0%,VLOOKUP(A43,'Données projet'!$A$113:$I$133,7,0))</f>
        <v>0</v>
      </c>
      <c r="CK43" s="23">
        <f>EXP(-LN(2)/35)*CK42+(1-EXP(-LN(2)/35))/(LN(2)/35)*CG43*CH43*VLOOKUP('Données projet'!$B$12,Paramètres!$A$1:$I$89,3,0)*0.475*44/12</f>
        <v>0</v>
      </c>
      <c r="CL43" s="23">
        <f>EXP(-LN(2)/25)*CL42+(1-EXP(-LN(2)/25))/(LN(2)/25)*Calculateur!CG43*Calculateur!CI43*VLOOKUP('Données projet'!$B$12,Paramètres!$A$1:$I$89,3,0)*0.475*44/12</f>
        <v>9.7806171739164398</v>
      </c>
      <c r="CM43" s="23">
        <f>EXP(-LN(2)/2)*CM42+(1-EXP(-LN(2)/2))/(LN(2)/2)*CG43*CJ43*VLOOKUP('Données projet'!$B$12,Paramètres!$A$1:$I$89,3,0)*0.475*44/12</f>
        <v>0</v>
      </c>
      <c r="CN43" s="24">
        <f t="shared" si="12"/>
        <v>9.7806171739164398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>
        <f>VLOOKUP(A43,'Données projet'!$A$139:$I$159,2,0)</f>
        <v>289</v>
      </c>
      <c r="CR43" s="13">
        <f>VLOOKUP(A43,'Données projet'!$A$139:$I$159,9,0)</f>
        <v>6.2</v>
      </c>
      <c r="CS43" s="13">
        <f t="array" ref="CS43">INDEX(CR:CR,MIN(IF(ISNUMBER(CR43:CR239),ROW(CR43:CR239),"")))</f>
        <v>6.2</v>
      </c>
      <c r="CT43" s="13">
        <f>IF('Données projet'!$A$140&gt;35,CT42+CS43-DB42,IF(A43&lt;'Données projet'!$A$140,$CQ$205^A43,IF(A43='Données projet'!$A$140,'Données projet'!$B$140,CT42+CS43-DB42)))</f>
        <v>288.99999999999994</v>
      </c>
      <c r="CU43" s="18">
        <f>CT43*VLOOKUP('Données projet'!$B$13,Paramètres!$A$1:$I$89,3,0)*VLOOKUP('Données projet'!$B$13,Paramètres!$A$1:$I$89,5,0)</f>
        <v>261.48719999999992</v>
      </c>
      <c r="CV43" s="14">
        <f t="shared" si="41"/>
        <v>63.039283586802391</v>
      </c>
      <c r="CW43" s="22">
        <f t="shared" si="13"/>
        <v>565.21695891368074</v>
      </c>
      <c r="CX43" s="62">
        <f t="shared" si="14"/>
        <v>813.02997273280153</v>
      </c>
      <c r="CY43" s="62">
        <f ca="1">AVERAGE(OFFSET($CX$3,0,0,'Données projet'!$E$13+1,1))-AVERAGE(OFFSET($H$3,0,0,'Données projet'!$E$13+1,1))</f>
        <v>376.68007030857598</v>
      </c>
      <c r="CZ43" s="62">
        <f t="shared" si="42"/>
        <v>532.90758914457626</v>
      </c>
      <c r="DA43" s="16">
        <f>IF(ISNA(VLOOKUP(A43,'Données projet'!$A$139:$I$159,3,0)),0,VLOOKUP(A43,'Données projet'!$A$139:$I$159,3,0))</f>
        <v>8</v>
      </c>
      <c r="DB43" s="16">
        <f>IF(ISNA(VLOOKUP(A43,'Données projet'!$A$139:$I$159,4,0)),0,VLOOKUP(A43,'Données projet'!$A$139:$I$159,4,0))</f>
        <v>7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0.15</v>
      </c>
      <c r="DE43" s="17">
        <f>IF(ISNA(VLOOKUP(A43,'Données projet'!$A$139:$I$159,7,0)),0%,VLOOKUP(A43,'Données projet'!$A$139:$I$159,7,0))</f>
        <v>0</v>
      </c>
      <c r="DF43" s="23">
        <f>EXP(-LN(2)/35)*DF42+(1-EXP(-LN(2)/35))/(LN(2)/35)*DB43*DC43*VLOOKUP('Données projet'!$B$13,Paramètres!$A$1:$I$89,3,0)*0.475*44/12</f>
        <v>0</v>
      </c>
      <c r="DG43" s="23">
        <f>EXP(-LN(2)/25)*DG42+(1-EXP(-LN(2)/25))/(LN(2)/25)*Calculateur!DB43*Calculateur!DD43*VLOOKUP('Données projet'!$B$13,Paramètres!$A$1:$I$89,3,0)*0.475*44/12</f>
        <v>9.9281343037373322</v>
      </c>
      <c r="DH43" s="23">
        <f>EXP(-LN(2)/2)*DH42+(1-EXP(-LN(2)/2))/(LN(2)/2)*DB43*DE43*VLOOKUP('Données projet'!$B$13,Paramètres!$A$1:$I$89,3,0)*0.475*44/12</f>
        <v>0</v>
      </c>
      <c r="DI43" s="24">
        <f t="shared" si="15"/>
        <v>9.9281343037373322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11.142857142857142</v>
      </c>
      <c r="DO43" s="13">
        <f>IF('Données projet'!$A$166&gt;35,DO42+DN43-DW42,IF(A43&lt;'Données projet'!$A$166,$DL$205^A43,IF(A43='Données projet'!$A$166,'Données projet'!$B$166,DO42+DN43-DW42)))</f>
        <v>185.42857142857136</v>
      </c>
      <c r="DP43" s="18">
        <f>DO43*VLOOKUP('Données projet'!$B$14,Paramètres!$A$1:$I$89,3,0)*VLOOKUP('Données projet'!$B$14,Paramètres!$A$1:$I$89,5,0)</f>
        <v>176.45382857142852</v>
      </c>
      <c r="DQ43" s="14">
        <f t="shared" si="43"/>
        <v>44.532317040549991</v>
      </c>
      <c r="DR43" s="22">
        <f t="shared" si="16"/>
        <v>384.88420360752929</v>
      </c>
      <c r="DS43" s="62">
        <f t="shared" si="17"/>
        <v>632.69721742665013</v>
      </c>
      <c r="DT43" s="62">
        <f ca="1">AVERAGE(OFFSET($DS$3,0,0,'Données projet'!$E$14+1,1))-AVERAGE(OFFSET($H$3,0,0,'Données projet'!$E$14+1,1))</f>
        <v>364.63161066507769</v>
      </c>
      <c r="DU43" s="62">
        <f t="shared" si="44"/>
        <v>355.44729904860708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>
        <f>EXP(-LN(2)/35)*EA42+(1-EXP(-LN(2)/35))/(LN(2)/35)*DW43*DX43*VLOOKUP('Données projet'!$B$14,Paramètres!$A$1:$I$89,3,0)*0.475*44/12</f>
        <v>0</v>
      </c>
      <c r="EB43" s="23">
        <f>EXP(-LN(2)/25)*EB42+(1-EXP(-LN(2)/25))/(LN(2)/25)*Calculateur!DW43*Calculateur!DY43*VLOOKUP('Données projet'!$B$14,Paramètres!$A$1:$I$89,3,0)*0.475*44/12</f>
        <v>0</v>
      </c>
      <c r="EC43" s="23">
        <f>EXP(-LN(2)/2)*EC42+(1-EXP(-LN(2)/2))/(LN(2)/2)*DW43*DZ43*VLOOKUP('Données projet'!$B$14,Paramètres!$A$1:$I$89,3,0)*0.475*44/12</f>
        <v>0</v>
      </c>
      <c r="ED43" s="24">
        <f t="shared" si="18"/>
        <v>0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11.142857142857142</v>
      </c>
      <c r="EJ43" s="13">
        <f>IF('Données projet'!$A$192&gt;35,EJ42+EI43-ER42,IF(A43&lt;'Données projet'!$A$192,$EG$205^A43,IF(A43='Données projet'!$A$192,'Données projet'!$B$192,EJ42+EI43-ER42)))</f>
        <v>185.42857142857136</v>
      </c>
      <c r="EK43" s="18">
        <f>EJ43*VLOOKUP('Données projet'!$B$15,Paramètres!$A$1:$I$89,3,0)*VLOOKUP('Données projet'!$B$15,Paramètres!$A$1:$I$89,5,0)</f>
        <v>135.95622857142854</v>
      </c>
      <c r="EL43" s="14">
        <f t="shared" si="45"/>
        <v>35.36905996625967</v>
      </c>
      <c r="EM43" s="22">
        <f t="shared" si="19"/>
        <v>298.39154420314026</v>
      </c>
      <c r="EN43" s="62">
        <f t="shared" si="20"/>
        <v>546.20455802226104</v>
      </c>
      <c r="EO43" s="62">
        <f ca="1">AVERAGE(OFFSET($EN$3,0,0,'Données projet'!$E$15+1,1))-AVERAGE(OFFSET($H$3,0,0,'Données projet'!$E$15+1,1))</f>
        <v>293.59366973965774</v>
      </c>
      <c r="EP43" s="62">
        <f t="shared" si="46"/>
        <v>288.13804536120426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>
        <f>EXP(-LN(2)/35)*EV42+(1-EXP(-LN(2)/35))/(LN(2)/35)*ER43*ES43*VLOOKUP('Données projet'!$B$15,Paramètres!$A$1:$I$89,3,0)*0.475*44/12</f>
        <v>0</v>
      </c>
      <c r="EW43" s="23">
        <f>EXP(-LN(2)/25)*EW42+(1-EXP(-LN(2)/25))/(LN(2)/25)*Calculateur!ER43*Calculateur!ET43*VLOOKUP('Données projet'!$B$15,Paramètres!$A$1:$I$89,3,0)*0.475*44/12</f>
        <v>0</v>
      </c>
      <c r="EX43" s="23">
        <f>EXP(-LN(2)/2)*EX42+(1-EXP(-LN(2)/2))/(LN(2)/2)*ER43*EU43*VLOOKUP('Données projet'!$B$15,Paramètres!$A$1:$I$89,3,0)*0.475*44/12</f>
        <v>0</v>
      </c>
      <c r="EY43" s="24">
        <f t="shared" si="21"/>
        <v>0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11.142857142857142</v>
      </c>
      <c r="FE43" s="13">
        <f>IF('Données projet'!$A$218&gt;35,FE42+FD43-FM42,IF(A43&lt;'Données projet'!$A$218,$FB$205^A43,IF(A43='Données projet'!$A$218,'Données projet'!$B$218,FE42+FD43-FM42)))</f>
        <v>185.42857142857136</v>
      </c>
      <c r="FF43" s="18">
        <f>FE43*VLOOKUP('Données projet'!$B$16,Paramètres!$A$1:$I$89,3,0)*VLOOKUP('Données projet'!$B$16,Paramètres!$A$1:$I$89,5,0)</f>
        <v>179.34651428571422</v>
      </c>
      <c r="FG43" s="14">
        <f t="shared" si="47"/>
        <v>45.176766873629603</v>
      </c>
      <c r="FH43" s="22">
        <f t="shared" si="22"/>
        <v>391.04471468585712</v>
      </c>
      <c r="FI43" s="62">
        <f t="shared" si="23"/>
        <v>638.8577285049779</v>
      </c>
      <c r="FJ43" s="62">
        <f ca="1">AVERAGE(OFFSET($FI$3,0,0,'Données projet'!$E$16+1,1))-AVERAGE(OFFSET($H$3,0,0,'Données projet'!$E$16+1,1))</f>
        <v>369.69145521630799</v>
      </c>
      <c r="FK43" s="62">
        <f t="shared" si="48"/>
        <v>360.24112103688719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>
        <f>EXP(-LN(2)/35)*FQ42+(1-EXP(-LN(2)/35))/(LN(2)/35)*FM43*FN43*VLOOKUP('Données projet'!$B$16,Paramètres!$A$1:$I$89,3,0)*0.475*44/12</f>
        <v>0</v>
      </c>
      <c r="FR43" s="23">
        <f>EXP(-LN(2)/25)*FR42+(1-EXP(-LN(2)/25))/(LN(2)/25)*Calculateur!FM43*Calculateur!FO43*VLOOKUP('Données projet'!$B$16,Paramètres!$A$1:$I$89,3,0)*0.475*44/12</f>
        <v>0</v>
      </c>
      <c r="FS43" s="23">
        <f>EXP(-LN(2)/2)*FS42+(1-EXP(-LN(2)/2))/(LN(2)/2)*FM43*FP43*VLOOKUP('Données projet'!$B$16,Paramètres!$A$1:$I$89,3,0)*0.475*44/12</f>
        <v>0</v>
      </c>
      <c r="FT43" s="24">
        <f t="shared" si="24"/>
        <v>0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11.142857142857142</v>
      </c>
      <c r="FZ43" s="13">
        <f>IF('Données projet'!$A$244&gt;35,FZ42+FY43-GH42,IF(A43&lt;'Données projet'!$A$244,$FW$205^A43,IF(A43='Données projet'!$A$244,'Données projet'!$B$244,FZ42+FY43-GH42)))</f>
        <v>185.42857142857136</v>
      </c>
      <c r="GA43" s="18">
        <f>FZ43*VLOOKUP('Données projet'!$B$17,Paramètres!$A$1:$I$89,3,0)*VLOOKUP('Données projet'!$B$17,Paramètres!$A$1:$I$89,5,0)</f>
        <v>199.59531428571421</v>
      </c>
      <c r="GB43" s="14">
        <f t="shared" si="49"/>
        <v>49.655219572491148</v>
      </c>
      <c r="GC43" s="22">
        <f t="shared" si="25"/>
        <v>434.1113464697076</v>
      </c>
      <c r="GD43" s="62">
        <f t="shared" si="26"/>
        <v>681.92436028882844</v>
      </c>
      <c r="GE43" s="62">
        <f ca="1">AVERAGE(OFFSET($GD$3,0,0,'Données projet'!$E$17+1,1))-AVERAGE(OFFSET($H$3,0,0,'Données projet'!$E$17+1,1))</f>
        <v>405.06394904053946</v>
      </c>
      <c r="GF43" s="62">
        <f t="shared" si="50"/>
        <v>393.75247087518198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>
        <f>EXP(-LN(2)/35)*GL42+(1-EXP(-LN(2)/35))/(LN(2)/35)*GH43*GI43*VLOOKUP('Données projet'!$B$17,Paramètres!$A$1:$I$89,3,0)*0.475*44/12</f>
        <v>0</v>
      </c>
      <c r="GM43" s="23">
        <f>EXP(-LN(2)/25)*GM42+(1-EXP(-LN(2)/25))/(LN(2)/25)*Calculateur!GH43*Calculateur!GJ43*VLOOKUP('Données projet'!$B$17,Paramètres!$A$1:$I$89,3,0)*0.475*44/12</f>
        <v>0</v>
      </c>
      <c r="GN43" s="23">
        <f>EXP(-LN(2)/2)*GN42+(1-EXP(-LN(2)/2))/(LN(2)/2)*GH43*GK43*VLOOKUP('Données projet'!$B$17,Paramètres!$A$1:$I$89,3,0)*0.475*44/12</f>
        <v>0</v>
      </c>
      <c r="GO43" s="23">
        <f t="shared" si="27"/>
        <v>0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11.142857142857142</v>
      </c>
      <c r="GU43" s="13">
        <f>IF('Données projet'!$A$270&gt;35,GU42+GT43-HC42,IF(A43&lt;'Données projet'!$A$270,$GR$205^A43,IF(A43='Données projet'!$A$270,'Données projet'!$B$270,GU42+GT43-HC42)))</f>
        <v>185.42857142857136</v>
      </c>
      <c r="GV43" s="18">
        <f>GU43*VLOOKUP('Données projet'!$B$18,Paramètres!$A$1:$I$89,3,0)*VLOOKUP('Données projet'!$B$18,Paramètres!$A$1:$I$89,5,0)</f>
        <v>124.38548571428568</v>
      </c>
      <c r="GW43" s="14">
        <f t="shared" si="51"/>
        <v>32.69569530117105</v>
      </c>
      <c r="GX43" s="22">
        <f t="shared" si="28"/>
        <v>273.58305693525381</v>
      </c>
      <c r="GY43" s="62">
        <f t="shared" si="29"/>
        <v>521.39607075437459</v>
      </c>
      <c r="GZ43" s="62">
        <f ca="1">AVERAGE(OFFSET($GY$3,0,0,'Données projet'!$E$18+1,1))-AVERAGE(OFFSET($H$3,0,0,'Données projet'!$E$18+1,1))</f>
        <v>273.21861937609918</v>
      </c>
      <c r="HA43" s="62">
        <f t="shared" si="52"/>
        <v>268.83004886965318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>
        <f>EXP(-LN(2)/35)*HG42+(1-EXP(-LN(2)/35))/(LN(2)/35)*HC43*HD43*VLOOKUP('Données projet'!$B$18,Paramètres!$A$1:$I$89,3,0)*0.475*44/12</f>
        <v>0</v>
      </c>
      <c r="HH43" s="23">
        <f>EXP(-LN(2)/25)*HH42+(1-EXP(-LN(2)/25))/(LN(2)/25)*Calculateur!HC43*Calculateur!HE43*VLOOKUP('Données projet'!$B$18,Paramètres!$A$1:$I$89,3,0)*0.475*44/12</f>
        <v>0</v>
      </c>
      <c r="HI43" s="23">
        <f>EXP(-LN(2)/2)*HI42+(1-EXP(-LN(2)/2))/(LN(2)/2)*HC43*HF43*VLOOKUP('Données projet'!$B$18,Paramètres!$A$1:$I$89,3,0)*0.475*44/12</f>
        <v>0</v>
      </c>
      <c r="HJ43" s="24">
        <f t="shared" si="30"/>
        <v>0</v>
      </c>
    </row>
    <row r="44" spans="1:218" s="5" customFormat="1" x14ac:dyDescent="0.4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2.4423076923076925</v>
      </c>
      <c r="N44" s="14">
        <f>IF('Données projet'!$A$36&gt;35,N43+M44-V43,IF(A44&lt;'Données projet'!$A$36,$K$205^A44,IF(A44='Données projet'!$A$36,'Données projet'!$B$36,N43+M44-V43)))</f>
        <v>100.13461538461542</v>
      </c>
      <c r="O44" s="14">
        <f>N44*VLOOKUP('Données projet'!$B$9,Paramètres!$A$1:$I$89,3,0)*VLOOKUP('Données projet'!$B$9,Paramètres!$A$1:$I$89,5,0)</f>
        <v>90.601800000000026</v>
      </c>
      <c r="P44" s="14">
        <f t="shared" si="33"/>
        <v>24.710308319515875</v>
      </c>
      <c r="Q44" s="22">
        <f t="shared" si="53"/>
        <v>200.83525532315684</v>
      </c>
      <c r="R44" s="62">
        <f t="shared" si="0"/>
        <v>449.43794491766084</v>
      </c>
      <c r="S44" s="62">
        <f ca="1">AVERAGE(OFFSET($R$3,0,0,'Données projet'!$E$9+1,1))-AVERAGE(OFFSET($H$3,0,0,'Données projet'!$E$9+1,1))</f>
        <v>432.80275651765203</v>
      </c>
      <c r="T44" s="62">
        <f t="shared" si="34"/>
        <v>203.89279893419919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0</v>
      </c>
      <c r="AA44" s="23">
        <f>EXP(-LN(2)/25)*AA43+(1-EXP(-LN(2)/25))/(LN(2)/25)*Calculateur!V44*Calculateur!X44*VLOOKUP('Données projet'!$B$9,Paramètres!$A$1:$I$89,3,0)*0.475*44/12</f>
        <v>0</v>
      </c>
      <c r="AB44" s="23">
        <f>EXP(-LN(2)/2)*AB43+(1-EXP(-LN(2)/2))/(LN(2)/2)*V44*Y44*VLOOKUP('Données projet'!$B$9,Paramètres!$A$1:$I$89,3,0)*0.475*44/12</f>
        <v>0</v>
      </c>
      <c r="AC44" s="24">
        <f t="shared" si="3"/>
        <v>0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19.600000000000001</v>
      </c>
      <c r="AI44" s="14">
        <f>IF('Données projet'!$A$62&gt;35,AI43+AH44-AQ43,IF(A44&lt;'Données projet'!$A$62,$AF$205^A44,IF(A44='Données projet'!$A$62,'Données projet'!$B$62,AI43+AH44-AQ43)))</f>
        <v>562.60000000000025</v>
      </c>
      <c r="AJ44" s="14">
        <f>AI44*VLOOKUP('Données projet'!$B$10,Paramètres!$A$1:$I$89,3,0)*VLOOKUP('Données projet'!$B$10,Paramètres!$A$1:$I$89,5,0)</f>
        <v>248.66920000000013</v>
      </c>
      <c r="AK44" s="14">
        <f t="shared" si="35"/>
        <v>60.300881599497529</v>
      </c>
      <c r="AL44" s="22">
        <f t="shared" si="4"/>
        <v>538.12289211912514</v>
      </c>
      <c r="AM44" s="62">
        <f t="shared" si="5"/>
        <v>786.72558171362914</v>
      </c>
      <c r="AN44" s="62">
        <f ca="1">AVERAGE(OFFSET($AM$3,0,0,'Données projet'!$E$10+1,1))-AVERAGE(OFFSET($H$3,0,0,'Données projet'!$E$10+1,1))</f>
        <v>413.08876898406481</v>
      </c>
      <c r="AO44" s="62">
        <f t="shared" si="36"/>
        <v>520.31320932826566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10.275330964684771</v>
      </c>
      <c r="AV44" s="23">
        <f>EXP(-LN(2)/25)*AV43+(1-EXP(-LN(2)/25))/(LN(2)/25)*Calculateur!AQ44*Calculateur!AS44*VLOOKUP('Données projet'!$B$10,Paramètres!$A$1:$I$89,3,0)*0.475*44/12</f>
        <v>24.266089938458311</v>
      </c>
      <c r="AW44" s="23">
        <f>EXP(-LN(2)/2)*AW43+(1-EXP(-LN(2)/2))/(LN(2)/2)*AQ44*AT44*VLOOKUP('Données projet'!$B$10,Paramètres!$A$1:$I$89,3,0)*0.475*44/12</f>
        <v>2.3001500461748239</v>
      </c>
      <c r="AX44" s="23">
        <f t="shared" si="6"/>
        <v>36.841570949317905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19.600000000000001</v>
      </c>
      <c r="BD44" s="13">
        <f>IF('Données projet'!$A$88&gt;35,BD43+BC44-BL43,IF(A44&lt;'Données projet'!$A$88,$BA$205^A44,IF(A44='Données projet'!$A$88,'Données projet'!$B$88,BD43+BC44-BL43)))</f>
        <v>562.60000000000025</v>
      </c>
      <c r="BE44" s="14">
        <f>BD44*VLOOKUP('Données projet'!$B$11,Paramètres!$A$1:$I$89,3,0)*VLOOKUP('Données projet'!$B$11,Paramètres!$A$1:$I$89,5,0)</f>
        <v>314.49340000000012</v>
      </c>
      <c r="BF44" s="14">
        <f t="shared" si="37"/>
        <v>74.206443537137488</v>
      </c>
      <c r="BG44" s="22">
        <f t="shared" si="7"/>
        <v>676.9855608271813</v>
      </c>
      <c r="BH44" s="62">
        <f t="shared" si="8"/>
        <v>925.5882504216853</v>
      </c>
      <c r="BI44" s="62">
        <f ca="1">AVERAGE(OFFSET($BH$3,0,0,'Données projet'!$E$11+1,1))-AVERAGE(OFFSET($H$3,0,0,'Données projet'!$E$11+1,1))</f>
        <v>507.66185230065889</v>
      </c>
      <c r="BJ44" s="62">
        <f t="shared" si="38"/>
        <v>640.14375617778342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12.99527151416015</v>
      </c>
      <c r="BQ44" s="23">
        <f>EXP(-LN(2)/25)*BQ43+(1-EXP(-LN(2)/25))/(LN(2)/25)*Calculateur!BL44*Calculateur!BN44*VLOOKUP('Données projet'!$B$11,Paramètres!$A$1:$I$89,3,0)*0.475*44/12</f>
        <v>30.689466686873747</v>
      </c>
      <c r="BR44" s="23">
        <f>EXP(-LN(2)/2)*BR43+(1-EXP(-LN(2)/2))/(LN(2)/2)*BL44*BO44*VLOOKUP('Données projet'!$B$11,Paramètres!$A$1:$I$89,3,0)*0.475*44/12</f>
        <v>2.909013293691689</v>
      </c>
      <c r="BS44" s="24">
        <f t="shared" si="9"/>
        <v>46.593751494725581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8.6871141969999961</v>
      </c>
      <c r="BY44" s="13">
        <f>IF('Données projet'!$A$114&gt;35,BY43+BX44-CG43,IF(A44&lt;'Données projet'!$A$114,$BV$205^A44,IF(A44='Données projet'!$A$114,'Données projet'!$B$114,BY43+BX44-CG43)))</f>
        <v>157.48341052699996</v>
      </c>
      <c r="BZ44" s="14">
        <f>BY44*VLOOKUP('Données projet'!$B$12,Paramètres!$A$1:$I$89,3,0)*VLOOKUP('Données projet'!$B$12,Paramètres!$A$1:$I$89,5,0)</f>
        <v>73.702236126635981</v>
      </c>
      <c r="CA44" s="14">
        <f t="shared" si="39"/>
        <v>20.590077442624544</v>
      </c>
      <c r="CB44" s="22">
        <f t="shared" si="10"/>
        <v>164.22577946646206</v>
      </c>
      <c r="CC44" s="62">
        <f t="shared" si="11"/>
        <v>412.82846906096603</v>
      </c>
      <c r="CD44" s="62">
        <f ca="1">AVERAGE(OFFSET($CC$3,0,0,'Données projet'!$E$12+1,1))-AVERAGE(OFFSET($H$3,0,0,'Données projet'!$E$12+1,1))</f>
        <v>289.21044803824958</v>
      </c>
      <c r="CE44" s="62">
        <f t="shared" si="40"/>
        <v>196.11836398299445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>
        <f>EXP(-LN(2)/35)*CK43+(1-EXP(-LN(2)/35))/(LN(2)/35)*CG44*CH44*VLOOKUP('Données projet'!$B$12,Paramètres!$A$1:$I$89,3,0)*0.475*44/12</f>
        <v>0</v>
      </c>
      <c r="CL44" s="23">
        <f>EXP(-LN(2)/25)*CL43+(1-EXP(-LN(2)/25))/(LN(2)/25)*Calculateur!CG44*Calculateur!CI44*VLOOKUP('Données projet'!$B$12,Paramètres!$A$1:$I$89,3,0)*0.475*44/12</f>
        <v>9.5131656829553908</v>
      </c>
      <c r="CM44" s="23">
        <f>EXP(-LN(2)/2)*CM43+(1-EXP(-LN(2)/2))/(LN(2)/2)*CG44*CJ44*VLOOKUP('Données projet'!$B$12,Paramètres!$A$1:$I$89,3,0)*0.475*44/12</f>
        <v>0</v>
      </c>
      <c r="CN44" s="24">
        <f t="shared" si="12"/>
        <v>9.5131656829553908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6</v>
      </c>
      <c r="CT44" s="13">
        <f>IF('Données projet'!$A$140&gt;35,CT43+CS44-DB43,IF(A44&lt;'Données projet'!$A$140,$CQ$205^A44,IF(A44='Données projet'!$A$140,'Données projet'!$B$140,CT43+CS44-DB43)))</f>
        <v>287.99999999999994</v>
      </c>
      <c r="CU44" s="18">
        <f>CT44*VLOOKUP('Données projet'!$B$13,Paramètres!$A$1:$I$89,3,0)*VLOOKUP('Données projet'!$B$13,Paramètres!$A$1:$I$89,5,0)</f>
        <v>260.58239999999995</v>
      </c>
      <c r="CV44" s="14">
        <f t="shared" si="41"/>
        <v>62.846505929896907</v>
      </c>
      <c r="CW44" s="22">
        <f t="shared" si="13"/>
        <v>563.30534449457025</v>
      </c>
      <c r="CX44" s="62">
        <f t="shared" si="14"/>
        <v>811.90803408907425</v>
      </c>
      <c r="CY44" s="62">
        <f ca="1">AVERAGE(OFFSET($CX$3,0,0,'Données projet'!$E$13+1,1))-AVERAGE(OFFSET($H$3,0,0,'Données projet'!$E$13+1,1))</f>
        <v>376.68007030857598</v>
      </c>
      <c r="CZ44" s="62">
        <f t="shared" si="42"/>
        <v>532.90758914457626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>
        <f>EXP(-LN(2)/35)*DF43+(1-EXP(-LN(2)/35))/(LN(2)/35)*DB44*DC44*VLOOKUP('Données projet'!$B$13,Paramètres!$A$1:$I$89,3,0)*0.475*44/12</f>
        <v>0</v>
      </c>
      <c r="DG44" s="23">
        <f>EXP(-LN(2)/25)*DG43+(1-EXP(-LN(2)/25))/(LN(2)/25)*Calculateur!DB44*Calculateur!DD44*VLOOKUP('Données projet'!$B$13,Paramètres!$A$1:$I$89,3,0)*0.475*44/12</f>
        <v>9.6566489491037437</v>
      </c>
      <c r="DH44" s="23">
        <f>EXP(-LN(2)/2)*DH43+(1-EXP(-LN(2)/2))/(LN(2)/2)*DB44*DE44*VLOOKUP('Données projet'!$B$13,Paramètres!$A$1:$I$89,3,0)*0.475*44/12</f>
        <v>0</v>
      </c>
      <c r="DI44" s="24">
        <f t="shared" si="15"/>
        <v>9.6566489491037437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11.142857142857142</v>
      </c>
      <c r="DO44" s="13">
        <f>IF('Données projet'!$A$166&gt;35,DO43+DN44-DW43,IF(A44&lt;'Données projet'!$A$166,$DL$205^A44,IF(A44='Données projet'!$A$166,'Données projet'!$B$166,DO43+DN44-DW43)))</f>
        <v>196.5714285714285</v>
      </c>
      <c r="DP44" s="18">
        <f>DO44*VLOOKUP('Données projet'!$B$14,Paramètres!$A$1:$I$89,3,0)*VLOOKUP('Données projet'!$B$14,Paramètres!$A$1:$I$89,5,0)</f>
        <v>187.05737142857134</v>
      </c>
      <c r="DQ44" s="14">
        <f t="shared" si="43"/>
        <v>46.888789636782555</v>
      </c>
      <c r="DR44" s="22">
        <f t="shared" si="16"/>
        <v>407.45623052215802</v>
      </c>
      <c r="DS44" s="62">
        <f t="shared" si="17"/>
        <v>656.05892011666197</v>
      </c>
      <c r="DT44" s="62">
        <f ca="1">AVERAGE(OFFSET($DS$3,0,0,'Données projet'!$E$14+1,1))-AVERAGE(OFFSET($H$3,0,0,'Données projet'!$E$14+1,1))</f>
        <v>364.63161066507769</v>
      </c>
      <c r="DU44" s="62">
        <f t="shared" si="44"/>
        <v>355.44729904860708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>
        <f>EXP(-LN(2)/35)*EA43+(1-EXP(-LN(2)/35))/(LN(2)/35)*DW44*DX44*VLOOKUP('Données projet'!$B$14,Paramètres!$A$1:$I$89,3,0)*0.475*44/12</f>
        <v>0</v>
      </c>
      <c r="EB44" s="23">
        <f>EXP(-LN(2)/25)*EB43+(1-EXP(-LN(2)/25))/(LN(2)/25)*Calculateur!DW44*Calculateur!DY44*VLOOKUP('Données projet'!$B$14,Paramètres!$A$1:$I$89,3,0)*0.475*44/12</f>
        <v>0</v>
      </c>
      <c r="EC44" s="23">
        <f>EXP(-LN(2)/2)*EC43+(1-EXP(-LN(2)/2))/(LN(2)/2)*DW44*DZ44*VLOOKUP('Données projet'!$B$14,Paramètres!$A$1:$I$89,3,0)*0.475*44/12</f>
        <v>0</v>
      </c>
      <c r="ED44" s="24">
        <f t="shared" si="18"/>
        <v>0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11.142857142857142</v>
      </c>
      <c r="EJ44" s="13">
        <f>IF('Données projet'!$A$192&gt;35,EJ43+EI44-ER43,IF(A44&lt;'Données projet'!$A$192,$EG$205^A44,IF(A44='Données projet'!$A$192,'Données projet'!$B$192,EJ43+EI44-ER43)))</f>
        <v>196.5714285714285</v>
      </c>
      <c r="EK44" s="18">
        <f>EJ44*VLOOKUP('Données projet'!$B$15,Paramètres!$A$1:$I$89,3,0)*VLOOKUP('Données projet'!$B$15,Paramètres!$A$1:$I$89,5,0)</f>
        <v>144.12617142857138</v>
      </c>
      <c r="EL44" s="14">
        <f t="shared" si="45"/>
        <v>37.240649546678377</v>
      </c>
      <c r="EM44" s="22">
        <f t="shared" si="19"/>
        <v>315.88054653189334</v>
      </c>
      <c r="EN44" s="62">
        <f t="shared" si="20"/>
        <v>564.48323612639729</v>
      </c>
      <c r="EO44" s="62">
        <f ca="1">AVERAGE(OFFSET($EN$3,0,0,'Données projet'!$E$15+1,1))-AVERAGE(OFFSET($H$3,0,0,'Données projet'!$E$15+1,1))</f>
        <v>293.59366973965774</v>
      </c>
      <c r="EP44" s="62">
        <f t="shared" si="46"/>
        <v>288.13804536120426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>
        <f>EXP(-LN(2)/35)*EV43+(1-EXP(-LN(2)/35))/(LN(2)/35)*ER44*ES44*VLOOKUP('Données projet'!$B$15,Paramètres!$A$1:$I$89,3,0)*0.475*44/12</f>
        <v>0</v>
      </c>
      <c r="EW44" s="23">
        <f>EXP(-LN(2)/25)*EW43+(1-EXP(-LN(2)/25))/(LN(2)/25)*Calculateur!ER44*Calculateur!ET44*VLOOKUP('Données projet'!$B$15,Paramètres!$A$1:$I$89,3,0)*0.475*44/12</f>
        <v>0</v>
      </c>
      <c r="EX44" s="23">
        <f>EXP(-LN(2)/2)*EX43+(1-EXP(-LN(2)/2))/(LN(2)/2)*ER44*EU44*VLOOKUP('Données projet'!$B$15,Paramètres!$A$1:$I$89,3,0)*0.475*44/12</f>
        <v>0</v>
      </c>
      <c r="EY44" s="24">
        <f t="shared" si="21"/>
        <v>0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11.142857142857142</v>
      </c>
      <c r="FE44" s="13">
        <f>IF('Données projet'!$A$218&gt;35,FE43+FD44-FM43,IF(A44&lt;'Données projet'!$A$218,$FB$205^A44,IF(A44='Données projet'!$A$218,'Données projet'!$B$218,FE43+FD44-FM43)))</f>
        <v>196.5714285714285</v>
      </c>
      <c r="FF44" s="18">
        <f>FE44*VLOOKUP('Données projet'!$B$16,Paramètres!$A$1:$I$89,3,0)*VLOOKUP('Données projet'!$B$16,Paramètres!$A$1:$I$89,5,0)</f>
        <v>190.12388571428565</v>
      </c>
      <c r="FG44" s="14">
        <f t="shared" si="47"/>
        <v>47.567341184576811</v>
      </c>
      <c r="FH44" s="22">
        <f t="shared" si="22"/>
        <v>413.97888684885203</v>
      </c>
      <c r="FI44" s="62">
        <f t="shared" si="23"/>
        <v>662.58157644335597</v>
      </c>
      <c r="FJ44" s="62">
        <f ca="1">AVERAGE(OFFSET($FI$3,0,0,'Données projet'!$E$16+1,1))-AVERAGE(OFFSET($H$3,0,0,'Données projet'!$E$16+1,1))</f>
        <v>369.69145521630799</v>
      </c>
      <c r="FK44" s="62">
        <f t="shared" si="48"/>
        <v>360.24112103688719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>
        <f>EXP(-LN(2)/35)*FQ43+(1-EXP(-LN(2)/35))/(LN(2)/35)*FM44*FN44*VLOOKUP('Données projet'!$B$16,Paramètres!$A$1:$I$89,3,0)*0.475*44/12</f>
        <v>0</v>
      </c>
      <c r="FR44" s="23">
        <f>EXP(-LN(2)/25)*FR43+(1-EXP(-LN(2)/25))/(LN(2)/25)*Calculateur!FM44*Calculateur!FO44*VLOOKUP('Données projet'!$B$16,Paramètres!$A$1:$I$89,3,0)*0.475*44/12</f>
        <v>0</v>
      </c>
      <c r="FS44" s="23">
        <f>EXP(-LN(2)/2)*FS43+(1-EXP(-LN(2)/2))/(LN(2)/2)*FM44*FP44*VLOOKUP('Données projet'!$B$16,Paramètres!$A$1:$I$89,3,0)*0.475*44/12</f>
        <v>0</v>
      </c>
      <c r="FT44" s="24">
        <f t="shared" si="24"/>
        <v>0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11.142857142857142</v>
      </c>
      <c r="FZ44" s="13">
        <f>IF('Données projet'!$A$244&gt;35,FZ43+FY44-GH43,IF(A44&lt;'Données projet'!$A$244,$FW$205^A44,IF(A44='Données projet'!$A$244,'Données projet'!$B$244,FZ43+FY44-GH43)))</f>
        <v>196.5714285714285</v>
      </c>
      <c r="GA44" s="18">
        <f>FZ44*VLOOKUP('Données projet'!$B$17,Paramètres!$A$1:$I$89,3,0)*VLOOKUP('Données projet'!$B$17,Paramètres!$A$1:$I$89,5,0)</f>
        <v>211.58948571428562</v>
      </c>
      <c r="GB44" s="14">
        <f t="shared" si="49"/>
        <v>52.282775737510292</v>
      </c>
      <c r="GC44" s="22">
        <f t="shared" si="25"/>
        <v>459.57752202854454</v>
      </c>
      <c r="GD44" s="62">
        <f t="shared" si="26"/>
        <v>708.18021162304854</v>
      </c>
      <c r="GE44" s="62">
        <f ca="1">AVERAGE(OFFSET($GD$3,0,0,'Données projet'!$E$17+1,1))-AVERAGE(OFFSET($H$3,0,0,'Données projet'!$E$17+1,1))</f>
        <v>405.06394904053946</v>
      </c>
      <c r="GF44" s="62">
        <f t="shared" si="50"/>
        <v>393.75247087518198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>
        <f>EXP(-LN(2)/35)*GL43+(1-EXP(-LN(2)/35))/(LN(2)/35)*GH44*GI44*VLOOKUP('Données projet'!$B$17,Paramètres!$A$1:$I$89,3,0)*0.475*44/12</f>
        <v>0</v>
      </c>
      <c r="GM44" s="23">
        <f>EXP(-LN(2)/25)*GM43+(1-EXP(-LN(2)/25))/(LN(2)/25)*Calculateur!GH44*Calculateur!GJ44*VLOOKUP('Données projet'!$B$17,Paramètres!$A$1:$I$89,3,0)*0.475*44/12</f>
        <v>0</v>
      </c>
      <c r="GN44" s="23">
        <f>EXP(-LN(2)/2)*GN43+(1-EXP(-LN(2)/2))/(LN(2)/2)*GH44*GK44*VLOOKUP('Données projet'!$B$17,Paramètres!$A$1:$I$89,3,0)*0.475*44/12</f>
        <v>0</v>
      </c>
      <c r="GO44" s="23">
        <f t="shared" si="27"/>
        <v>0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11.142857142857142</v>
      </c>
      <c r="GU44" s="13">
        <f>IF('Données projet'!$A$270&gt;35,GU43+GT44-HC43,IF(A44&lt;'Données projet'!$A$270,$GR$205^A44,IF(A44='Données projet'!$A$270,'Données projet'!$B$270,GU43+GT44-HC43)))</f>
        <v>196.5714285714285</v>
      </c>
      <c r="GV44" s="18">
        <f>GU44*VLOOKUP('Données projet'!$B$18,Paramètres!$A$1:$I$89,3,0)*VLOOKUP('Données projet'!$B$18,Paramètres!$A$1:$I$89,5,0)</f>
        <v>131.86011428571425</v>
      </c>
      <c r="GW44" s="14">
        <f t="shared" si="51"/>
        <v>34.425821086492789</v>
      </c>
      <c r="GX44" s="22">
        <f t="shared" si="28"/>
        <v>289.61467077326057</v>
      </c>
      <c r="GY44" s="62">
        <f t="shared" si="29"/>
        <v>538.21736036776451</v>
      </c>
      <c r="GZ44" s="62">
        <f ca="1">AVERAGE(OFFSET($GY$3,0,0,'Données projet'!$E$18+1,1))-AVERAGE(OFFSET($H$3,0,0,'Données projet'!$E$18+1,1))</f>
        <v>273.21861937609918</v>
      </c>
      <c r="HA44" s="62">
        <f t="shared" si="52"/>
        <v>268.83004886965318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>
        <f>EXP(-LN(2)/35)*HG43+(1-EXP(-LN(2)/35))/(LN(2)/35)*HC44*HD44*VLOOKUP('Données projet'!$B$18,Paramètres!$A$1:$I$89,3,0)*0.475*44/12</f>
        <v>0</v>
      </c>
      <c r="HH44" s="23">
        <f>EXP(-LN(2)/25)*HH43+(1-EXP(-LN(2)/25))/(LN(2)/25)*Calculateur!HC44*Calculateur!HE44*VLOOKUP('Données projet'!$B$18,Paramètres!$A$1:$I$89,3,0)*0.475*44/12</f>
        <v>0</v>
      </c>
      <c r="HI44" s="23">
        <f>EXP(-LN(2)/2)*HI43+(1-EXP(-LN(2)/2))/(LN(2)/2)*HC44*HF44*VLOOKUP('Données projet'!$B$18,Paramètres!$A$1:$I$89,3,0)*0.475*44/12</f>
        <v>0</v>
      </c>
      <c r="HJ44" s="24">
        <f t="shared" si="30"/>
        <v>0</v>
      </c>
    </row>
    <row r="45" spans="1:218" s="5" customFormat="1" x14ac:dyDescent="0.4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2.4423076923076925</v>
      </c>
      <c r="N45" s="14">
        <f>IF('Données projet'!$A$36&gt;35,N44+M45-V44,IF(A45&lt;'Données projet'!$A$36,$K$205^A45,IF(A45='Données projet'!$A$36,'Données projet'!$B$36,N44+M45-V44)))</f>
        <v>102.57692307692311</v>
      </c>
      <c r="O45" s="14">
        <f>N45*VLOOKUP('Données projet'!$B$9,Paramètres!$A$1:$I$89,3,0)*VLOOKUP('Données projet'!$B$9,Paramètres!$A$1:$I$89,5,0)</f>
        <v>92.811600000000027</v>
      </c>
      <c r="P45" s="14">
        <f t="shared" si="33"/>
        <v>25.242096429202068</v>
      </c>
      <c r="Q45" s="22">
        <f t="shared" si="53"/>
        <v>205.61018794752695</v>
      </c>
      <c r="R45" s="62">
        <f t="shared" si="0"/>
        <v>454.98885420816168</v>
      </c>
      <c r="S45" s="62">
        <f ca="1">AVERAGE(OFFSET($R$3,0,0,'Données projet'!$E$9+1,1))-AVERAGE(OFFSET($H$3,0,0,'Données projet'!$E$9+1,1))</f>
        <v>432.80275651765203</v>
      </c>
      <c r="T45" s="62">
        <f t="shared" si="34"/>
        <v>203.89279893419919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0</v>
      </c>
      <c r="AA45" s="23">
        <f>EXP(-LN(2)/25)*AA44+(1-EXP(-LN(2)/25))/(LN(2)/25)*Calculateur!V45*Calculateur!X45*VLOOKUP('Données projet'!$B$9,Paramètres!$A$1:$I$89,3,0)*0.475*44/12</f>
        <v>0</v>
      </c>
      <c r="AB45" s="23">
        <f>EXP(-LN(2)/2)*AB44+(1-EXP(-LN(2)/2))/(LN(2)/2)*V45*Y45*VLOOKUP('Données projet'!$B$9,Paramètres!$A$1:$I$89,3,0)*0.475*44/12</f>
        <v>0</v>
      </c>
      <c r="AC45" s="24">
        <f t="shared" si="3"/>
        <v>0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19.600000000000001</v>
      </c>
      <c r="AI45" s="14">
        <f>IF('Données projet'!$A$62&gt;35,AI44+AH45-AQ44,IF(A45&lt;'Données projet'!$A$62,$AF$205^A45,IF(A45='Données projet'!$A$62,'Données projet'!$B$62,AI44+AH45-AQ44)))</f>
        <v>582.20000000000027</v>
      </c>
      <c r="AJ45" s="14">
        <f>AI45*VLOOKUP('Données projet'!$B$10,Paramètres!$A$1:$I$89,3,0)*VLOOKUP('Données projet'!$B$10,Paramètres!$A$1:$I$89,5,0)</f>
        <v>257.33240000000018</v>
      </c>
      <c r="AK45" s="14">
        <f t="shared" si="35"/>
        <v>62.153412588931701</v>
      </c>
      <c r="AL45" s="22">
        <f t="shared" si="4"/>
        <v>556.43779025905633</v>
      </c>
      <c r="AM45" s="62">
        <f t="shared" si="5"/>
        <v>805.81645651969109</v>
      </c>
      <c r="AN45" s="62">
        <f ca="1">AVERAGE(OFFSET($AM$3,0,0,'Données projet'!$E$10+1,1))-AVERAGE(OFFSET($H$3,0,0,'Données projet'!$E$10+1,1))</f>
        <v>413.08876898406481</v>
      </c>
      <c r="AO45" s="62">
        <f t="shared" si="36"/>
        <v>520.31320932826566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10.073837991800344</v>
      </c>
      <c r="AV45" s="23">
        <f>EXP(-LN(2)/25)*AV44+(1-EXP(-LN(2)/25))/(LN(2)/25)*Calculateur!AQ45*Calculateur!AS45*VLOOKUP('Données projet'!$B$10,Paramètres!$A$1:$I$89,3,0)*0.475*44/12</f>
        <v>23.602532432992959</v>
      </c>
      <c r="AW45" s="23">
        <f>EXP(-LN(2)/2)*AW44+(1-EXP(-LN(2)/2))/(LN(2)/2)*AQ45*AT45*VLOOKUP('Données projet'!$B$10,Paramètres!$A$1:$I$89,3,0)*0.475*44/12</f>
        <v>1.6264516953967685</v>
      </c>
      <c r="AX45" s="23">
        <f t="shared" si="6"/>
        <v>35.302822120190072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19.600000000000001</v>
      </c>
      <c r="BD45" s="13">
        <f>IF('Données projet'!$A$88&gt;35,BD44+BC45-BL44,IF(A45&lt;'Données projet'!$A$88,$BA$205^A45,IF(A45='Données projet'!$A$88,'Données projet'!$B$88,BD44+BC45-BL44)))</f>
        <v>582.20000000000027</v>
      </c>
      <c r="BE45" s="14">
        <f>BD45*VLOOKUP('Données projet'!$B$11,Paramètres!$A$1:$I$89,3,0)*VLOOKUP('Données projet'!$B$11,Paramètres!$A$1:$I$89,5,0)</f>
        <v>325.44980000000015</v>
      </c>
      <c r="BF45" s="14">
        <f t="shared" si="37"/>
        <v>76.486173660840848</v>
      </c>
      <c r="BG45" s="22">
        <f t="shared" si="7"/>
        <v>700.03848745929793</v>
      </c>
      <c r="BH45" s="62">
        <f t="shared" si="8"/>
        <v>949.41715371993268</v>
      </c>
      <c r="BI45" s="62">
        <f ca="1">AVERAGE(OFFSET($BH$3,0,0,'Données projet'!$E$11+1,1))-AVERAGE(OFFSET($H$3,0,0,'Données projet'!$E$11+1,1))</f>
        <v>507.66185230065889</v>
      </c>
      <c r="BJ45" s="62">
        <f t="shared" si="38"/>
        <v>640.14375617778342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12.740442166100433</v>
      </c>
      <c r="BQ45" s="23">
        <f>EXP(-LN(2)/25)*BQ44+(1-EXP(-LN(2)/25))/(LN(2)/25)*Calculateur!BL45*Calculateur!BN45*VLOOKUP('Données projet'!$B$11,Paramètres!$A$1:$I$89,3,0)*0.475*44/12</f>
        <v>29.850261606432273</v>
      </c>
      <c r="BR45" s="23">
        <f>EXP(-LN(2)/2)*BR44+(1-EXP(-LN(2)/2))/(LN(2)/2)*BL45*BO45*VLOOKUP('Données projet'!$B$11,Paramètres!$A$1:$I$89,3,0)*0.475*44/12</f>
        <v>2.0569830265312072</v>
      </c>
      <c r="BS45" s="24">
        <f t="shared" si="9"/>
        <v>44.647686799063912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8.6871141969999961</v>
      </c>
      <c r="BY45" s="13">
        <f>IF('Données projet'!$A$114&gt;35,BY44+BX45-CG44,IF(A45&lt;'Données projet'!$A$114,$BV$205^A45,IF(A45='Données projet'!$A$114,'Données projet'!$B$114,BY44+BX45-CG44)))</f>
        <v>166.17052472399996</v>
      </c>
      <c r="BZ45" s="14">
        <f>BY45*VLOOKUP('Données projet'!$B$12,Paramètres!$A$1:$I$89,3,0)*VLOOKUP('Données projet'!$B$12,Paramètres!$A$1:$I$89,5,0)</f>
        <v>77.767805570831982</v>
      </c>
      <c r="CA45" s="14">
        <f t="shared" si="39"/>
        <v>21.590505336072304</v>
      </c>
      <c r="CB45" s="22">
        <f t="shared" si="10"/>
        <v>173.04905816285827</v>
      </c>
      <c r="CC45" s="62">
        <f t="shared" si="11"/>
        <v>422.42772442349303</v>
      </c>
      <c r="CD45" s="62">
        <f ca="1">AVERAGE(OFFSET($CC$3,0,0,'Données projet'!$E$12+1,1))-AVERAGE(OFFSET($H$3,0,0,'Données projet'!$E$12+1,1))</f>
        <v>289.21044803824958</v>
      </c>
      <c r="CE45" s="62">
        <f t="shared" si="40"/>
        <v>196.11836398299445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>
        <f>EXP(-LN(2)/35)*CK44+(1-EXP(-LN(2)/35))/(LN(2)/35)*CG45*CH45*VLOOKUP('Données projet'!$B$12,Paramètres!$A$1:$I$89,3,0)*0.475*44/12</f>
        <v>0</v>
      </c>
      <c r="CL45" s="23">
        <f>EXP(-LN(2)/25)*CL44+(1-EXP(-LN(2)/25))/(LN(2)/25)*Calculateur!CG45*Calculateur!CI45*VLOOKUP('Données projet'!$B$12,Paramètres!$A$1:$I$89,3,0)*0.475*44/12</f>
        <v>9.2530276670793352</v>
      </c>
      <c r="CM45" s="23">
        <f>EXP(-LN(2)/2)*CM44+(1-EXP(-LN(2)/2))/(LN(2)/2)*CG45*CJ45*VLOOKUP('Données projet'!$B$12,Paramètres!$A$1:$I$89,3,0)*0.475*44/12</f>
        <v>0</v>
      </c>
      <c r="CN45" s="24">
        <f t="shared" si="12"/>
        <v>9.2530276670793352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6</v>
      </c>
      <c r="CT45" s="13">
        <f>IF('Données projet'!$A$140&gt;35,CT44+CS45-DB44,IF(A45&lt;'Données projet'!$A$140,$CQ$205^A45,IF(A45='Données projet'!$A$140,'Données projet'!$B$140,CT44+CS45-DB44)))</f>
        <v>293.99999999999994</v>
      </c>
      <c r="CU45" s="18">
        <f>CT45*VLOOKUP('Données projet'!$B$13,Paramètres!$A$1:$I$89,3,0)*VLOOKUP('Données projet'!$B$13,Paramètres!$A$1:$I$89,5,0)</f>
        <v>266.01119999999992</v>
      </c>
      <c r="CV45" s="14">
        <f t="shared" si="41"/>
        <v>64.00201337612566</v>
      </c>
      <c r="CW45" s="22">
        <f t="shared" si="13"/>
        <v>574.77301329675208</v>
      </c>
      <c r="CX45" s="62">
        <f t="shared" si="14"/>
        <v>824.15167955738684</v>
      </c>
      <c r="CY45" s="62">
        <f ca="1">AVERAGE(OFFSET($CX$3,0,0,'Données projet'!$E$13+1,1))-AVERAGE(OFFSET($H$3,0,0,'Données projet'!$E$13+1,1))</f>
        <v>376.68007030857598</v>
      </c>
      <c r="CZ45" s="62">
        <f t="shared" si="42"/>
        <v>532.90758914457626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>
        <f>EXP(-LN(2)/35)*DF44+(1-EXP(-LN(2)/35))/(LN(2)/35)*DB45*DC45*VLOOKUP('Données projet'!$B$13,Paramètres!$A$1:$I$89,3,0)*0.475*44/12</f>
        <v>0</v>
      </c>
      <c r="DG45" s="23">
        <f>EXP(-LN(2)/25)*DG44+(1-EXP(-LN(2)/25))/(LN(2)/25)*Calculateur!DB45*Calculateur!DD45*VLOOKUP('Données projet'!$B$13,Paramètres!$A$1:$I$89,3,0)*0.475*44/12</f>
        <v>9.3925873757694038</v>
      </c>
      <c r="DH45" s="23">
        <f>EXP(-LN(2)/2)*DH44+(1-EXP(-LN(2)/2))/(LN(2)/2)*DB45*DE45*VLOOKUP('Données projet'!$B$13,Paramètres!$A$1:$I$89,3,0)*0.475*44/12</f>
        <v>0</v>
      </c>
      <c r="DI45" s="24">
        <f t="shared" si="15"/>
        <v>9.3925873757694038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11.142857142857142</v>
      </c>
      <c r="DO45" s="13">
        <f>IF('Données projet'!$A$166&gt;35,DO44+DN45-DW44,IF(A45&lt;'Données projet'!$A$166,$DL$205^A45,IF(A45='Données projet'!$A$166,'Données projet'!$B$166,DO44+DN45-DW44)))</f>
        <v>207.71428571428564</v>
      </c>
      <c r="DP45" s="18">
        <f>DO45*VLOOKUP('Données projet'!$B$14,Paramètres!$A$1:$I$89,3,0)*VLOOKUP('Données projet'!$B$14,Paramètres!$A$1:$I$89,5,0)</f>
        <v>197.66091428571423</v>
      </c>
      <c r="DQ45" s="14">
        <f t="shared" si="43"/>
        <v>49.229756042672356</v>
      </c>
      <c r="DR45" s="22">
        <f t="shared" si="16"/>
        <v>430.00125082193995</v>
      </c>
      <c r="DS45" s="62">
        <f t="shared" si="17"/>
        <v>679.37991708257471</v>
      </c>
      <c r="DT45" s="62">
        <f ca="1">AVERAGE(OFFSET($DS$3,0,0,'Données projet'!$E$14+1,1))-AVERAGE(OFFSET($H$3,0,0,'Données projet'!$E$14+1,1))</f>
        <v>364.63161066507769</v>
      </c>
      <c r="DU45" s="62">
        <f t="shared" si="44"/>
        <v>355.44729904860708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>
        <f>EXP(-LN(2)/35)*EA44+(1-EXP(-LN(2)/35))/(LN(2)/35)*DW45*DX45*VLOOKUP('Données projet'!$B$14,Paramètres!$A$1:$I$89,3,0)*0.475*44/12</f>
        <v>0</v>
      </c>
      <c r="EB45" s="23">
        <f>EXP(-LN(2)/25)*EB44+(1-EXP(-LN(2)/25))/(LN(2)/25)*Calculateur!DW45*Calculateur!DY45*VLOOKUP('Données projet'!$B$14,Paramètres!$A$1:$I$89,3,0)*0.475*44/12</f>
        <v>0</v>
      </c>
      <c r="EC45" s="23">
        <f>EXP(-LN(2)/2)*EC44+(1-EXP(-LN(2)/2))/(LN(2)/2)*DW45*DZ45*VLOOKUP('Données projet'!$B$14,Paramètres!$A$1:$I$89,3,0)*0.475*44/12</f>
        <v>0</v>
      </c>
      <c r="ED45" s="24">
        <f t="shared" si="18"/>
        <v>0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11.142857142857142</v>
      </c>
      <c r="EJ45" s="13">
        <f>IF('Données projet'!$A$192&gt;35,EJ44+EI45-ER44,IF(A45&lt;'Données projet'!$A$192,$EG$205^A45,IF(A45='Données projet'!$A$192,'Données projet'!$B$192,EJ44+EI45-ER44)))</f>
        <v>207.71428571428564</v>
      </c>
      <c r="EK45" s="18">
        <f>EJ45*VLOOKUP('Données projet'!$B$15,Paramètres!$A$1:$I$89,3,0)*VLOOKUP('Données projet'!$B$15,Paramètres!$A$1:$I$89,5,0)</f>
        <v>152.29611428571422</v>
      </c>
      <c r="EL45" s="14">
        <f t="shared" si="45"/>
        <v>39.099923590594024</v>
      </c>
      <c r="EM45" s="22">
        <f t="shared" si="19"/>
        <v>333.3480993012368</v>
      </c>
      <c r="EN45" s="62">
        <f t="shared" si="20"/>
        <v>582.7267655618715</v>
      </c>
      <c r="EO45" s="62">
        <f ca="1">AVERAGE(OFFSET($EN$3,0,0,'Données projet'!$E$15+1,1))-AVERAGE(OFFSET($H$3,0,0,'Données projet'!$E$15+1,1))</f>
        <v>293.59366973965774</v>
      </c>
      <c r="EP45" s="62">
        <f t="shared" si="46"/>
        <v>288.13804536120426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>
        <f>EXP(-LN(2)/35)*EV44+(1-EXP(-LN(2)/35))/(LN(2)/35)*ER45*ES45*VLOOKUP('Données projet'!$B$15,Paramètres!$A$1:$I$89,3,0)*0.475*44/12</f>
        <v>0</v>
      </c>
      <c r="EW45" s="23">
        <f>EXP(-LN(2)/25)*EW44+(1-EXP(-LN(2)/25))/(LN(2)/25)*Calculateur!ER45*Calculateur!ET45*VLOOKUP('Données projet'!$B$15,Paramètres!$A$1:$I$89,3,0)*0.475*44/12</f>
        <v>0</v>
      </c>
      <c r="EX45" s="23">
        <f>EXP(-LN(2)/2)*EX44+(1-EXP(-LN(2)/2))/(LN(2)/2)*ER45*EU45*VLOOKUP('Données projet'!$B$15,Paramètres!$A$1:$I$89,3,0)*0.475*44/12</f>
        <v>0</v>
      </c>
      <c r="EY45" s="24">
        <f t="shared" si="21"/>
        <v>0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11.142857142857142</v>
      </c>
      <c r="FE45" s="13">
        <f>IF('Données projet'!$A$218&gt;35,FE44+FD45-FM44,IF(A45&lt;'Données projet'!$A$218,$FB$205^A45,IF(A45='Données projet'!$A$218,'Données projet'!$B$218,FE44+FD45-FM44)))</f>
        <v>207.71428571428564</v>
      </c>
      <c r="FF45" s="18">
        <f>FE45*VLOOKUP('Données projet'!$B$16,Paramètres!$A$1:$I$89,3,0)*VLOOKUP('Données projet'!$B$16,Paramètres!$A$1:$I$89,5,0)</f>
        <v>200.90125714285708</v>
      </c>
      <c r="FG45" s="14">
        <f t="shared" si="47"/>
        <v>49.942184907205977</v>
      </c>
      <c r="FH45" s="22">
        <f t="shared" si="22"/>
        <v>436.88566157052645</v>
      </c>
      <c r="FI45" s="62">
        <f t="shared" si="23"/>
        <v>686.26432783116115</v>
      </c>
      <c r="FJ45" s="62">
        <f ca="1">AVERAGE(OFFSET($FI$3,0,0,'Données projet'!$E$16+1,1))-AVERAGE(OFFSET($H$3,0,0,'Données projet'!$E$16+1,1))</f>
        <v>369.69145521630799</v>
      </c>
      <c r="FK45" s="62">
        <f t="shared" si="48"/>
        <v>360.24112103688719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>
        <f>EXP(-LN(2)/35)*FQ44+(1-EXP(-LN(2)/35))/(LN(2)/35)*FM45*FN45*VLOOKUP('Données projet'!$B$16,Paramètres!$A$1:$I$89,3,0)*0.475*44/12</f>
        <v>0</v>
      </c>
      <c r="FR45" s="23">
        <f>EXP(-LN(2)/25)*FR44+(1-EXP(-LN(2)/25))/(LN(2)/25)*Calculateur!FM45*Calculateur!FO45*VLOOKUP('Données projet'!$B$16,Paramètres!$A$1:$I$89,3,0)*0.475*44/12</f>
        <v>0</v>
      </c>
      <c r="FS45" s="23">
        <f>EXP(-LN(2)/2)*FS44+(1-EXP(-LN(2)/2))/(LN(2)/2)*FM45*FP45*VLOOKUP('Données projet'!$B$16,Paramètres!$A$1:$I$89,3,0)*0.475*44/12</f>
        <v>0</v>
      </c>
      <c r="FT45" s="24">
        <f t="shared" si="24"/>
        <v>0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11.142857142857142</v>
      </c>
      <c r="FZ45" s="13">
        <f>IF('Données projet'!$A$244&gt;35,FZ44+FY45-GH44,IF(A45&lt;'Données projet'!$A$244,$FW$205^A45,IF(A45='Données projet'!$A$244,'Données projet'!$B$244,FZ44+FY45-GH44)))</f>
        <v>207.71428571428564</v>
      </c>
      <c r="GA45" s="18">
        <f>FZ45*VLOOKUP('Données projet'!$B$17,Paramètres!$A$1:$I$89,3,0)*VLOOKUP('Données projet'!$B$17,Paramètres!$A$1:$I$89,5,0)</f>
        <v>223.58365714285708</v>
      </c>
      <c r="GB45" s="14">
        <f t="shared" si="49"/>
        <v>54.893041913205501</v>
      </c>
      <c r="GC45" s="22">
        <f t="shared" si="25"/>
        <v>485.01358418930892</v>
      </c>
      <c r="GD45" s="62">
        <f t="shared" si="26"/>
        <v>734.39225044994362</v>
      </c>
      <c r="GE45" s="62">
        <f ca="1">AVERAGE(OFFSET($GD$3,0,0,'Données projet'!$E$17+1,1))-AVERAGE(OFFSET($H$3,0,0,'Données projet'!$E$17+1,1))</f>
        <v>405.06394904053946</v>
      </c>
      <c r="GF45" s="62">
        <f t="shared" si="50"/>
        <v>393.75247087518198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>
        <f>EXP(-LN(2)/35)*GL44+(1-EXP(-LN(2)/35))/(LN(2)/35)*GH45*GI45*VLOOKUP('Données projet'!$B$17,Paramètres!$A$1:$I$89,3,0)*0.475*44/12</f>
        <v>0</v>
      </c>
      <c r="GM45" s="23">
        <f>EXP(-LN(2)/25)*GM44+(1-EXP(-LN(2)/25))/(LN(2)/25)*Calculateur!GH45*Calculateur!GJ45*VLOOKUP('Données projet'!$B$17,Paramètres!$A$1:$I$89,3,0)*0.475*44/12</f>
        <v>0</v>
      </c>
      <c r="GN45" s="23">
        <f>EXP(-LN(2)/2)*GN44+(1-EXP(-LN(2)/2))/(LN(2)/2)*GH45*GK45*VLOOKUP('Données projet'!$B$17,Paramètres!$A$1:$I$89,3,0)*0.475*44/12</f>
        <v>0</v>
      </c>
      <c r="GO45" s="23">
        <f t="shared" si="27"/>
        <v>0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11.142857142857142</v>
      </c>
      <c r="GU45" s="13">
        <f>IF('Données projet'!$A$270&gt;35,GU44+GT45-HC44,IF(A45&lt;'Données projet'!$A$270,$GR$205^A45,IF(A45='Données projet'!$A$270,'Données projet'!$B$270,GU44+GT45-HC44)))</f>
        <v>207.71428571428564</v>
      </c>
      <c r="GV45" s="18">
        <f>GU45*VLOOKUP('Données projet'!$B$18,Paramètres!$A$1:$I$89,3,0)*VLOOKUP('Données projet'!$B$18,Paramètres!$A$1:$I$89,5,0)</f>
        <v>139.33474285714283</v>
      </c>
      <c r="GW45" s="14">
        <f t="shared" si="51"/>
        <v>36.144562203141966</v>
      </c>
      <c r="GX45" s="22">
        <f t="shared" si="28"/>
        <v>305.62645631332936</v>
      </c>
      <c r="GY45" s="62">
        <f t="shared" si="29"/>
        <v>555.00512257396406</v>
      </c>
      <c r="GZ45" s="62">
        <f ca="1">AVERAGE(OFFSET($GY$3,0,0,'Données projet'!$E$18+1,1))-AVERAGE(OFFSET($H$3,0,0,'Données projet'!$E$18+1,1))</f>
        <v>273.21861937609918</v>
      </c>
      <c r="HA45" s="62">
        <f t="shared" si="52"/>
        <v>268.83004886965318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>
        <f>EXP(-LN(2)/35)*HG44+(1-EXP(-LN(2)/35))/(LN(2)/35)*HC45*HD45*VLOOKUP('Données projet'!$B$18,Paramètres!$A$1:$I$89,3,0)*0.475*44/12</f>
        <v>0</v>
      </c>
      <c r="HH45" s="23">
        <f>EXP(-LN(2)/25)*HH44+(1-EXP(-LN(2)/25))/(LN(2)/25)*Calculateur!HC45*Calculateur!HE45*VLOOKUP('Données projet'!$B$18,Paramètres!$A$1:$I$89,3,0)*0.475*44/12</f>
        <v>0</v>
      </c>
      <c r="HI45" s="23">
        <f>EXP(-LN(2)/2)*HI44+(1-EXP(-LN(2)/2))/(LN(2)/2)*HC45*HF45*VLOOKUP('Données projet'!$B$18,Paramètres!$A$1:$I$89,3,0)*0.475*44/12</f>
        <v>0</v>
      </c>
      <c r="HJ45" s="24">
        <f t="shared" si="30"/>
        <v>0</v>
      </c>
    </row>
    <row r="46" spans="1:218" s="5" customFormat="1" x14ac:dyDescent="0.4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2.4423076923076925</v>
      </c>
      <c r="N46" s="14">
        <f>IF('Données projet'!$A$36&gt;35,N45+M46-V45,IF(A46&lt;'Données projet'!$A$36,$K$205^A46,IF(A46='Données projet'!$A$36,'Données projet'!$B$36,N45+M46-V45)))</f>
        <v>105.0192307692308</v>
      </c>
      <c r="O46" s="14">
        <f>N46*VLOOKUP('Données projet'!$B$9,Paramètres!$A$1:$I$89,3,0)*VLOOKUP('Données projet'!$B$9,Paramètres!$A$1:$I$89,5,0)</f>
        <v>95.021400000000028</v>
      </c>
      <c r="P46" s="14">
        <f t="shared" si="33"/>
        <v>25.772412619544667</v>
      </c>
      <c r="Q46" s="22">
        <f t="shared" si="53"/>
        <v>210.38255697904034</v>
      </c>
      <c r="R46" s="62">
        <f t="shared" si="0"/>
        <v>460.52373844547242</v>
      </c>
      <c r="S46" s="62">
        <f ca="1">AVERAGE(OFFSET($R$3,0,0,'Données projet'!$E$9+1,1))-AVERAGE(OFFSET($H$3,0,0,'Données projet'!$E$9+1,1))</f>
        <v>432.80275651765203</v>
      </c>
      <c r="T46" s="62">
        <f t="shared" si="34"/>
        <v>203.89279893419919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0</v>
      </c>
      <c r="AA46" s="23">
        <f>EXP(-LN(2)/25)*AA45+(1-EXP(-LN(2)/25))/(LN(2)/25)*Calculateur!V46*Calculateur!X46*VLOOKUP('Données projet'!$B$9,Paramètres!$A$1:$I$89,3,0)*0.475*44/12</f>
        <v>0</v>
      </c>
      <c r="AB46" s="23">
        <f>EXP(-LN(2)/2)*AB45+(1-EXP(-LN(2)/2))/(LN(2)/2)*V46*Y46*VLOOKUP('Données projet'!$B$9,Paramètres!$A$1:$I$89,3,0)*0.475*44/12</f>
        <v>0</v>
      </c>
      <c r="AC46" s="24">
        <f t="shared" si="3"/>
        <v>0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19.600000000000001</v>
      </c>
      <c r="AI46" s="14">
        <f>IF('Données projet'!$A$62&gt;35,AI45+AH46-AQ45,IF(A46&lt;'Données projet'!$A$62,$AF$205^A46,IF(A46='Données projet'!$A$62,'Données projet'!$B$62,AI45+AH46-AQ45)))</f>
        <v>601.8000000000003</v>
      </c>
      <c r="AJ46" s="14">
        <f>AI46*VLOOKUP('Données projet'!$B$10,Paramètres!$A$1:$I$89,3,0)*VLOOKUP('Données projet'!$B$10,Paramètres!$A$1:$I$89,5,0)</f>
        <v>265.99560000000014</v>
      </c>
      <c r="AK46" s="14">
        <f t="shared" si="35"/>
        <v>63.998696910488768</v>
      </c>
      <c r="AL46" s="22">
        <f t="shared" si="4"/>
        <v>574.74006711910147</v>
      </c>
      <c r="AM46" s="62">
        <f t="shared" si="5"/>
        <v>824.88124858553351</v>
      </c>
      <c r="AN46" s="62">
        <f ca="1">AVERAGE(OFFSET($AM$3,0,0,'Données projet'!$E$10+1,1))-AVERAGE(OFFSET($H$3,0,0,'Données projet'!$E$10+1,1))</f>
        <v>413.08876898406481</v>
      </c>
      <c r="AO46" s="62">
        <f t="shared" si="36"/>
        <v>520.31320932826566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9.8762961732156018</v>
      </c>
      <c r="AV46" s="23">
        <f>EXP(-LN(2)/25)*AV45+(1-EXP(-LN(2)/25))/(LN(2)/25)*Calculateur!AQ46*Calculateur!AS46*VLOOKUP('Données projet'!$B$10,Paramètres!$A$1:$I$89,3,0)*0.475*44/12</f>
        <v>22.95711994240953</v>
      </c>
      <c r="AW46" s="23">
        <f>EXP(-LN(2)/2)*AW45+(1-EXP(-LN(2)/2))/(LN(2)/2)*AQ46*AT46*VLOOKUP('Données projet'!$B$10,Paramètres!$A$1:$I$89,3,0)*0.475*44/12</f>
        <v>1.1500750230874122</v>
      </c>
      <c r="AX46" s="23">
        <f t="shared" si="6"/>
        <v>33.983491138712544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19.600000000000001</v>
      </c>
      <c r="BD46" s="13">
        <f>IF('Données projet'!$A$88&gt;35,BD45+BC46-BL45,IF(A46&lt;'Données projet'!$A$88,$BA$205^A46,IF(A46='Données projet'!$A$88,'Données projet'!$B$88,BD45+BC46-BL45)))</f>
        <v>601.8000000000003</v>
      </c>
      <c r="BE46" s="14">
        <f>BD46*VLOOKUP('Données projet'!$B$11,Paramètres!$A$1:$I$89,3,0)*VLOOKUP('Données projet'!$B$11,Paramètres!$A$1:$I$89,5,0)</f>
        <v>336.40620000000018</v>
      </c>
      <c r="BF46" s="14">
        <f t="shared" si="37"/>
        <v>78.756986013586456</v>
      </c>
      <c r="BG46" s="22">
        <f t="shared" si="7"/>
        <v>723.07588230699673</v>
      </c>
      <c r="BH46" s="62">
        <f t="shared" si="8"/>
        <v>973.21706377342878</v>
      </c>
      <c r="BI46" s="62">
        <f ca="1">AVERAGE(OFFSET($BH$3,0,0,'Données projet'!$E$11+1,1))-AVERAGE(OFFSET($H$3,0,0,'Données projet'!$E$11+1,1))</f>
        <v>507.66185230065889</v>
      </c>
      <c r="BJ46" s="62">
        <f t="shared" si="38"/>
        <v>640.14375617778342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12.490609866125611</v>
      </c>
      <c r="BQ46" s="23">
        <f>EXP(-LN(2)/25)*BQ45+(1-EXP(-LN(2)/25))/(LN(2)/25)*Calculateur!BL46*Calculateur!BN46*VLOOKUP('Données projet'!$B$11,Paramètres!$A$1:$I$89,3,0)*0.475*44/12</f>
        <v>29.034004633047349</v>
      </c>
      <c r="BR46" s="23">
        <f>EXP(-LN(2)/2)*BR45+(1-EXP(-LN(2)/2))/(LN(2)/2)*BL46*BO46*VLOOKUP('Données projet'!$B$11,Paramètres!$A$1:$I$89,3,0)*0.475*44/12</f>
        <v>1.4545066468458447</v>
      </c>
      <c r="BS46" s="24">
        <f t="shared" si="9"/>
        <v>42.979121146018805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8.6871141969999961</v>
      </c>
      <c r="BY46" s="13">
        <f>IF('Données projet'!$A$114&gt;35,BY45+BX46-CG45,IF(A46&lt;'Données projet'!$A$114,$BV$205^A46,IF(A46='Données projet'!$A$114,'Données projet'!$B$114,BY45+BX46-CG45)))</f>
        <v>174.85763892099996</v>
      </c>
      <c r="BZ46" s="14">
        <f>BY46*VLOOKUP('Données projet'!$B$12,Paramètres!$A$1:$I$89,3,0)*VLOOKUP('Données projet'!$B$12,Paramètres!$A$1:$I$89,5,0)</f>
        <v>81.833375015027983</v>
      </c>
      <c r="CA46" s="14">
        <f t="shared" si="39"/>
        <v>22.584860995694413</v>
      </c>
      <c r="CB46" s="22">
        <f t="shared" si="10"/>
        <v>181.86176105200818</v>
      </c>
      <c r="CC46" s="62">
        <f t="shared" si="11"/>
        <v>432.00294251844025</v>
      </c>
      <c r="CD46" s="62">
        <f ca="1">AVERAGE(OFFSET($CC$3,0,0,'Données projet'!$E$12+1,1))-AVERAGE(OFFSET($H$3,0,0,'Données projet'!$E$12+1,1))</f>
        <v>289.21044803824958</v>
      </c>
      <c r="CE46" s="62">
        <f t="shared" si="40"/>
        <v>196.11836398299445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>
        <f>EXP(-LN(2)/35)*CK45+(1-EXP(-LN(2)/35))/(LN(2)/35)*CG46*CH46*VLOOKUP('Données projet'!$B$12,Paramètres!$A$1:$I$89,3,0)*0.475*44/12</f>
        <v>0</v>
      </c>
      <c r="CL46" s="23">
        <f>EXP(-LN(2)/25)*CL45+(1-EXP(-LN(2)/25))/(LN(2)/25)*Calculateur!CG46*Calculateur!CI46*VLOOKUP('Données projet'!$B$12,Paramètres!$A$1:$I$89,3,0)*0.475*44/12</f>
        <v>9.0000031389274735</v>
      </c>
      <c r="CM46" s="23">
        <f>EXP(-LN(2)/2)*CM45+(1-EXP(-LN(2)/2))/(LN(2)/2)*CG46*CJ46*VLOOKUP('Données projet'!$B$12,Paramètres!$A$1:$I$89,3,0)*0.475*44/12</f>
        <v>0</v>
      </c>
      <c r="CN46" s="24">
        <f t="shared" si="12"/>
        <v>9.0000031389274735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6</v>
      </c>
      <c r="CT46" s="13">
        <f>IF('Données projet'!$A$140&gt;35,CT45+CS46-DB45,IF(A46&lt;'Données projet'!$A$140,$CQ$205^A46,IF(A46='Données projet'!$A$140,'Données projet'!$B$140,CT45+CS46-DB45)))</f>
        <v>299.99999999999994</v>
      </c>
      <c r="CU46" s="18">
        <f>CT46*VLOOKUP('Données projet'!$B$13,Paramètres!$A$1:$I$89,3,0)*VLOOKUP('Données projet'!$B$13,Paramètres!$A$1:$I$89,5,0)</f>
        <v>271.43999999999994</v>
      </c>
      <c r="CV46" s="14">
        <f t="shared" si="41"/>
        <v>65.154778959151173</v>
      </c>
      <c r="CW46" s="22">
        <f t="shared" si="13"/>
        <v>586.23590668718805</v>
      </c>
      <c r="CX46" s="62">
        <f t="shared" si="14"/>
        <v>836.37708815362009</v>
      </c>
      <c r="CY46" s="62">
        <f ca="1">AVERAGE(OFFSET($CX$3,0,0,'Données projet'!$E$13+1,1))-AVERAGE(OFFSET($H$3,0,0,'Données projet'!$E$13+1,1))</f>
        <v>376.68007030857598</v>
      </c>
      <c r="CZ46" s="62">
        <f t="shared" si="42"/>
        <v>532.90758914457626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>
        <f>EXP(-LN(2)/35)*DF45+(1-EXP(-LN(2)/35))/(LN(2)/35)*DB46*DC46*VLOOKUP('Données projet'!$B$13,Paramètres!$A$1:$I$89,3,0)*0.475*44/12</f>
        <v>0</v>
      </c>
      <c r="DG46" s="23">
        <f>EXP(-LN(2)/25)*DG45+(1-EXP(-LN(2)/25))/(LN(2)/25)*Calculateur!DB46*Calculateur!DD46*VLOOKUP('Données projet'!$B$13,Paramètres!$A$1:$I$89,3,0)*0.475*44/12</f>
        <v>9.1357465800442856</v>
      </c>
      <c r="DH46" s="23">
        <f>EXP(-LN(2)/2)*DH45+(1-EXP(-LN(2)/2))/(LN(2)/2)*DB46*DE46*VLOOKUP('Données projet'!$B$13,Paramètres!$A$1:$I$89,3,0)*0.475*44/12</f>
        <v>0</v>
      </c>
      <c r="DI46" s="24">
        <f t="shared" si="15"/>
        <v>9.1357465800442856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11.142857142857142</v>
      </c>
      <c r="DO46" s="13">
        <f>IF('Données projet'!$A$166&gt;35,DO45+DN46-DW45,IF(A46&lt;'Données projet'!$A$166,$DL$205^A46,IF(A46='Données projet'!$A$166,'Données projet'!$B$166,DO45+DN46-DW45)))</f>
        <v>218.85714285714278</v>
      </c>
      <c r="DP46" s="18">
        <f>DO46*VLOOKUP('Données projet'!$B$14,Paramètres!$A$1:$I$89,3,0)*VLOOKUP('Données projet'!$B$14,Paramètres!$A$1:$I$89,5,0)</f>
        <v>208.26445714285708</v>
      </c>
      <c r="DQ46" s="14">
        <f t="shared" si="43"/>
        <v>51.556142933476117</v>
      </c>
      <c r="DR46" s="22">
        <f t="shared" si="16"/>
        <v>452.52087846628041</v>
      </c>
      <c r="DS46" s="62">
        <f t="shared" si="17"/>
        <v>702.66205993271251</v>
      </c>
      <c r="DT46" s="62">
        <f ca="1">AVERAGE(OFFSET($DS$3,0,0,'Données projet'!$E$14+1,1))-AVERAGE(OFFSET($H$3,0,0,'Données projet'!$E$14+1,1))</f>
        <v>364.63161066507769</v>
      </c>
      <c r="DU46" s="62">
        <f t="shared" si="44"/>
        <v>355.44729904860708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>
        <f>EXP(-LN(2)/35)*EA45+(1-EXP(-LN(2)/35))/(LN(2)/35)*DW46*DX46*VLOOKUP('Données projet'!$B$14,Paramètres!$A$1:$I$89,3,0)*0.475*44/12</f>
        <v>0</v>
      </c>
      <c r="EB46" s="23">
        <f>EXP(-LN(2)/25)*EB45+(1-EXP(-LN(2)/25))/(LN(2)/25)*Calculateur!DW46*Calculateur!DY46*VLOOKUP('Données projet'!$B$14,Paramètres!$A$1:$I$89,3,0)*0.475*44/12</f>
        <v>0</v>
      </c>
      <c r="EC46" s="23">
        <f>EXP(-LN(2)/2)*EC45+(1-EXP(-LN(2)/2))/(LN(2)/2)*DW46*DZ46*VLOOKUP('Données projet'!$B$14,Paramètres!$A$1:$I$89,3,0)*0.475*44/12</f>
        <v>0</v>
      </c>
      <c r="ED46" s="24">
        <f t="shared" si="18"/>
        <v>0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11.142857142857142</v>
      </c>
      <c r="EJ46" s="13">
        <f>IF('Données projet'!$A$192&gt;35,EJ45+EI46-ER45,IF(A46&lt;'Données projet'!$A$192,$EG$205^A46,IF(A46='Données projet'!$A$192,'Données projet'!$B$192,EJ45+EI46-ER45)))</f>
        <v>218.85714285714278</v>
      </c>
      <c r="EK46" s="18">
        <f>EJ46*VLOOKUP('Données projet'!$B$15,Paramètres!$A$1:$I$89,3,0)*VLOOKUP('Données projet'!$B$15,Paramètres!$A$1:$I$89,5,0)</f>
        <v>160.46605714285707</v>
      </c>
      <c r="EL46" s="14">
        <f t="shared" si="45"/>
        <v>40.947618094579404</v>
      </c>
      <c r="EM46" s="22">
        <f t="shared" si="19"/>
        <v>350.7954843718685</v>
      </c>
      <c r="EN46" s="62">
        <f t="shared" si="20"/>
        <v>600.93666583830054</v>
      </c>
      <c r="EO46" s="62">
        <f ca="1">AVERAGE(OFFSET($EN$3,0,0,'Données projet'!$E$15+1,1))-AVERAGE(OFFSET($H$3,0,0,'Données projet'!$E$15+1,1))</f>
        <v>293.59366973965774</v>
      </c>
      <c r="EP46" s="62">
        <f t="shared" si="46"/>
        <v>288.13804536120426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>
        <f>EXP(-LN(2)/35)*EV45+(1-EXP(-LN(2)/35))/(LN(2)/35)*ER46*ES46*VLOOKUP('Données projet'!$B$15,Paramètres!$A$1:$I$89,3,0)*0.475*44/12</f>
        <v>0</v>
      </c>
      <c r="EW46" s="23">
        <f>EXP(-LN(2)/25)*EW45+(1-EXP(-LN(2)/25))/(LN(2)/25)*Calculateur!ER46*Calculateur!ET46*VLOOKUP('Données projet'!$B$15,Paramètres!$A$1:$I$89,3,0)*0.475*44/12</f>
        <v>0</v>
      </c>
      <c r="EX46" s="23">
        <f>EXP(-LN(2)/2)*EX45+(1-EXP(-LN(2)/2))/(LN(2)/2)*ER46*EU46*VLOOKUP('Données projet'!$B$15,Paramètres!$A$1:$I$89,3,0)*0.475*44/12</f>
        <v>0</v>
      </c>
      <c r="EY46" s="24">
        <f t="shared" si="21"/>
        <v>0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11.142857142857142</v>
      </c>
      <c r="FE46" s="13">
        <f>IF('Données projet'!$A$218&gt;35,FE45+FD46-FM45,IF(A46&lt;'Données projet'!$A$218,$FB$205^A46,IF(A46='Données projet'!$A$218,'Données projet'!$B$218,FE45+FD46-FM45)))</f>
        <v>218.85714285714278</v>
      </c>
      <c r="FF46" s="18">
        <f>FE46*VLOOKUP('Données projet'!$B$16,Paramètres!$A$1:$I$89,3,0)*VLOOKUP('Données projet'!$B$16,Paramètres!$A$1:$I$89,5,0)</f>
        <v>211.6786285714285</v>
      </c>
      <c r="FG46" s="14">
        <f t="shared" si="47"/>
        <v>52.302238127163285</v>
      </c>
      <c r="FH46" s="22">
        <f t="shared" si="22"/>
        <v>459.76667616671403</v>
      </c>
      <c r="FI46" s="62">
        <f t="shared" si="23"/>
        <v>709.90785763314602</v>
      </c>
      <c r="FJ46" s="62">
        <f ca="1">AVERAGE(OFFSET($FI$3,0,0,'Données projet'!$E$16+1,1))-AVERAGE(OFFSET($H$3,0,0,'Données projet'!$E$16+1,1))</f>
        <v>369.69145521630799</v>
      </c>
      <c r="FK46" s="62">
        <f t="shared" si="48"/>
        <v>360.24112103688719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>
        <f>EXP(-LN(2)/35)*FQ45+(1-EXP(-LN(2)/35))/(LN(2)/35)*FM46*FN46*VLOOKUP('Données projet'!$B$16,Paramètres!$A$1:$I$89,3,0)*0.475*44/12</f>
        <v>0</v>
      </c>
      <c r="FR46" s="23">
        <f>EXP(-LN(2)/25)*FR45+(1-EXP(-LN(2)/25))/(LN(2)/25)*Calculateur!FM46*Calculateur!FO46*VLOOKUP('Données projet'!$B$16,Paramètres!$A$1:$I$89,3,0)*0.475*44/12</f>
        <v>0</v>
      </c>
      <c r="FS46" s="23">
        <f>EXP(-LN(2)/2)*FS45+(1-EXP(-LN(2)/2))/(LN(2)/2)*FM46*FP46*VLOOKUP('Données projet'!$B$16,Paramètres!$A$1:$I$89,3,0)*0.475*44/12</f>
        <v>0</v>
      </c>
      <c r="FT46" s="24">
        <f t="shared" si="24"/>
        <v>0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11.142857142857142</v>
      </c>
      <c r="FZ46" s="13">
        <f>IF('Données projet'!$A$244&gt;35,FZ45+FY46-GH45,IF(A46&lt;'Données projet'!$A$244,$FW$205^A46,IF(A46='Données projet'!$A$244,'Données projet'!$B$244,FZ45+FY46-GH45)))</f>
        <v>218.85714285714278</v>
      </c>
      <c r="GA46" s="18">
        <f>FZ46*VLOOKUP('Données projet'!$B$17,Paramètres!$A$1:$I$89,3,0)*VLOOKUP('Données projet'!$B$17,Paramètres!$A$1:$I$89,5,0)</f>
        <v>235.57782857142846</v>
      </c>
      <c r="GB46" s="14">
        <f t="shared" si="49"/>
        <v>57.487051377573565</v>
      </c>
      <c r="GC46" s="22">
        <f t="shared" si="25"/>
        <v>510.42133257784525</v>
      </c>
      <c r="GD46" s="62">
        <f t="shared" si="26"/>
        <v>760.56251404427735</v>
      </c>
      <c r="GE46" s="62">
        <f ca="1">AVERAGE(OFFSET($GD$3,0,0,'Données projet'!$E$17+1,1))-AVERAGE(OFFSET($H$3,0,0,'Données projet'!$E$17+1,1))</f>
        <v>405.06394904053946</v>
      </c>
      <c r="GF46" s="62">
        <f t="shared" si="50"/>
        <v>393.75247087518198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>
        <f>EXP(-LN(2)/35)*GL45+(1-EXP(-LN(2)/35))/(LN(2)/35)*GH46*GI46*VLOOKUP('Données projet'!$B$17,Paramètres!$A$1:$I$89,3,0)*0.475*44/12</f>
        <v>0</v>
      </c>
      <c r="GM46" s="23">
        <f>EXP(-LN(2)/25)*GM45+(1-EXP(-LN(2)/25))/(LN(2)/25)*Calculateur!GH46*Calculateur!GJ46*VLOOKUP('Données projet'!$B$17,Paramètres!$A$1:$I$89,3,0)*0.475*44/12</f>
        <v>0</v>
      </c>
      <c r="GN46" s="23">
        <f>EXP(-LN(2)/2)*GN45+(1-EXP(-LN(2)/2))/(LN(2)/2)*GH46*GK46*VLOOKUP('Données projet'!$B$17,Paramètres!$A$1:$I$89,3,0)*0.475*44/12</f>
        <v>0</v>
      </c>
      <c r="GO46" s="23">
        <f t="shared" si="27"/>
        <v>0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11.142857142857142</v>
      </c>
      <c r="GU46" s="13">
        <f>IF('Données projet'!$A$270&gt;35,GU45+GT46-HC45,IF(A46&lt;'Données projet'!$A$270,$GR$205^A46,IF(A46='Données projet'!$A$270,'Données projet'!$B$270,GU45+GT46-HC45)))</f>
        <v>218.85714285714278</v>
      </c>
      <c r="GV46" s="18">
        <f>GU46*VLOOKUP('Données projet'!$B$18,Paramètres!$A$1:$I$89,3,0)*VLOOKUP('Données projet'!$B$18,Paramètres!$A$1:$I$89,5,0)</f>
        <v>146.80937142857138</v>
      </c>
      <c r="GW46" s="14">
        <f t="shared" si="51"/>
        <v>37.852599017509782</v>
      </c>
      <c r="GX46" s="22">
        <f t="shared" si="28"/>
        <v>321.61959852692468</v>
      </c>
      <c r="GY46" s="62">
        <f t="shared" si="29"/>
        <v>571.76077999335666</v>
      </c>
      <c r="GZ46" s="62">
        <f ca="1">AVERAGE(OFFSET($GY$3,0,0,'Données projet'!$E$18+1,1))-AVERAGE(OFFSET($H$3,0,0,'Données projet'!$E$18+1,1))</f>
        <v>273.21861937609918</v>
      </c>
      <c r="HA46" s="62">
        <f t="shared" si="52"/>
        <v>268.83004886965318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>
        <f>EXP(-LN(2)/35)*HG45+(1-EXP(-LN(2)/35))/(LN(2)/35)*HC46*HD46*VLOOKUP('Données projet'!$B$18,Paramètres!$A$1:$I$89,3,0)*0.475*44/12</f>
        <v>0</v>
      </c>
      <c r="HH46" s="23">
        <f>EXP(-LN(2)/25)*HH45+(1-EXP(-LN(2)/25))/(LN(2)/25)*Calculateur!HC46*Calculateur!HE46*VLOOKUP('Données projet'!$B$18,Paramètres!$A$1:$I$89,3,0)*0.475*44/12</f>
        <v>0</v>
      </c>
      <c r="HI46" s="23">
        <f>EXP(-LN(2)/2)*HI45+(1-EXP(-LN(2)/2))/(LN(2)/2)*HC46*HF46*VLOOKUP('Données projet'!$B$18,Paramètres!$A$1:$I$89,3,0)*0.475*44/12</f>
        <v>0</v>
      </c>
      <c r="HJ46" s="24">
        <f t="shared" si="30"/>
        <v>0</v>
      </c>
    </row>
    <row r="47" spans="1:218" s="5" customFormat="1" x14ac:dyDescent="0.4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2.4423076923076925</v>
      </c>
      <c r="N47" s="14">
        <f>IF('Données projet'!$A$36&gt;35,N46+M47-V46,IF(A47&lt;'Données projet'!$A$36,$K$205^A47,IF(A47='Données projet'!$A$36,'Données projet'!$B$36,N46+M47-V46)))</f>
        <v>107.4615384615385</v>
      </c>
      <c r="O47" s="14">
        <f>N47*VLOOKUP('Données projet'!$B$9,Paramètres!$A$1:$I$89,3,0)*VLOOKUP('Données projet'!$B$9,Paramètres!$A$1:$I$89,5,0)</f>
        <v>97.23120000000003</v>
      </c>
      <c r="P47" s="14">
        <f t="shared" si="33"/>
        <v>26.301295060955127</v>
      </c>
      <c r="Q47" s="22">
        <f t="shared" si="53"/>
        <v>215.15242889783022</v>
      </c>
      <c r="R47" s="62">
        <f t="shared" si="0"/>
        <v>466.04289763596762</v>
      </c>
      <c r="S47" s="62">
        <f ca="1">AVERAGE(OFFSET($R$3,0,0,'Données projet'!$E$9+1,1))-AVERAGE(OFFSET($H$3,0,0,'Données projet'!$E$9+1,1))</f>
        <v>432.80275651765203</v>
      </c>
      <c r="T47" s="62">
        <f t="shared" si="34"/>
        <v>203.89279893419919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0</v>
      </c>
      <c r="AA47" s="23">
        <f>EXP(-LN(2)/25)*AA46+(1-EXP(-LN(2)/25))/(LN(2)/25)*Calculateur!V47*Calculateur!X47*VLOOKUP('Données projet'!$B$9,Paramètres!$A$1:$I$89,3,0)*0.475*44/12</f>
        <v>0</v>
      </c>
      <c r="AB47" s="23">
        <f>EXP(-LN(2)/2)*AB46+(1-EXP(-LN(2)/2))/(LN(2)/2)*V47*Y47*VLOOKUP('Données projet'!$B$9,Paramètres!$A$1:$I$89,3,0)*0.475*44/12</f>
        <v>0</v>
      </c>
      <c r="AC47" s="24">
        <f t="shared" si="3"/>
        <v>0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19.600000000000001</v>
      </c>
      <c r="AI47" s="14">
        <f>IF('Données projet'!$A$62&gt;35,AI46+AH47-AQ46,IF(A47&lt;'Données projet'!$A$62,$AF$205^A47,IF(A47='Données projet'!$A$62,'Données projet'!$B$62,AI46+AH47-AQ46)))</f>
        <v>621.40000000000032</v>
      </c>
      <c r="AJ47" s="14">
        <f>AI47*VLOOKUP('Données projet'!$B$10,Paramètres!$A$1:$I$89,3,0)*VLOOKUP('Données projet'!$B$10,Paramètres!$A$1:$I$89,5,0)</f>
        <v>274.65880000000016</v>
      </c>
      <c r="AK47" s="14">
        <f t="shared" si="35"/>
        <v>65.836997648535544</v>
      </c>
      <c r="AL47" s="22">
        <f t="shared" si="4"/>
        <v>593.03018090453304</v>
      </c>
      <c r="AM47" s="62">
        <f t="shared" si="5"/>
        <v>843.92064964267047</v>
      </c>
      <c r="AN47" s="62">
        <f ca="1">AVERAGE(OFFSET($AM$3,0,0,'Données projet'!$E$10+1,1))-AVERAGE(OFFSET($H$3,0,0,'Données projet'!$E$10+1,1))</f>
        <v>413.08876898406481</v>
      </c>
      <c r="AO47" s="62">
        <f t="shared" si="36"/>
        <v>520.31320932826566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9.6826280292046949</v>
      </c>
      <c r="AV47" s="23">
        <f>EXP(-LN(2)/25)*AV46+(1-EXP(-LN(2)/25))/(LN(2)/25)*Calculateur!AQ47*Calculateur!AS47*VLOOKUP('Données projet'!$B$10,Paramètres!$A$1:$I$89,3,0)*0.475*44/12</f>
        <v>22.329356290321872</v>
      </c>
      <c r="AW47" s="23">
        <f>EXP(-LN(2)/2)*AW46+(1-EXP(-LN(2)/2))/(LN(2)/2)*AQ47*AT47*VLOOKUP('Données projet'!$B$10,Paramètres!$A$1:$I$89,3,0)*0.475*44/12</f>
        <v>0.81322584769838435</v>
      </c>
      <c r="AX47" s="23">
        <f t="shared" si="6"/>
        <v>32.825210167224952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19.600000000000001</v>
      </c>
      <c r="BD47" s="13">
        <f>IF('Données projet'!$A$88&gt;35,BD46+BC47-BL46,IF(A47&lt;'Données projet'!$A$88,$BA$205^A47,IF(A47='Données projet'!$A$88,'Données projet'!$B$88,BD46+BC47-BL46)))</f>
        <v>621.40000000000032</v>
      </c>
      <c r="BE47" s="14">
        <f>BD47*VLOOKUP('Données projet'!$B$11,Paramètres!$A$1:$I$89,3,0)*VLOOKUP('Données projet'!$B$11,Paramètres!$A$1:$I$89,5,0)</f>
        <v>347.36260000000016</v>
      </c>
      <c r="BF47" s="14">
        <f t="shared" si="37"/>
        <v>81.019204347775585</v>
      </c>
      <c r="BG47" s="22">
        <f t="shared" si="7"/>
        <v>746.09830923904281</v>
      </c>
      <c r="BH47" s="62">
        <f t="shared" si="8"/>
        <v>996.98877797718023</v>
      </c>
      <c r="BI47" s="62">
        <f ca="1">AVERAGE(OFFSET($BH$3,0,0,'Données projet'!$E$11+1,1))-AVERAGE(OFFSET($H$3,0,0,'Données projet'!$E$11+1,1))</f>
        <v>507.66185230065889</v>
      </c>
      <c r="BJ47" s="62">
        <f t="shared" si="38"/>
        <v>640.14375617778342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12.24567662517064</v>
      </c>
      <c r="BQ47" s="23">
        <f>EXP(-LN(2)/25)*BQ46+(1-EXP(-LN(2)/25))/(LN(2)/25)*Calculateur!BL47*Calculateur!BN47*VLOOKUP('Données projet'!$B$11,Paramètres!$A$1:$I$89,3,0)*0.475*44/12</f>
        <v>28.240068249524725</v>
      </c>
      <c r="BR47" s="23">
        <f>EXP(-LN(2)/2)*BR46+(1-EXP(-LN(2)/2))/(LN(2)/2)*BL47*BO47*VLOOKUP('Données projet'!$B$11,Paramètres!$A$1:$I$89,3,0)*0.475*44/12</f>
        <v>1.0284915132656038</v>
      </c>
      <c r="BS47" s="24">
        <f t="shared" si="9"/>
        <v>41.51423638796097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8.6871141969999961</v>
      </c>
      <c r="BY47" s="13">
        <f>IF('Données projet'!$A$114&gt;35,BY46+BX47-CG46,IF(A47&lt;'Données projet'!$A$114,$BV$205^A47,IF(A47='Données projet'!$A$114,'Données projet'!$B$114,BY46+BX47-CG46)))</f>
        <v>183.54475311799996</v>
      </c>
      <c r="BZ47" s="14">
        <f>BY47*VLOOKUP('Données projet'!$B$12,Paramètres!$A$1:$I$89,3,0)*VLOOKUP('Données projet'!$B$12,Paramètres!$A$1:$I$89,5,0)</f>
        <v>85.898944459223983</v>
      </c>
      <c r="CA47" s="14">
        <f t="shared" si="39"/>
        <v>23.573480522733611</v>
      </c>
      <c r="CB47" s="22">
        <f t="shared" si="10"/>
        <v>190.6644735102428</v>
      </c>
      <c r="CC47" s="62">
        <f t="shared" si="11"/>
        <v>441.55494224838026</v>
      </c>
      <c r="CD47" s="62">
        <f ca="1">AVERAGE(OFFSET($CC$3,0,0,'Données projet'!$E$12+1,1))-AVERAGE(OFFSET($H$3,0,0,'Données projet'!$E$12+1,1))</f>
        <v>289.21044803824958</v>
      </c>
      <c r="CE47" s="62">
        <f t="shared" si="40"/>
        <v>196.11836398299445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>
        <f>EXP(-LN(2)/35)*CK46+(1-EXP(-LN(2)/35))/(LN(2)/35)*CG47*CH47*VLOOKUP('Données projet'!$B$12,Paramètres!$A$1:$I$89,3,0)*0.475*44/12</f>
        <v>0</v>
      </c>
      <c r="CL47" s="23">
        <f>EXP(-LN(2)/25)*CL46+(1-EXP(-LN(2)/25))/(LN(2)/25)*Calculateur!CG47*Calculateur!CI47*VLOOKUP('Données projet'!$B$12,Paramètres!$A$1:$I$89,3,0)*0.475*44/12</f>
        <v>8.7538975798039065</v>
      </c>
      <c r="CM47" s="23">
        <f>EXP(-LN(2)/2)*CM46+(1-EXP(-LN(2)/2))/(LN(2)/2)*CG47*CJ47*VLOOKUP('Données projet'!$B$12,Paramètres!$A$1:$I$89,3,0)*0.475*44/12</f>
        <v>0</v>
      </c>
      <c r="CN47" s="24">
        <f t="shared" si="12"/>
        <v>8.7538975798039065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6</v>
      </c>
      <c r="CT47" s="13">
        <f>IF('Données projet'!$A$140&gt;35,CT46+CS47-DB46,IF(A47&lt;'Données projet'!$A$140,$CQ$205^A47,IF(A47='Données projet'!$A$140,'Données projet'!$B$140,CT46+CS47-DB46)))</f>
        <v>305.99999999999994</v>
      </c>
      <c r="CU47" s="18">
        <f>CT47*VLOOKUP('Données projet'!$B$13,Paramètres!$A$1:$I$89,3,0)*VLOOKUP('Données projet'!$B$13,Paramètres!$A$1:$I$89,5,0)</f>
        <v>276.86879999999996</v>
      </c>
      <c r="CV47" s="14">
        <f t="shared" si="41"/>
        <v>66.30486383631866</v>
      </c>
      <c r="CW47" s="22">
        <f t="shared" si="13"/>
        <v>597.6941311815882</v>
      </c>
      <c r="CX47" s="62">
        <f t="shared" si="14"/>
        <v>848.58459991972563</v>
      </c>
      <c r="CY47" s="62">
        <f ca="1">AVERAGE(OFFSET($CX$3,0,0,'Données projet'!$E$13+1,1))-AVERAGE(OFFSET($H$3,0,0,'Données projet'!$E$13+1,1))</f>
        <v>376.68007030857598</v>
      </c>
      <c r="CZ47" s="62">
        <f t="shared" si="42"/>
        <v>532.90758914457626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>
        <f>EXP(-LN(2)/35)*DF46+(1-EXP(-LN(2)/35))/(LN(2)/35)*DB47*DC47*VLOOKUP('Données projet'!$B$13,Paramètres!$A$1:$I$89,3,0)*0.475*44/12</f>
        <v>0</v>
      </c>
      <c r="DG47" s="23">
        <f>EXP(-LN(2)/25)*DG46+(1-EXP(-LN(2)/25))/(LN(2)/25)*Calculateur!DB47*Calculateur!DD47*VLOOKUP('Données projet'!$B$13,Paramètres!$A$1:$I$89,3,0)*0.475*44/12</f>
        <v>8.8859291093849428</v>
      </c>
      <c r="DH47" s="23">
        <f>EXP(-LN(2)/2)*DH46+(1-EXP(-LN(2)/2))/(LN(2)/2)*DB47*DE47*VLOOKUP('Données projet'!$B$13,Paramètres!$A$1:$I$89,3,0)*0.475*44/12</f>
        <v>0</v>
      </c>
      <c r="DI47" s="24">
        <f t="shared" si="15"/>
        <v>8.8859291093849428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>
        <f>VLOOKUP(A47,'Données projet'!$A$165:$I$185,2,0)</f>
        <v>230</v>
      </c>
      <c r="DM47" s="13">
        <f>VLOOKUP(A47,'Données projet'!$A$165:$I$185,9,0)</f>
        <v>11.142857142857142</v>
      </c>
      <c r="DN47" s="13">
        <f t="array" ref="DN47">INDEX(DM:DM,MIN(IF(ISNUMBER(DM47:DM243),ROW(DM47:DM243),"")))</f>
        <v>11.142857142857142</v>
      </c>
      <c r="DO47" s="13">
        <f>IF('Données projet'!$A$166&gt;35,DO46+DN47-DW46,IF(A47&lt;'Données projet'!$A$166,$DL$205^A47,IF(A47='Données projet'!$A$166,'Données projet'!$B$166,DO46+DN47-DW46)))</f>
        <v>229.99999999999991</v>
      </c>
      <c r="DP47" s="18">
        <f>DO47*VLOOKUP('Données projet'!$B$14,Paramètres!$A$1:$I$89,3,0)*VLOOKUP('Données projet'!$B$14,Paramètres!$A$1:$I$89,5,0)</f>
        <v>218.86799999999994</v>
      </c>
      <c r="DQ47" s="14">
        <f t="shared" si="43"/>
        <v>53.868777293257502</v>
      </c>
      <c r="DR47" s="22">
        <f t="shared" si="16"/>
        <v>475.01655378575668</v>
      </c>
      <c r="DS47" s="62">
        <f t="shared" si="17"/>
        <v>725.90702252389406</v>
      </c>
      <c r="DT47" s="62">
        <f ca="1">AVERAGE(OFFSET($DS$3,0,0,'Données projet'!$E$14+1,1))-AVERAGE(OFFSET($H$3,0,0,'Données projet'!$E$14+1,1))</f>
        <v>364.63161066507769</v>
      </c>
      <c r="DU47" s="62">
        <f t="shared" si="44"/>
        <v>355.44729904860708</v>
      </c>
      <c r="DV47" s="16">
        <f>IF(ISNA(VLOOKUP(A47,'Données projet'!$A$165:$I$185,3,0)),0,VLOOKUP(A47,'Données projet'!$A$165:$I$185,3,0))</f>
        <v>6</v>
      </c>
      <c r="DW47" s="16">
        <f>IF(ISNA(VLOOKUP(A47,'Données projet'!$A$165:$I$185,4,0)),0,VLOOKUP(A47,'Données projet'!$A$165:$I$185,4,0))</f>
        <v>43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>
        <f>EXP(-LN(2)/35)*EA46+(1-EXP(-LN(2)/35))/(LN(2)/35)*DW47*DX47*VLOOKUP('Données projet'!$B$14,Paramètres!$A$1:$I$89,3,0)*0.475*44/12</f>
        <v>0</v>
      </c>
      <c r="EB47" s="23">
        <f>EXP(-LN(2)/25)*EB46+(1-EXP(-LN(2)/25))/(LN(2)/25)*Calculateur!DW47*Calculateur!DY47*VLOOKUP('Données projet'!$B$14,Paramètres!$A$1:$I$89,3,0)*0.475*44/12</f>
        <v>0</v>
      </c>
      <c r="EC47" s="23">
        <f>EXP(-LN(2)/2)*EC46+(1-EXP(-LN(2)/2))/(LN(2)/2)*DW47*DZ47*VLOOKUP('Données projet'!$B$14,Paramètres!$A$1:$I$89,3,0)*0.475*44/12</f>
        <v>0</v>
      </c>
      <c r="ED47" s="24">
        <f t="shared" si="18"/>
        <v>0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>
        <f>VLOOKUP(A47,'Données projet'!$A$191:$I$211,2,0)</f>
        <v>230</v>
      </c>
      <c r="EH47" s="13">
        <f>VLOOKUP(A47,'Données projet'!$A$191:$I$211,9,0)</f>
        <v>11.142857142857142</v>
      </c>
      <c r="EI47" s="13">
        <f t="array" ref="EI47">INDEX(EH:EH,MIN(IF(ISNUMBER(EH47:EH243),ROW(EH47:EH243),"")))</f>
        <v>11.142857142857142</v>
      </c>
      <c r="EJ47" s="13">
        <f>IF('Données projet'!$A$192&gt;35,EJ46+EI47-ER46,IF(A47&lt;'Données projet'!$A$192,$EG$205^A47,IF(A47='Données projet'!$A$192,'Données projet'!$B$192,EJ46+EI47-ER46)))</f>
        <v>229.99999999999991</v>
      </c>
      <c r="EK47" s="18">
        <f>EJ47*VLOOKUP('Données projet'!$B$15,Paramètres!$A$1:$I$89,3,0)*VLOOKUP('Données projet'!$B$15,Paramètres!$A$1:$I$89,5,0)</f>
        <v>168.63599999999994</v>
      </c>
      <c r="EL47" s="14">
        <f t="shared" si="45"/>
        <v>42.784389877117853</v>
      </c>
      <c r="EM47" s="22">
        <f t="shared" si="19"/>
        <v>368.22384570264688</v>
      </c>
      <c r="EN47" s="62">
        <f t="shared" si="20"/>
        <v>619.11431444078426</v>
      </c>
      <c r="EO47" s="62">
        <f ca="1">AVERAGE(OFFSET($EN$3,0,0,'Données projet'!$E$15+1,1))-AVERAGE(OFFSET($H$3,0,0,'Données projet'!$E$15+1,1))</f>
        <v>293.59366973965774</v>
      </c>
      <c r="EP47" s="62">
        <f t="shared" si="46"/>
        <v>288.13804536120426</v>
      </c>
      <c r="EQ47" s="16">
        <f>IF(ISNA(VLOOKUP(A47,'Données projet'!$A$191:$I$211,3,0)),0,VLOOKUP(A47,'Données projet'!$A$191:$I$211,3,0))</f>
        <v>6</v>
      </c>
      <c r="ER47" s="16">
        <f>IF(ISNA(VLOOKUP(A47,'Données projet'!$A$191:$I$211,4,0)),0,VLOOKUP(A47,'Données projet'!$A$191:$I$211,4,0))</f>
        <v>43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>
        <f>EXP(-LN(2)/35)*EV46+(1-EXP(-LN(2)/35))/(LN(2)/35)*ER47*ES47*VLOOKUP('Données projet'!$B$15,Paramètres!$A$1:$I$89,3,0)*0.475*44/12</f>
        <v>0</v>
      </c>
      <c r="EW47" s="23">
        <f>EXP(-LN(2)/25)*EW46+(1-EXP(-LN(2)/25))/(LN(2)/25)*Calculateur!ER47*Calculateur!ET47*VLOOKUP('Données projet'!$B$15,Paramètres!$A$1:$I$89,3,0)*0.475*44/12</f>
        <v>0</v>
      </c>
      <c r="EX47" s="23">
        <f>EXP(-LN(2)/2)*EX46+(1-EXP(-LN(2)/2))/(LN(2)/2)*ER47*EU47*VLOOKUP('Données projet'!$B$15,Paramètres!$A$1:$I$89,3,0)*0.475*44/12</f>
        <v>0</v>
      </c>
      <c r="EY47" s="24">
        <f t="shared" si="21"/>
        <v>0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>
        <f>VLOOKUP(A47,'Données projet'!$A$217:$I$237,2,0)</f>
        <v>230</v>
      </c>
      <c r="FC47" s="13">
        <f>VLOOKUP(A47,'Données projet'!$A$217:$I$237,9,0)</f>
        <v>11.142857142857142</v>
      </c>
      <c r="FD47" s="13">
        <f t="array" ref="FD47">INDEX(FC:FC,MIN(IF(ISNUMBER(FC47:FC243),ROW(FC47:FC243),"")))</f>
        <v>11.142857142857142</v>
      </c>
      <c r="FE47" s="13">
        <f>IF('Données projet'!$A$218&gt;35,FE46+FD47-FM46,IF(A47&lt;'Données projet'!$A$218,$FB$205^A47,IF(A47='Données projet'!$A$218,'Données projet'!$B$218,FE46+FD47-FM46)))</f>
        <v>229.99999999999991</v>
      </c>
      <c r="FF47" s="18">
        <f>FE47*VLOOKUP('Données projet'!$B$16,Paramètres!$A$1:$I$89,3,0)*VLOOKUP('Données projet'!$B$16,Paramètres!$A$1:$I$89,5,0)</f>
        <v>222.4559999999999</v>
      </c>
      <c r="FG47" s="14">
        <f t="shared" si="47"/>
        <v>54.648339796219815</v>
      </c>
      <c r="FH47" s="22">
        <f t="shared" si="22"/>
        <v>482.62339181174929</v>
      </c>
      <c r="FI47" s="62">
        <f t="shared" si="23"/>
        <v>733.51386054988666</v>
      </c>
      <c r="FJ47" s="62">
        <f ca="1">AVERAGE(OFFSET($FI$3,0,0,'Données projet'!$E$16+1,1))-AVERAGE(OFFSET($H$3,0,0,'Données projet'!$E$16+1,1))</f>
        <v>369.69145521630799</v>
      </c>
      <c r="FK47" s="62">
        <f t="shared" si="48"/>
        <v>360.24112103688719</v>
      </c>
      <c r="FL47" s="16">
        <f>IF(ISNA(VLOOKUP(A47,'Données projet'!$A$217:$I$237,3,0)),0,VLOOKUP(A47,'Données projet'!$A$217:$I$237,3,0))</f>
        <v>6</v>
      </c>
      <c r="FM47" s="16">
        <f>IF(ISNA(VLOOKUP(A47,'Données projet'!$A$217:$I$237,4,0)),0,VLOOKUP(A47,'Données projet'!$A$217:$I$237,4,0))</f>
        <v>43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>
        <f>EXP(-LN(2)/35)*FQ46+(1-EXP(-LN(2)/35))/(LN(2)/35)*FM47*FN47*VLOOKUP('Données projet'!$B$16,Paramètres!$A$1:$I$89,3,0)*0.475*44/12</f>
        <v>0</v>
      </c>
      <c r="FR47" s="23">
        <f>EXP(-LN(2)/25)*FR46+(1-EXP(-LN(2)/25))/(LN(2)/25)*Calculateur!FM47*Calculateur!FO47*VLOOKUP('Données projet'!$B$16,Paramètres!$A$1:$I$89,3,0)*0.475*44/12</f>
        <v>0</v>
      </c>
      <c r="FS47" s="23">
        <f>EXP(-LN(2)/2)*FS46+(1-EXP(-LN(2)/2))/(LN(2)/2)*FM47*FP47*VLOOKUP('Données projet'!$B$16,Paramètres!$A$1:$I$89,3,0)*0.475*44/12</f>
        <v>0</v>
      </c>
      <c r="FT47" s="24">
        <f t="shared" si="24"/>
        <v>0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>
        <f>VLOOKUP(A47,'Données projet'!$A$243:$I$263,2,0)</f>
        <v>230</v>
      </c>
      <c r="FX47" s="13">
        <f>VLOOKUP(A47,'Données projet'!$A$243:$I$263,9,0)</f>
        <v>11.142857142857142</v>
      </c>
      <c r="FY47" s="13">
        <f t="array" ref="FY47">INDEX(FX:FX,MIN(IF(ISNUMBER(FX47:FX243),ROW(FX47:FX243),"")))</f>
        <v>11.142857142857142</v>
      </c>
      <c r="FZ47" s="13">
        <f>IF('Données projet'!$A$244&gt;35,FZ46+FY47-GH46,IF(A47&lt;'Données projet'!$A$244,$FW$205^A47,IF(A47='Données projet'!$A$244,'Données projet'!$B$244,FZ46+FY47-GH46)))</f>
        <v>229.99999999999991</v>
      </c>
      <c r="GA47" s="18">
        <f>FZ47*VLOOKUP('Données projet'!$B$17,Paramètres!$A$1:$I$89,3,0)*VLOOKUP('Données projet'!$B$17,Paramètres!$A$1:$I$89,5,0)</f>
        <v>247.57199999999989</v>
      </c>
      <c r="GB47" s="14">
        <f t="shared" si="49"/>
        <v>60.065726249156526</v>
      </c>
      <c r="GC47" s="22">
        <f t="shared" si="25"/>
        <v>535.80237321728066</v>
      </c>
      <c r="GD47" s="62">
        <f t="shared" si="26"/>
        <v>786.69284195541809</v>
      </c>
      <c r="GE47" s="62">
        <f ca="1">AVERAGE(OFFSET($GD$3,0,0,'Données projet'!$E$17+1,1))-AVERAGE(OFFSET($H$3,0,0,'Données projet'!$E$17+1,1))</f>
        <v>405.06394904053946</v>
      </c>
      <c r="GF47" s="62">
        <f t="shared" si="50"/>
        <v>393.75247087518198</v>
      </c>
      <c r="GG47" s="16">
        <f>IF(ISNA(VLOOKUP(A47,'Données projet'!$A$243:$I$263,3,0)),0,VLOOKUP(A47,'Données projet'!$A$243:$I$263,3,0))</f>
        <v>6</v>
      </c>
      <c r="GH47" s="16">
        <f>IF(ISNA(VLOOKUP(A47,'Données projet'!$A$243:$I$263,4,0)),0,VLOOKUP(A47,'Données projet'!$A$243:$I$263,4,0))</f>
        <v>43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>
        <f>EXP(-LN(2)/35)*GL46+(1-EXP(-LN(2)/35))/(LN(2)/35)*GH47*GI47*VLOOKUP('Données projet'!$B$17,Paramètres!$A$1:$I$89,3,0)*0.475*44/12</f>
        <v>0</v>
      </c>
      <c r="GM47" s="23">
        <f>EXP(-LN(2)/25)*GM46+(1-EXP(-LN(2)/25))/(LN(2)/25)*Calculateur!GH47*Calculateur!GJ47*VLOOKUP('Données projet'!$B$17,Paramètres!$A$1:$I$89,3,0)*0.475*44/12</f>
        <v>0</v>
      </c>
      <c r="GN47" s="23">
        <f>EXP(-LN(2)/2)*GN46+(1-EXP(-LN(2)/2))/(LN(2)/2)*GH47*GK47*VLOOKUP('Données projet'!$B$17,Paramètres!$A$1:$I$89,3,0)*0.475*44/12</f>
        <v>0</v>
      </c>
      <c r="GO47" s="23">
        <f t="shared" si="27"/>
        <v>0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>
        <f>VLOOKUP(A47,'Données projet'!$A$269:$I$289,2,0)</f>
        <v>230</v>
      </c>
      <c r="GS47" s="13">
        <f>VLOOKUP(A47,'Données projet'!$A$269:$I$289,9,0)</f>
        <v>11.142857142857142</v>
      </c>
      <c r="GT47" s="13">
        <f t="array" ref="GT47">INDEX(GS:GS,MIN(IF(ISNUMBER(GS47:GS243),ROW(GS47:GS243),"")))</f>
        <v>11.142857142857142</v>
      </c>
      <c r="GU47" s="13">
        <f>IF('Données projet'!$A$270&gt;35,GU46+GT47-HC46,IF(A47&lt;'Données projet'!$A$270,$GR$205^A47,IF(A47='Données projet'!$A$270,'Données projet'!$B$270,GU46+GT47-HC46)))</f>
        <v>229.99999999999991</v>
      </c>
      <c r="GV47" s="18">
        <f>GU47*VLOOKUP('Données projet'!$B$18,Paramètres!$A$1:$I$89,3,0)*VLOOKUP('Données projet'!$B$18,Paramètres!$A$1:$I$89,5,0)</f>
        <v>154.28399999999993</v>
      </c>
      <c r="GW47" s="14">
        <f t="shared" si="51"/>
        <v>39.550538702560999</v>
      </c>
      <c r="GX47" s="22">
        <f t="shared" si="28"/>
        <v>337.59515490696026</v>
      </c>
      <c r="GY47" s="62">
        <f t="shared" si="29"/>
        <v>588.48562364509769</v>
      </c>
      <c r="GZ47" s="62">
        <f ca="1">AVERAGE(OFFSET($GY$3,0,0,'Données projet'!$E$18+1,1))-AVERAGE(OFFSET($H$3,0,0,'Données projet'!$E$18+1,1))</f>
        <v>273.21861937609918</v>
      </c>
      <c r="HA47" s="62">
        <f t="shared" si="52"/>
        <v>268.83004886965318</v>
      </c>
      <c r="HB47" s="16">
        <f>IF(ISNA(VLOOKUP(A47,'Données projet'!$A$269:$I$289,3,0)),0,VLOOKUP(A47,'Données projet'!$A$269:$I$289,3,0))</f>
        <v>6</v>
      </c>
      <c r="HC47" s="16">
        <f>IF(ISNA(VLOOKUP(A47,'Données projet'!$A$269:$I$289,4,0)),0,VLOOKUP(A47,'Données projet'!$A$269:$I$289,4,0))</f>
        <v>43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>
        <f>EXP(-LN(2)/35)*HG46+(1-EXP(-LN(2)/35))/(LN(2)/35)*HC47*HD47*VLOOKUP('Données projet'!$B$18,Paramètres!$A$1:$I$89,3,0)*0.475*44/12</f>
        <v>0</v>
      </c>
      <c r="HH47" s="23">
        <f>EXP(-LN(2)/25)*HH46+(1-EXP(-LN(2)/25))/(LN(2)/25)*Calculateur!HC47*Calculateur!HE47*VLOOKUP('Données projet'!$B$18,Paramètres!$A$1:$I$89,3,0)*0.475*44/12</f>
        <v>0</v>
      </c>
      <c r="HI47" s="23">
        <f>EXP(-LN(2)/2)*HI46+(1-EXP(-LN(2)/2))/(LN(2)/2)*HC47*HF47*VLOOKUP('Données projet'!$B$18,Paramètres!$A$1:$I$89,3,0)*0.475*44/12</f>
        <v>0</v>
      </c>
      <c r="HJ47" s="24">
        <f t="shared" si="30"/>
        <v>0</v>
      </c>
    </row>
    <row r="48" spans="1:218" s="5" customFormat="1" x14ac:dyDescent="0.4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 t="e">
        <f>VLOOKUP(A48,'Données projet'!$A$35:$I$55,2,0)</f>
        <v>#N/A</v>
      </c>
      <c r="L48" s="13" t="e">
        <f>VLOOKUP(A48,'Données projet'!$A$35:$I$55,9,0)</f>
        <v>#N/A</v>
      </c>
      <c r="M48" s="13">
        <f t="array" ref="M48">INDEX(L:L,MIN(IF(ISNUMBER(L48:L244),ROW(L48:L244),"")))</f>
        <v>2.4423076923076925</v>
      </c>
      <c r="N48" s="14">
        <f>IF('Données projet'!$A$36&gt;35,N47+M48-V47,IF(A48&lt;'Données projet'!$A$36,$K$205^A48,IF(A48='Données projet'!$A$36,'Données projet'!$B$36,N47+M48-V47)))</f>
        <v>109.90384615384619</v>
      </c>
      <c r="O48" s="14">
        <f>N48*VLOOKUP('Données projet'!$B$9,Paramètres!$A$1:$I$89,3,0)*VLOOKUP('Données projet'!$B$9,Paramètres!$A$1:$I$89,5,0)</f>
        <v>99.441000000000017</v>
      </c>
      <c r="P48" s="14">
        <f t="shared" si="33"/>
        <v>26.828780089799594</v>
      </c>
      <c r="Q48" s="22">
        <f t="shared" si="53"/>
        <v>219.91986698973434</v>
      </c>
      <c r="R48" s="62">
        <f t="shared" si="0"/>
        <v>471.54662454056847</v>
      </c>
      <c r="S48" s="62">
        <f ca="1">AVERAGE(OFFSET($R$3,0,0,'Données projet'!$E$9+1,1))-AVERAGE(OFFSET($H$3,0,0,'Données projet'!$E$9+1,1))</f>
        <v>432.80275651765203</v>
      </c>
      <c r="T48" s="62">
        <f t="shared" si="34"/>
        <v>203.89279893419919</v>
      </c>
      <c r="U48" s="16">
        <f>IF(ISNA(VLOOKUP(A48,'Données projet'!$A$35:$I$55,3,0)),0,VLOOKUP(A48,'Données projet'!$A$35:$I$55,3,0))</f>
        <v>0</v>
      </c>
      <c r="V48" s="16">
        <f>IF(ISNA(VLOOKUP(A48,'Données projet'!$A$35:$I$55,4,0)),0,VLOOKUP(A48,'Données projet'!$A$35:$I$55,4,0))</f>
        <v>0</v>
      </c>
      <c r="W48" s="17">
        <f>IF(ISNA(VLOOKUP(A48,'Données projet'!$A$35:$I$55,5,0)),0%,VLOOKUP(A48,'Données projet'!$A$35:$I$55,5,0)*VLOOKUP('Données projet'!$B$9,Paramètres!$A$1:$I$89,7,0))</f>
        <v>0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</v>
      </c>
      <c r="Z48" s="23">
        <f>EXP(-LN(2)/35)*Z47+(1-EXP(-LN(2)/35))/(LN(2)/35)*V48*W48*VLOOKUP('Données projet'!$B$9,Paramètres!$A$1:$I$89,3,0)*0.475*44/12</f>
        <v>0</v>
      </c>
      <c r="AA48" s="23">
        <f>EXP(-LN(2)/25)*AA47+(1-EXP(-LN(2)/25))/(LN(2)/25)*Calculateur!V48*Calculateur!X48*VLOOKUP('Données projet'!$B$9,Paramètres!$A$1:$I$89,3,0)*0.475*44/12</f>
        <v>0</v>
      </c>
      <c r="AB48" s="23">
        <f>EXP(-LN(2)/2)*AB47+(1-EXP(-LN(2)/2))/(LN(2)/2)*V48*Y48*VLOOKUP('Données projet'!$B$9,Paramètres!$A$1:$I$89,3,0)*0.475*44/12</f>
        <v>0</v>
      </c>
      <c r="AC48" s="24">
        <f t="shared" si="3"/>
        <v>0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>
        <f>VLOOKUP(A48,'Données projet'!$A$61:$I$81,2,0)</f>
        <v>641</v>
      </c>
      <c r="AG48" s="13">
        <f>VLOOKUP(A48,'Données projet'!$A$61:$I$81,9,0)</f>
        <v>19.600000000000001</v>
      </c>
      <c r="AH48" s="13">
        <f t="array" ref="AH48">INDEX(AG:AG,MIN(IF(ISNUMBER(AG48:AG244),ROW(AG48:AG244),"")))</f>
        <v>19.600000000000001</v>
      </c>
      <c r="AI48" s="14">
        <f>IF('Données projet'!$A$62&gt;35,AI47+AH48-AQ47,IF(A48&lt;'Données projet'!$A$62,$AF$205^A48,IF(A48='Données projet'!$A$62,'Données projet'!$B$62,AI47+AH48-AQ47)))</f>
        <v>641.00000000000034</v>
      </c>
      <c r="AJ48" s="14">
        <f>AI48*VLOOKUP('Données projet'!$B$10,Paramètres!$A$1:$I$89,3,0)*VLOOKUP('Données projet'!$B$10,Paramètres!$A$1:$I$89,5,0)</f>
        <v>283.32200000000017</v>
      </c>
      <c r="AK48" s="14">
        <f t="shared" si="35"/>
        <v>67.668560348664954</v>
      </c>
      <c r="AL48" s="22">
        <f t="shared" si="4"/>
        <v>611.30855927392497</v>
      </c>
      <c r="AM48" s="62">
        <f t="shared" si="5"/>
        <v>862.93531682475907</v>
      </c>
      <c r="AN48" s="62">
        <f ca="1">AVERAGE(OFFSET($AM$3,0,0,'Données projet'!$E$10+1,1))-AVERAGE(OFFSET($H$3,0,0,'Données projet'!$E$10+1,1))</f>
        <v>413.08876898406481</v>
      </c>
      <c r="AO48" s="62">
        <f t="shared" si="36"/>
        <v>520.31320932826566</v>
      </c>
      <c r="AP48" s="16">
        <f>IF(ISNA(VLOOKUP(A48,'Données projet'!$A$61:$I$81,3,0)),0,VLOOKUP(A48,'Données projet'!$A$61:$I$81,3,0))</f>
        <v>5</v>
      </c>
      <c r="AQ48" s="16">
        <f>IF(ISNA(VLOOKUP(A48,'Données projet'!$A$61:$I$81,4,0)),0,VLOOKUP(A48,'Données projet'!$A$61:$I$81,4,0))</f>
        <v>69</v>
      </c>
      <c r="AR48" s="17">
        <f>IF(ISNA(VLOOKUP(A48,'Données projet'!$A$61:$I$81,5,0)),0%,VLOOKUP(A48,'Données projet'!$A$61:$I$81,5,0)*VLOOKUP('Données projet'!$B$10,Paramètres!$A$1:$I$89,7,0))</f>
        <v>0.27500000000000002</v>
      </c>
      <c r="AS48" s="17">
        <f>IF(ISNA(VLOOKUP(A48,'Données projet'!$A$61:$I$81,6,0)),0%,VLOOKUP(A48,'Données projet'!$A$61:$I$81,6,0)*VLOOKUP('Données projet'!$B$10,Paramètres!$A$1:$I$89,7,0))</f>
        <v>0.22000000000000003</v>
      </c>
      <c r="AT48" s="17">
        <f>IF(ISNA(VLOOKUP(A48,'Données projet'!$A$61:$I$81,7,0)),0%,VLOOKUP(A48,'Données projet'!$A$61:$I$81,7,0))</f>
        <v>0.1</v>
      </c>
      <c r="AU48" s="23">
        <f>EXP(-LN(2)/35)*AU47+(1-EXP(-LN(2)/35))/(LN(2)/35)*AQ48*AR48*VLOOKUP('Données projet'!$B$10,Paramètres!$A$1:$I$89,3,0)*0.475*44/12</f>
        <v>20.618587358920593</v>
      </c>
      <c r="AV48" s="23">
        <f>EXP(-LN(2)/25)*AV47+(1-EXP(-LN(2)/25))/(LN(2)/25)*Calculateur!AQ48*Calculateur!AS48*VLOOKUP('Données projet'!$B$10,Paramètres!$A$1:$I$89,3,0)*0.475*44/12</f>
        <v>30.584377371122663</v>
      </c>
      <c r="AW48" s="23">
        <f>EXP(-LN(2)/2)*AW47+(1-EXP(-LN(2)/2))/(LN(2)/2)*AQ48*AT48*VLOOKUP('Données projet'!$B$10,Paramètres!$A$1:$I$89,3,0)*0.475*44/12</f>
        <v>4.0281195725399215</v>
      </c>
      <c r="AX48" s="23">
        <f t="shared" si="6"/>
        <v>55.231084302583177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641</v>
      </c>
      <c r="BB48" s="13">
        <f>VLOOKUP(A48,'Données projet'!$A$87:$I$107,9,0)</f>
        <v>19.600000000000001</v>
      </c>
      <c r="BC48" s="13">
        <f t="array" ref="BC48">INDEX(BB:BB,MIN(IF(ISNUMBER(BB48:BB244),ROW(BB48:BB244),"")))</f>
        <v>19.600000000000001</v>
      </c>
      <c r="BD48" s="13">
        <f>IF('Données projet'!$A$88&gt;35,BD47+BC48-BL47,IF(A48&lt;'Données projet'!$A$88,$BA$205^A48,IF(A48='Données projet'!$A$88,'Données projet'!$B$88,BD47+BC48-BL47)))</f>
        <v>641.00000000000034</v>
      </c>
      <c r="BE48" s="14">
        <f>BD48*VLOOKUP('Données projet'!$B$11,Paramètres!$A$1:$I$89,3,0)*VLOOKUP('Données projet'!$B$11,Paramètres!$A$1:$I$89,5,0)</f>
        <v>358.31900000000024</v>
      </c>
      <c r="BF48" s="14">
        <f t="shared" si="37"/>
        <v>83.27313083254208</v>
      </c>
      <c r="BG48" s="22">
        <f t="shared" si="7"/>
        <v>769.10629453334457</v>
      </c>
      <c r="BH48" s="62">
        <f t="shared" si="8"/>
        <v>1020.7330520841787</v>
      </c>
      <c r="BI48" s="62">
        <f ca="1">AVERAGE(OFFSET($BH$3,0,0,'Données projet'!$E$11+1,1))-AVERAGE(OFFSET($H$3,0,0,'Données projet'!$E$11+1,1))</f>
        <v>507.66185230065889</v>
      </c>
      <c r="BJ48" s="62">
        <f t="shared" si="38"/>
        <v>640.14375617778342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69</v>
      </c>
      <c r="BM48" s="17">
        <f>IF(ISNA(VLOOKUP(A48,'Données projet'!$A$87:$I$107,5,0)),0%,VLOOKUP(A48,'Données projet'!$A$87:$I$107,5,0)*VLOOKUP('Données projet'!$B$11,Paramètres!$A$1:$I$89,7,0))</f>
        <v>0.27500000000000002</v>
      </c>
      <c r="BN48" s="17">
        <f>IF(ISNA(VLOOKUP(A48,'Données projet'!$A$87:$I$107,6,0)),0%,VLOOKUP(A48,'Données projet'!$A$87:$I$107,6,0)*VLOOKUP('Données projet'!$B$11,Paramètres!$A$1:$I$89,7,0))</f>
        <v>0.22000000000000003</v>
      </c>
      <c r="BO48" s="17">
        <f>IF(ISNA(VLOOKUP(A48,'Données projet'!$A$87:$I$107,7,0)),0%,VLOOKUP(A48,'Données projet'!$A$87:$I$107,7,0))</f>
        <v>0.1</v>
      </c>
      <c r="BP48" s="23">
        <f>EXP(-LN(2)/35)*BP47+(1-EXP(-LN(2)/35))/(LN(2)/35)*BL48*BM48*VLOOKUP('Données projet'!$B$11,Paramètres!$A$1:$I$89,3,0)*0.475*44/12</f>
        <v>26.076448718634861</v>
      </c>
      <c r="BQ48" s="23">
        <f>EXP(-LN(2)/25)*BQ47+(1-EXP(-LN(2)/25))/(LN(2)/25)*Calculateur!BL48*Calculateur!BN48*VLOOKUP('Données projet'!$B$11,Paramètres!$A$1:$I$89,3,0)*0.475*44/12</f>
        <v>38.68024196936102</v>
      </c>
      <c r="BR48" s="23">
        <f>EXP(-LN(2)/2)*BR47+(1-EXP(-LN(2)/2))/(LN(2)/2)*BL48*BO48*VLOOKUP('Données projet'!$B$11,Paramètres!$A$1:$I$89,3,0)*0.475*44/12</f>
        <v>5.0943865182122536</v>
      </c>
      <c r="BS48" s="24">
        <f t="shared" si="9"/>
        <v>69.851077206208146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8.6871141969999961</v>
      </c>
      <c r="BY48" s="13">
        <f>IF('Données projet'!$A$114&gt;35,BY47+BX48-CG47,IF(A48&lt;'Données projet'!$A$114,$BV$205^A48,IF(A48='Données projet'!$A$114,'Données projet'!$B$114,BY47+BX48-CG47)))</f>
        <v>192.23186731499996</v>
      </c>
      <c r="BZ48" s="14">
        <f>BY48*VLOOKUP('Données projet'!$B$12,Paramètres!$A$1:$I$89,3,0)*VLOOKUP('Données projet'!$B$12,Paramètres!$A$1:$I$89,5,0)</f>
        <v>89.96451390341997</v>
      </c>
      <c r="CA48" s="14">
        <f t="shared" si="39"/>
        <v>24.556666405493694</v>
      </c>
      <c r="CB48" s="22">
        <f t="shared" si="10"/>
        <v>199.45772237135796</v>
      </c>
      <c r="CC48" s="62">
        <f t="shared" si="11"/>
        <v>451.08447992219209</v>
      </c>
      <c r="CD48" s="62">
        <f ca="1">AVERAGE(OFFSET($CC$3,0,0,'Données projet'!$E$12+1,1))-AVERAGE(OFFSET($H$3,0,0,'Données projet'!$E$12+1,1))</f>
        <v>289.21044803824958</v>
      </c>
      <c r="CE48" s="62">
        <f t="shared" si="40"/>
        <v>196.11836398299445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>
        <f>EXP(-LN(2)/35)*CK47+(1-EXP(-LN(2)/35))/(LN(2)/35)*CG48*CH48*VLOOKUP('Données projet'!$B$12,Paramètres!$A$1:$I$89,3,0)*0.475*44/12</f>
        <v>0</v>
      </c>
      <c r="CL48" s="23">
        <f>EXP(-LN(2)/25)*CL47+(1-EXP(-LN(2)/25))/(LN(2)/25)*Calculateur!CG48*Calculateur!CI48*VLOOKUP('Données projet'!$B$12,Paramètres!$A$1:$I$89,3,0)*0.475*44/12</f>
        <v>8.514521790136703</v>
      </c>
      <c r="CM48" s="23">
        <f>EXP(-LN(2)/2)*CM47+(1-EXP(-LN(2)/2))/(LN(2)/2)*CG48*CJ48*VLOOKUP('Données projet'!$B$12,Paramètres!$A$1:$I$89,3,0)*0.475*44/12</f>
        <v>0</v>
      </c>
      <c r="CN48" s="24">
        <f t="shared" si="12"/>
        <v>8.514521790136703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>
        <f>VLOOKUP(A48,'Données projet'!$A$139:$I$159,2,0)</f>
        <v>312</v>
      </c>
      <c r="CR48" s="13">
        <f>VLOOKUP(A48,'Données projet'!$A$139:$I$159,9,0)</f>
        <v>6</v>
      </c>
      <c r="CS48" s="13">
        <f t="array" ref="CS48">INDEX(CR:CR,MIN(IF(ISNUMBER(CR48:CR244),ROW(CR48:CR244),"")))</f>
        <v>6</v>
      </c>
      <c r="CT48" s="13">
        <f>IF('Données projet'!$A$140&gt;35,CT47+CS48-DB47,IF(A48&lt;'Données projet'!$A$140,$CQ$205^A48,IF(A48='Données projet'!$A$140,'Données projet'!$B$140,CT47+CS48-DB47)))</f>
        <v>311.99999999999994</v>
      </c>
      <c r="CU48" s="18">
        <f>CT48*VLOOKUP('Données projet'!$B$13,Paramètres!$A$1:$I$89,3,0)*VLOOKUP('Données projet'!$B$13,Paramètres!$A$1:$I$89,5,0)</f>
        <v>282.29759999999993</v>
      </c>
      <c r="CV48" s="14">
        <f t="shared" si="41"/>
        <v>67.452326629470178</v>
      </c>
      <c r="CW48" s="22">
        <f t="shared" si="13"/>
        <v>609.14778887966042</v>
      </c>
      <c r="CX48" s="62">
        <f t="shared" si="14"/>
        <v>860.77454643049452</v>
      </c>
      <c r="CY48" s="62">
        <f ca="1">AVERAGE(OFFSET($CX$3,0,0,'Données projet'!$E$13+1,1))-AVERAGE(OFFSET($H$3,0,0,'Données projet'!$E$13+1,1))</f>
        <v>376.68007030857598</v>
      </c>
      <c r="CZ48" s="62">
        <f t="shared" si="42"/>
        <v>532.90758914457626</v>
      </c>
      <c r="DA48" s="16" t="str">
        <f>IF(ISNA(VLOOKUP(A48,'Données projet'!$A$139:$I$159,3,0)),0,VLOOKUP(A48,'Données projet'!$A$139:$I$159,3,0))</f>
        <v>CR</v>
      </c>
      <c r="DB48" s="16">
        <f>IF(ISNA(VLOOKUP(A48,'Données projet'!$A$139:$I$159,4,0)),0,VLOOKUP(A48,'Données projet'!$A$139:$I$159,4,0))</f>
        <v>312</v>
      </c>
      <c r="DC48" s="17">
        <f>IF(ISNA(VLOOKUP(A48,'Données projet'!$A$139:$I$159,5,0)),0%,VLOOKUP(A48,'Données projet'!$A$139:$I$159,5,0)*VLOOKUP('Données projet'!$B$13,Paramètres!$A$1:$I$89,7,0))</f>
        <v>0.3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>
        <f>EXP(-LN(2)/35)*DF47+(1-EXP(-LN(2)/35))/(LN(2)/35)*DB48*DC48*VLOOKUP('Données projet'!$B$13,Paramètres!$A$1:$I$89,3,0)*0.475*44/12</f>
        <v>93.621490503972268</v>
      </c>
      <c r="DG48" s="23">
        <f>EXP(-LN(2)/25)*DG47+(1-EXP(-LN(2)/25))/(LN(2)/25)*Calculateur!DB48*Calculateur!DD48*VLOOKUP('Données projet'!$B$13,Paramètres!$A$1:$I$89,3,0)*0.475*44/12</f>
        <v>8.6429429105981086</v>
      </c>
      <c r="DH48" s="23">
        <f>EXP(-LN(2)/2)*DH47+(1-EXP(-LN(2)/2))/(LN(2)/2)*DB48*DE48*VLOOKUP('Données projet'!$B$13,Paramètres!$A$1:$I$89,3,0)*0.475*44/12</f>
        <v>0</v>
      </c>
      <c r="DI48" s="24">
        <f t="shared" si="15"/>
        <v>102.26443341457038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10.375</v>
      </c>
      <c r="DO48" s="13">
        <f>IF('Données projet'!$A$166&gt;35,DO47+DN48-DW47,IF(A48&lt;'Données projet'!$A$166,$DL$205^A48,IF(A48='Données projet'!$A$166,'Données projet'!$B$166,DO47+DN48-DW47)))</f>
        <v>197.37499999999991</v>
      </c>
      <c r="DP48" s="18">
        <f>DO48*VLOOKUP('Données projet'!$B$14,Paramètres!$A$1:$I$89,3,0)*VLOOKUP('Données projet'!$B$14,Paramètres!$A$1:$I$89,5,0)</f>
        <v>187.82204999999993</v>
      </c>
      <c r="DQ48" s="14">
        <f t="shared" si="43"/>
        <v>47.058116413187761</v>
      </c>
      <c r="DR48" s="22">
        <f t="shared" si="16"/>
        <v>409.0829565029685</v>
      </c>
      <c r="DS48" s="62">
        <f t="shared" si="17"/>
        <v>660.7097140538026</v>
      </c>
      <c r="DT48" s="62">
        <f ca="1">AVERAGE(OFFSET($DS$3,0,0,'Données projet'!$E$14+1,1))-AVERAGE(OFFSET($H$3,0,0,'Données projet'!$E$14+1,1))</f>
        <v>364.63161066507769</v>
      </c>
      <c r="DU48" s="62">
        <f t="shared" si="44"/>
        <v>355.44729904860708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>
        <f>EXP(-LN(2)/35)*EA47+(1-EXP(-LN(2)/35))/(LN(2)/35)*DW48*DX48*VLOOKUP('Données projet'!$B$14,Paramètres!$A$1:$I$89,3,0)*0.475*44/12</f>
        <v>0</v>
      </c>
      <c r="EB48" s="23">
        <f>EXP(-LN(2)/25)*EB47+(1-EXP(-LN(2)/25))/(LN(2)/25)*Calculateur!DW48*Calculateur!DY48*VLOOKUP('Données projet'!$B$14,Paramètres!$A$1:$I$89,3,0)*0.475*44/12</f>
        <v>0</v>
      </c>
      <c r="EC48" s="23">
        <f>EXP(-LN(2)/2)*EC47+(1-EXP(-LN(2)/2))/(LN(2)/2)*DW48*DZ48*VLOOKUP('Données projet'!$B$14,Paramètres!$A$1:$I$89,3,0)*0.475*44/12</f>
        <v>0</v>
      </c>
      <c r="ED48" s="24">
        <f t="shared" si="18"/>
        <v>0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10.375</v>
      </c>
      <c r="EJ48" s="13">
        <f>IF('Données projet'!$A$192&gt;35,EJ47+EI48-ER47,IF(A48&lt;'Données projet'!$A$192,$EG$205^A48,IF(A48='Données projet'!$A$192,'Données projet'!$B$192,EJ47+EI48-ER47)))</f>
        <v>197.37499999999991</v>
      </c>
      <c r="EK48" s="18">
        <f>EJ48*VLOOKUP('Données projet'!$B$15,Paramètres!$A$1:$I$89,3,0)*VLOOKUP('Données projet'!$B$15,Paramètres!$A$1:$I$89,5,0)</f>
        <v>144.71534999999994</v>
      </c>
      <c r="EL48" s="14">
        <f t="shared" si="45"/>
        <v>37.375134552323054</v>
      </c>
      <c r="EM48" s="22">
        <f t="shared" si="19"/>
        <v>317.14092726196253</v>
      </c>
      <c r="EN48" s="62">
        <f t="shared" si="20"/>
        <v>568.76768481279669</v>
      </c>
      <c r="EO48" s="62">
        <f ca="1">AVERAGE(OFFSET($EN$3,0,0,'Données projet'!$E$15+1,1))-AVERAGE(OFFSET($H$3,0,0,'Données projet'!$E$15+1,1))</f>
        <v>293.59366973965774</v>
      </c>
      <c r="EP48" s="62">
        <f t="shared" si="46"/>
        <v>288.13804536120426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>
        <f>EXP(-LN(2)/35)*EV47+(1-EXP(-LN(2)/35))/(LN(2)/35)*ER48*ES48*VLOOKUP('Données projet'!$B$15,Paramètres!$A$1:$I$89,3,0)*0.475*44/12</f>
        <v>0</v>
      </c>
      <c r="EW48" s="23">
        <f>EXP(-LN(2)/25)*EW47+(1-EXP(-LN(2)/25))/(LN(2)/25)*Calculateur!ER48*Calculateur!ET48*VLOOKUP('Données projet'!$B$15,Paramètres!$A$1:$I$89,3,0)*0.475*44/12</f>
        <v>0</v>
      </c>
      <c r="EX48" s="23">
        <f>EXP(-LN(2)/2)*EX47+(1-EXP(-LN(2)/2))/(LN(2)/2)*ER48*EU48*VLOOKUP('Données projet'!$B$15,Paramètres!$A$1:$I$89,3,0)*0.475*44/12</f>
        <v>0</v>
      </c>
      <c r="EY48" s="24">
        <f t="shared" si="21"/>
        <v>0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10.375</v>
      </c>
      <c r="FE48" s="13">
        <f>IF('Données projet'!$A$218&gt;35,FE47+FD48-FM47,IF(A48&lt;'Données projet'!$A$218,$FB$205^A48,IF(A48='Données projet'!$A$218,'Données projet'!$B$218,FE47+FD48-FM47)))</f>
        <v>197.37499999999991</v>
      </c>
      <c r="FF48" s="18">
        <f>FE48*VLOOKUP('Données projet'!$B$16,Paramètres!$A$1:$I$89,3,0)*VLOOKUP('Données projet'!$B$16,Paramètres!$A$1:$I$89,5,0)</f>
        <v>190.90109999999993</v>
      </c>
      <c r="FG48" s="14">
        <f t="shared" si="47"/>
        <v>47.739118374974417</v>
      </c>
      <c r="FH48" s="22">
        <f t="shared" si="22"/>
        <v>415.63171366974694</v>
      </c>
      <c r="FI48" s="62">
        <f t="shared" si="23"/>
        <v>667.2584712205811</v>
      </c>
      <c r="FJ48" s="62">
        <f ca="1">AVERAGE(OFFSET($FI$3,0,0,'Données projet'!$E$16+1,1))-AVERAGE(OFFSET($H$3,0,0,'Données projet'!$E$16+1,1))</f>
        <v>369.69145521630799</v>
      </c>
      <c r="FK48" s="62">
        <f t="shared" si="48"/>
        <v>360.24112103688719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>
        <f>EXP(-LN(2)/35)*FQ47+(1-EXP(-LN(2)/35))/(LN(2)/35)*FM48*FN48*VLOOKUP('Données projet'!$B$16,Paramètres!$A$1:$I$89,3,0)*0.475*44/12</f>
        <v>0</v>
      </c>
      <c r="FR48" s="23">
        <f>EXP(-LN(2)/25)*FR47+(1-EXP(-LN(2)/25))/(LN(2)/25)*Calculateur!FM48*Calculateur!FO48*VLOOKUP('Données projet'!$B$16,Paramètres!$A$1:$I$89,3,0)*0.475*44/12</f>
        <v>0</v>
      </c>
      <c r="FS48" s="23">
        <f>EXP(-LN(2)/2)*FS47+(1-EXP(-LN(2)/2))/(LN(2)/2)*FM48*FP48*VLOOKUP('Données projet'!$B$16,Paramètres!$A$1:$I$89,3,0)*0.475*44/12</f>
        <v>0</v>
      </c>
      <c r="FT48" s="24">
        <f t="shared" si="24"/>
        <v>0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10.375</v>
      </c>
      <c r="FZ48" s="13">
        <f>IF('Données projet'!$A$244&gt;35,FZ47+FY48-GH47,IF(A48&lt;'Données projet'!$A$244,$FW$205^A48,IF(A48='Données projet'!$A$244,'Données projet'!$B$244,FZ47+FY48-GH47)))</f>
        <v>197.37499999999991</v>
      </c>
      <c r="GA48" s="18">
        <f>FZ48*VLOOKUP('Données projet'!$B$17,Paramètres!$A$1:$I$89,3,0)*VLOOKUP('Données projet'!$B$17,Paramètres!$A$1:$I$89,5,0)</f>
        <v>212.45444999999992</v>
      </c>
      <c r="GB48" s="14">
        <f t="shared" si="49"/>
        <v>52.471581504213297</v>
      </c>
      <c r="GC48" s="22">
        <f t="shared" si="25"/>
        <v>461.4128382031713</v>
      </c>
      <c r="GD48" s="62">
        <f t="shared" si="26"/>
        <v>713.0395957540054</v>
      </c>
      <c r="GE48" s="62">
        <f ca="1">AVERAGE(OFFSET($GD$3,0,0,'Données projet'!$E$17+1,1))-AVERAGE(OFFSET($H$3,0,0,'Données projet'!$E$17+1,1))</f>
        <v>405.06394904053946</v>
      </c>
      <c r="GF48" s="62">
        <f t="shared" si="50"/>
        <v>393.75247087518198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>
        <f>EXP(-LN(2)/35)*GL47+(1-EXP(-LN(2)/35))/(LN(2)/35)*GH48*GI48*VLOOKUP('Données projet'!$B$17,Paramètres!$A$1:$I$89,3,0)*0.475*44/12</f>
        <v>0</v>
      </c>
      <c r="GM48" s="23">
        <f>EXP(-LN(2)/25)*GM47+(1-EXP(-LN(2)/25))/(LN(2)/25)*Calculateur!GH48*Calculateur!GJ48*VLOOKUP('Données projet'!$B$17,Paramètres!$A$1:$I$89,3,0)*0.475*44/12</f>
        <v>0</v>
      </c>
      <c r="GN48" s="23">
        <f>EXP(-LN(2)/2)*GN47+(1-EXP(-LN(2)/2))/(LN(2)/2)*GH48*GK48*VLOOKUP('Données projet'!$B$17,Paramètres!$A$1:$I$89,3,0)*0.475*44/12</f>
        <v>0</v>
      </c>
      <c r="GO48" s="23">
        <f t="shared" si="27"/>
        <v>0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10.375</v>
      </c>
      <c r="GU48" s="13">
        <f>IF('Données projet'!$A$270&gt;35,GU47+GT48-HC47,IF(A48&lt;'Données projet'!$A$270,$GR$205^A48,IF(A48='Données projet'!$A$270,'Données projet'!$B$270,GU47+GT48-HC47)))</f>
        <v>197.37499999999991</v>
      </c>
      <c r="GV48" s="18">
        <f>GU48*VLOOKUP('Données projet'!$B$18,Paramètres!$A$1:$I$89,3,0)*VLOOKUP('Données projet'!$B$18,Paramètres!$A$1:$I$89,5,0)</f>
        <v>132.39914999999993</v>
      </c>
      <c r="GW48" s="14">
        <f t="shared" si="51"/>
        <v>34.550141064782551</v>
      </c>
      <c r="GX48" s="22">
        <f t="shared" si="28"/>
        <v>290.77001527116278</v>
      </c>
      <c r="GY48" s="62">
        <f t="shared" si="29"/>
        <v>542.39677282199693</v>
      </c>
      <c r="GZ48" s="62">
        <f ca="1">AVERAGE(OFFSET($GY$3,0,0,'Données projet'!$E$18+1,1))-AVERAGE(OFFSET($H$3,0,0,'Données projet'!$E$18+1,1))</f>
        <v>273.21861937609918</v>
      </c>
      <c r="HA48" s="62">
        <f t="shared" si="52"/>
        <v>268.83004886965318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>
        <f>EXP(-LN(2)/35)*HG47+(1-EXP(-LN(2)/35))/(LN(2)/35)*HC48*HD48*VLOOKUP('Données projet'!$B$18,Paramètres!$A$1:$I$89,3,0)*0.475*44/12</f>
        <v>0</v>
      </c>
      <c r="HH48" s="23">
        <f>EXP(-LN(2)/25)*HH47+(1-EXP(-LN(2)/25))/(LN(2)/25)*Calculateur!HC48*Calculateur!HE48*VLOOKUP('Données projet'!$B$18,Paramètres!$A$1:$I$89,3,0)*0.475*44/12</f>
        <v>0</v>
      </c>
      <c r="HI48" s="23">
        <f>EXP(-LN(2)/2)*HI47+(1-EXP(-LN(2)/2))/(LN(2)/2)*HC48*HF48*VLOOKUP('Données projet'!$B$18,Paramètres!$A$1:$I$89,3,0)*0.475*44/12</f>
        <v>0</v>
      </c>
      <c r="HJ48" s="24">
        <f t="shared" si="30"/>
        <v>0</v>
      </c>
    </row>
    <row r="49" spans="1:218" s="5" customFormat="1" x14ac:dyDescent="0.4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2.4423076923076925</v>
      </c>
      <c r="N49" s="14">
        <f>IF('Données projet'!$A$36&gt;35,N48+M49-V48,IF(A49&lt;'Données projet'!$A$36,$K$205^A49,IF(A49='Données projet'!$A$36,'Données projet'!$B$36,N48+M49-V48)))</f>
        <v>112.34615384615388</v>
      </c>
      <c r="O49" s="14">
        <f>N49*VLOOKUP('Données projet'!$B$9,Paramètres!$A$1:$I$89,3,0)*VLOOKUP('Données projet'!$B$9,Paramètres!$A$1:$I$89,5,0)</f>
        <v>101.65080000000003</v>
      </c>
      <c r="P49" s="14">
        <f t="shared" si="33"/>
        <v>27.354902335290486</v>
      </c>
      <c r="Q49" s="22">
        <f t="shared" si="53"/>
        <v>224.68493156729764</v>
      </c>
      <c r="R49" s="62">
        <f t="shared" si="0"/>
        <v>477.03520496602329</v>
      </c>
      <c r="S49" s="62">
        <f ca="1">AVERAGE(OFFSET($R$3,0,0,'Données projet'!$E$9+1,1))-AVERAGE(OFFSET($H$3,0,0,'Données projet'!$E$9+1,1))</f>
        <v>432.80275651765203</v>
      </c>
      <c r="T49" s="62">
        <f t="shared" si="34"/>
        <v>203.89279893419919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0</v>
      </c>
      <c r="AA49" s="23">
        <f>EXP(-LN(2)/25)*AA48+(1-EXP(-LN(2)/25))/(LN(2)/25)*Calculateur!V49*Calculateur!X49*VLOOKUP('Données projet'!$B$9,Paramètres!$A$1:$I$89,3,0)*0.475*44/12</f>
        <v>0</v>
      </c>
      <c r="AB49" s="23">
        <f>EXP(-LN(2)/2)*AB48+(1-EXP(-LN(2)/2))/(LN(2)/2)*V49*Y49*VLOOKUP('Données projet'!$B$9,Paramètres!$A$1:$I$89,3,0)*0.475*44/12</f>
        <v>0</v>
      </c>
      <c r="AC49" s="24">
        <f t="shared" si="3"/>
        <v>0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18.2</v>
      </c>
      <c r="AI49" s="14">
        <f>IF('Données projet'!$A$62&gt;35,AI48+AH49-AQ48,IF(A49&lt;'Données projet'!$A$62,$AF$205^A49,IF(A49='Données projet'!$A$62,'Données projet'!$B$62,AI48+AH49-AQ48)))</f>
        <v>590.20000000000039</v>
      </c>
      <c r="AJ49" s="14">
        <f>AI49*VLOOKUP('Données projet'!$B$10,Paramètres!$A$1:$I$89,3,0)*VLOOKUP('Données projet'!$B$10,Paramètres!$A$1:$I$89,5,0)</f>
        <v>260.86840000000018</v>
      </c>
      <c r="AK49" s="14">
        <f t="shared" si="35"/>
        <v>62.907449805236467</v>
      </c>
      <c r="AL49" s="22">
        <f t="shared" si="4"/>
        <v>563.90960507745376</v>
      </c>
      <c r="AM49" s="62">
        <f t="shared" si="5"/>
        <v>816.25987847617944</v>
      </c>
      <c r="AN49" s="62">
        <f ca="1">AVERAGE(OFFSET($AM$3,0,0,'Données projet'!$E$10+1,1))-AVERAGE(OFFSET($H$3,0,0,'Données projet'!$E$10+1,1))</f>
        <v>413.08876898406481</v>
      </c>
      <c r="AO49" s="62">
        <f t="shared" si="36"/>
        <v>520.31320932826566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20.214269436908662</v>
      </c>
      <c r="AV49" s="23">
        <f>EXP(-LN(2)/25)*AV48+(1-EXP(-LN(2)/25))/(LN(2)/25)*Calculateur!AQ49*Calculateur!AS49*VLOOKUP('Données projet'!$B$10,Paramètres!$A$1:$I$89,3,0)*0.475*44/12</f>
        <v>29.748045963546808</v>
      </c>
      <c r="AW49" s="23">
        <f>EXP(-LN(2)/2)*AW48+(1-EXP(-LN(2)/2))/(LN(2)/2)*AQ49*AT49*VLOOKUP('Données projet'!$B$10,Paramètres!$A$1:$I$89,3,0)*0.475*44/12</f>
        <v>2.8483106651732357</v>
      </c>
      <c r="AX49" s="23">
        <f t="shared" si="6"/>
        <v>52.810626065628703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18.2</v>
      </c>
      <c r="BD49" s="13">
        <f>IF('Données projet'!$A$88&gt;35,BD48+BC49-BL48,IF(A49&lt;'Données projet'!$A$88,$BA$205^A49,IF(A49='Données projet'!$A$88,'Données projet'!$B$88,BD48+BC49-BL48)))</f>
        <v>590.20000000000039</v>
      </c>
      <c r="BE49" s="14">
        <f>BD49*VLOOKUP('Données projet'!$B$11,Paramètres!$A$1:$I$89,3,0)*VLOOKUP('Données projet'!$B$11,Paramètres!$A$1:$I$89,5,0)</f>
        <v>329.92180000000025</v>
      </c>
      <c r="BF49" s="14">
        <f t="shared" si="37"/>
        <v>77.414094093053677</v>
      </c>
      <c r="BG49" s="22">
        <f t="shared" si="7"/>
        <v>709.44334887873549</v>
      </c>
      <c r="BH49" s="62">
        <f t="shared" si="8"/>
        <v>961.79362227746117</v>
      </c>
      <c r="BI49" s="62">
        <f ca="1">AVERAGE(OFFSET($BH$3,0,0,'Données projet'!$E$11+1,1))-AVERAGE(OFFSET($H$3,0,0,'Données projet'!$E$11+1,1))</f>
        <v>507.66185230065889</v>
      </c>
      <c r="BJ49" s="62">
        <f t="shared" si="38"/>
        <v>640.14375617778342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25.565105464325654</v>
      </c>
      <c r="BQ49" s="23">
        <f>EXP(-LN(2)/25)*BQ48+(1-EXP(-LN(2)/25))/(LN(2)/25)*Calculateur!BL49*Calculateur!BN49*VLOOKUP('Données projet'!$B$11,Paramètres!$A$1:$I$89,3,0)*0.475*44/12</f>
        <v>37.62252871860332</v>
      </c>
      <c r="BR49" s="23">
        <f>EXP(-LN(2)/2)*BR48+(1-EXP(-LN(2)/2))/(LN(2)/2)*BL49*BO49*VLOOKUP('Données projet'!$B$11,Paramètres!$A$1:$I$89,3,0)*0.475*44/12</f>
        <v>3.6022752530132101</v>
      </c>
      <c r="BS49" s="24">
        <f t="shared" si="9"/>
        <v>66.789909435942178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8.6871141969999961</v>
      </c>
      <c r="BY49" s="13">
        <f>IF('Données projet'!$A$114&gt;35,BY48+BX49-CG48,IF(A49&lt;'Données projet'!$A$114,$BV$205^A49,IF(A49='Données projet'!$A$114,'Données projet'!$B$114,BY48+BX49-CG48)))</f>
        <v>200.91898151199996</v>
      </c>
      <c r="BZ49" s="14">
        <f>BY49*VLOOKUP('Données projet'!$B$12,Paramètres!$A$1:$I$89,3,0)*VLOOKUP('Données projet'!$B$12,Paramètres!$A$1:$I$89,5,0)</f>
        <v>94.030083347615985</v>
      </c>
      <c r="CA49" s="14">
        <f t="shared" si="39"/>
        <v>25.534692247421525</v>
      </c>
      <c r="CB49" s="22">
        <f t="shared" si="10"/>
        <v>208.24198416135698</v>
      </c>
      <c r="CC49" s="62">
        <f t="shared" si="11"/>
        <v>460.59225756008266</v>
      </c>
      <c r="CD49" s="62">
        <f ca="1">AVERAGE(OFFSET($CC$3,0,0,'Données projet'!$E$12+1,1))-AVERAGE(OFFSET($H$3,0,0,'Données projet'!$E$12+1,1))</f>
        <v>289.21044803824958</v>
      </c>
      <c r="CE49" s="62">
        <f t="shared" si="40"/>
        <v>196.11836398299445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>
        <f>EXP(-LN(2)/35)*CK48+(1-EXP(-LN(2)/35))/(LN(2)/35)*CG49*CH49*VLOOKUP('Données projet'!$B$12,Paramètres!$A$1:$I$89,3,0)*0.475*44/12</f>
        <v>0</v>
      </c>
      <c r="CL49" s="23">
        <f>EXP(-LN(2)/25)*CL48+(1-EXP(-LN(2)/25))/(LN(2)/25)*Calculateur!CG49*Calculateur!CI49*VLOOKUP('Données projet'!$B$12,Paramètres!$A$1:$I$89,3,0)*0.475*44/12</f>
        <v>8.2816917440261744</v>
      </c>
      <c r="CM49" s="23">
        <f>EXP(-LN(2)/2)*CM48+(1-EXP(-LN(2)/2))/(LN(2)/2)*CG49*CJ49*VLOOKUP('Données projet'!$B$12,Paramètres!$A$1:$I$89,3,0)*0.475*44/12</f>
        <v>0</v>
      </c>
      <c r="CN49" s="24">
        <f t="shared" si="12"/>
        <v>8.2816917440261744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-5.6843418860808015E-14</v>
      </c>
      <c r="CU49" s="18">
        <f>CT49*VLOOKUP('Données projet'!$B$13,Paramètres!$A$1:$I$89,3,0)*VLOOKUP('Données projet'!$B$13,Paramètres!$A$1:$I$89,5,0)</f>
        <v>-5.1431925385259088E-14</v>
      </c>
      <c r="CV49" s="14" t="e">
        <f t="shared" si="41"/>
        <v>#NUM!</v>
      </c>
      <c r="CW49" s="22" t="e">
        <f t="shared" si="13"/>
        <v>#NUM!</v>
      </c>
      <c r="CX49" s="62" t="e">
        <f t="shared" si="14"/>
        <v>#NUM!</v>
      </c>
      <c r="CY49" s="62">
        <f ca="1">AVERAGE(OFFSET($CX$3,0,0,'Données projet'!$E$13+1,1))-AVERAGE(OFFSET($H$3,0,0,'Données projet'!$E$13+1,1))</f>
        <v>376.68007030857598</v>
      </c>
      <c r="CZ49" s="62">
        <f t="shared" si="42"/>
        <v>532.90758914457626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>
        <f>EXP(-LN(2)/35)*DF48+(1-EXP(-LN(2)/35))/(LN(2)/35)*DB49*DC49*VLOOKUP('Données projet'!$B$13,Paramètres!$A$1:$I$89,3,0)*0.475*44/12</f>
        <v>91.785630178660085</v>
      </c>
      <c r="DG49" s="23">
        <f>EXP(-LN(2)/25)*DG48+(1-EXP(-LN(2)/25))/(LN(2)/25)*Calculateur!DB49*Calculateur!DD49*VLOOKUP('Données projet'!$B$13,Paramètres!$A$1:$I$89,3,0)*0.475*44/12</f>
        <v>8.4066011821951889</v>
      </c>
      <c r="DH49" s="23">
        <f>EXP(-LN(2)/2)*DH48+(1-EXP(-LN(2)/2))/(LN(2)/2)*DB49*DE49*VLOOKUP('Données projet'!$B$13,Paramètres!$A$1:$I$89,3,0)*0.475*44/12</f>
        <v>0</v>
      </c>
      <c r="DI49" s="24">
        <f t="shared" si="15"/>
        <v>100.19223136085527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10.375</v>
      </c>
      <c r="DO49" s="13">
        <f>IF('Données projet'!$A$166&gt;35,DO48+DN49-DW48,IF(A49&lt;'Données projet'!$A$166,$DL$205^A49,IF(A49='Données projet'!$A$166,'Données projet'!$B$166,DO48+DN49-DW48)))</f>
        <v>207.74999999999991</v>
      </c>
      <c r="DP49" s="18">
        <f>DO49*VLOOKUP('Données projet'!$B$14,Paramètres!$A$1:$I$89,3,0)*VLOOKUP('Données projet'!$B$14,Paramètres!$A$1:$I$89,5,0)</f>
        <v>197.69489999999993</v>
      </c>
      <c r="DQ49" s="14">
        <f t="shared" si="43"/>
        <v>49.237235234070873</v>
      </c>
      <c r="DR49" s="22">
        <f t="shared" si="16"/>
        <v>430.07346886600664</v>
      </c>
      <c r="DS49" s="62">
        <f t="shared" si="17"/>
        <v>682.42374226473225</v>
      </c>
      <c r="DT49" s="62">
        <f ca="1">AVERAGE(OFFSET($DS$3,0,0,'Données projet'!$E$14+1,1))-AVERAGE(OFFSET($H$3,0,0,'Données projet'!$E$14+1,1))</f>
        <v>364.63161066507769</v>
      </c>
      <c r="DU49" s="62">
        <f t="shared" si="44"/>
        <v>355.44729904860708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>
        <f>EXP(-LN(2)/35)*EA48+(1-EXP(-LN(2)/35))/(LN(2)/35)*DW49*DX49*VLOOKUP('Données projet'!$B$14,Paramètres!$A$1:$I$89,3,0)*0.475*44/12</f>
        <v>0</v>
      </c>
      <c r="EB49" s="23">
        <f>EXP(-LN(2)/25)*EB48+(1-EXP(-LN(2)/25))/(LN(2)/25)*Calculateur!DW49*Calculateur!DY49*VLOOKUP('Données projet'!$B$14,Paramètres!$A$1:$I$89,3,0)*0.475*44/12</f>
        <v>0</v>
      </c>
      <c r="EC49" s="23">
        <f>EXP(-LN(2)/2)*EC48+(1-EXP(-LN(2)/2))/(LN(2)/2)*DW49*DZ49*VLOOKUP('Données projet'!$B$14,Paramètres!$A$1:$I$89,3,0)*0.475*44/12</f>
        <v>0</v>
      </c>
      <c r="ED49" s="24">
        <f t="shared" si="18"/>
        <v>0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10.375</v>
      </c>
      <c r="EJ49" s="13">
        <f>IF('Données projet'!$A$192&gt;35,EJ48+EI49-ER48,IF(A49&lt;'Données projet'!$A$192,$EG$205^A49,IF(A49='Données projet'!$A$192,'Données projet'!$B$192,EJ48+EI49-ER48)))</f>
        <v>207.74999999999991</v>
      </c>
      <c r="EK49" s="18">
        <f>EJ49*VLOOKUP('Données projet'!$B$15,Paramètres!$A$1:$I$89,3,0)*VLOOKUP('Données projet'!$B$15,Paramètres!$A$1:$I$89,5,0)</f>
        <v>152.32229999999993</v>
      </c>
      <c r="EL49" s="14">
        <f t="shared" si="45"/>
        <v>39.105863815281467</v>
      </c>
      <c r="EM49" s="22">
        <f t="shared" si="19"/>
        <v>333.4040519782817</v>
      </c>
      <c r="EN49" s="62">
        <f t="shared" si="20"/>
        <v>585.75432537700738</v>
      </c>
      <c r="EO49" s="62">
        <f ca="1">AVERAGE(OFFSET($EN$3,0,0,'Données projet'!$E$15+1,1))-AVERAGE(OFFSET($H$3,0,0,'Données projet'!$E$15+1,1))</f>
        <v>293.59366973965774</v>
      </c>
      <c r="EP49" s="62">
        <f t="shared" si="46"/>
        <v>288.13804536120426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>
        <f>EXP(-LN(2)/35)*EV48+(1-EXP(-LN(2)/35))/(LN(2)/35)*ER49*ES49*VLOOKUP('Données projet'!$B$15,Paramètres!$A$1:$I$89,3,0)*0.475*44/12</f>
        <v>0</v>
      </c>
      <c r="EW49" s="23">
        <f>EXP(-LN(2)/25)*EW48+(1-EXP(-LN(2)/25))/(LN(2)/25)*Calculateur!ER49*Calculateur!ET49*VLOOKUP('Données projet'!$B$15,Paramètres!$A$1:$I$89,3,0)*0.475*44/12</f>
        <v>0</v>
      </c>
      <c r="EX49" s="23">
        <f>EXP(-LN(2)/2)*EX48+(1-EXP(-LN(2)/2))/(LN(2)/2)*ER49*EU49*VLOOKUP('Données projet'!$B$15,Paramètres!$A$1:$I$89,3,0)*0.475*44/12</f>
        <v>0</v>
      </c>
      <c r="EY49" s="24">
        <f t="shared" si="21"/>
        <v>0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10.375</v>
      </c>
      <c r="FE49" s="13">
        <f>IF('Données projet'!$A$218&gt;35,FE48+FD49-FM48,IF(A49&lt;'Données projet'!$A$218,$FB$205^A49,IF(A49='Données projet'!$A$218,'Données projet'!$B$218,FE48+FD49-FM48)))</f>
        <v>207.74999999999991</v>
      </c>
      <c r="FF49" s="18">
        <f>FE49*VLOOKUP('Données projet'!$B$16,Paramètres!$A$1:$I$89,3,0)*VLOOKUP('Données projet'!$B$16,Paramètres!$A$1:$I$89,5,0)</f>
        <v>200.93579999999992</v>
      </c>
      <c r="FG49" s="14">
        <f t="shared" si="47"/>
        <v>49.949772333791181</v>
      </c>
      <c r="FH49" s="22">
        <f t="shared" si="22"/>
        <v>436.95903848135282</v>
      </c>
      <c r="FI49" s="62">
        <f t="shared" si="23"/>
        <v>689.30931188007844</v>
      </c>
      <c r="FJ49" s="62">
        <f ca="1">AVERAGE(OFFSET($FI$3,0,0,'Données projet'!$E$16+1,1))-AVERAGE(OFFSET($H$3,0,0,'Données projet'!$E$16+1,1))</f>
        <v>369.69145521630799</v>
      </c>
      <c r="FK49" s="62">
        <f t="shared" si="48"/>
        <v>360.24112103688719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>
        <f>EXP(-LN(2)/35)*FQ48+(1-EXP(-LN(2)/35))/(LN(2)/35)*FM49*FN49*VLOOKUP('Données projet'!$B$16,Paramètres!$A$1:$I$89,3,0)*0.475*44/12</f>
        <v>0</v>
      </c>
      <c r="FR49" s="23">
        <f>EXP(-LN(2)/25)*FR48+(1-EXP(-LN(2)/25))/(LN(2)/25)*Calculateur!FM49*Calculateur!FO49*VLOOKUP('Données projet'!$B$16,Paramètres!$A$1:$I$89,3,0)*0.475*44/12</f>
        <v>0</v>
      </c>
      <c r="FS49" s="23">
        <f>EXP(-LN(2)/2)*FS48+(1-EXP(-LN(2)/2))/(LN(2)/2)*FM49*FP49*VLOOKUP('Données projet'!$B$16,Paramètres!$A$1:$I$89,3,0)*0.475*44/12</f>
        <v>0</v>
      </c>
      <c r="FT49" s="24">
        <f t="shared" si="24"/>
        <v>0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10.375</v>
      </c>
      <c r="FZ49" s="13">
        <f>IF('Données projet'!$A$244&gt;35,FZ48+FY49-GH48,IF(A49&lt;'Données projet'!$A$244,$FW$205^A49,IF(A49='Données projet'!$A$244,'Données projet'!$B$244,FZ48+FY49-GH48)))</f>
        <v>207.74999999999991</v>
      </c>
      <c r="GA49" s="18">
        <f>FZ49*VLOOKUP('Données projet'!$B$17,Paramètres!$A$1:$I$89,3,0)*VLOOKUP('Données projet'!$B$17,Paramètres!$A$1:$I$89,5,0)</f>
        <v>223.6220999999999</v>
      </c>
      <c r="GB49" s="14">
        <f t="shared" si="49"/>
        <v>54.901381494790314</v>
      </c>
      <c r="GC49" s="22">
        <f t="shared" si="25"/>
        <v>485.09506360342613</v>
      </c>
      <c r="GD49" s="62">
        <f t="shared" si="26"/>
        <v>737.44533700215175</v>
      </c>
      <c r="GE49" s="62">
        <f ca="1">AVERAGE(OFFSET($GD$3,0,0,'Données projet'!$E$17+1,1))-AVERAGE(OFFSET($H$3,0,0,'Données projet'!$E$17+1,1))</f>
        <v>405.06394904053946</v>
      </c>
      <c r="GF49" s="62">
        <f t="shared" si="50"/>
        <v>393.75247087518198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>
        <f>EXP(-LN(2)/35)*GL48+(1-EXP(-LN(2)/35))/(LN(2)/35)*GH49*GI49*VLOOKUP('Données projet'!$B$17,Paramètres!$A$1:$I$89,3,0)*0.475*44/12</f>
        <v>0</v>
      </c>
      <c r="GM49" s="23">
        <f>EXP(-LN(2)/25)*GM48+(1-EXP(-LN(2)/25))/(LN(2)/25)*Calculateur!GH49*Calculateur!GJ49*VLOOKUP('Données projet'!$B$17,Paramètres!$A$1:$I$89,3,0)*0.475*44/12</f>
        <v>0</v>
      </c>
      <c r="GN49" s="23">
        <f>EXP(-LN(2)/2)*GN48+(1-EXP(-LN(2)/2))/(LN(2)/2)*GH49*GK49*VLOOKUP('Données projet'!$B$17,Paramètres!$A$1:$I$89,3,0)*0.475*44/12</f>
        <v>0</v>
      </c>
      <c r="GO49" s="23">
        <f t="shared" si="27"/>
        <v>0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10.375</v>
      </c>
      <c r="GU49" s="13">
        <f>IF('Données projet'!$A$270&gt;35,GU48+GT49-HC48,IF(A49&lt;'Données projet'!$A$270,$GR$205^A49,IF(A49='Données projet'!$A$270,'Données projet'!$B$270,GU48+GT49-HC48)))</f>
        <v>207.74999999999991</v>
      </c>
      <c r="GV49" s="18">
        <f>GU49*VLOOKUP('Données projet'!$B$18,Paramètres!$A$1:$I$89,3,0)*VLOOKUP('Données projet'!$B$18,Paramètres!$A$1:$I$89,5,0)</f>
        <v>139.35869999999994</v>
      </c>
      <c r="GW49" s="14">
        <f t="shared" si="51"/>
        <v>36.150053436909211</v>
      </c>
      <c r="GX49" s="22">
        <f t="shared" si="28"/>
        <v>305.67774556928345</v>
      </c>
      <c r="GY49" s="62">
        <f t="shared" si="29"/>
        <v>558.02801896800906</v>
      </c>
      <c r="GZ49" s="62">
        <f ca="1">AVERAGE(OFFSET($GY$3,0,0,'Données projet'!$E$18+1,1))-AVERAGE(OFFSET($H$3,0,0,'Données projet'!$E$18+1,1))</f>
        <v>273.21861937609918</v>
      </c>
      <c r="HA49" s="62">
        <f t="shared" si="52"/>
        <v>268.83004886965318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>
        <f>EXP(-LN(2)/35)*HG48+(1-EXP(-LN(2)/35))/(LN(2)/35)*HC49*HD49*VLOOKUP('Données projet'!$B$18,Paramètres!$A$1:$I$89,3,0)*0.475*44/12</f>
        <v>0</v>
      </c>
      <c r="HH49" s="23">
        <f>EXP(-LN(2)/25)*HH48+(1-EXP(-LN(2)/25))/(LN(2)/25)*Calculateur!HC49*Calculateur!HE49*VLOOKUP('Données projet'!$B$18,Paramètres!$A$1:$I$89,3,0)*0.475*44/12</f>
        <v>0</v>
      </c>
      <c r="HI49" s="23">
        <f>EXP(-LN(2)/2)*HI48+(1-EXP(-LN(2)/2))/(LN(2)/2)*HC49*HF49*VLOOKUP('Données projet'!$B$18,Paramètres!$A$1:$I$89,3,0)*0.475*44/12</f>
        <v>0</v>
      </c>
      <c r="HJ49" s="24">
        <f t="shared" si="30"/>
        <v>0</v>
      </c>
    </row>
    <row r="50" spans="1:218" s="5" customFormat="1" x14ac:dyDescent="0.4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2.4423076923076925</v>
      </c>
      <c r="N50" s="14">
        <f>IF('Données projet'!$A$36&gt;35,N49+M50-V49,IF(A50&lt;'Données projet'!$A$36,$K$205^A50,IF(A50='Données projet'!$A$36,'Données projet'!$B$36,N49+M50-V49)))</f>
        <v>114.78846153846158</v>
      </c>
      <c r="O50" s="14">
        <f>N50*VLOOKUP('Données projet'!$B$9,Paramètres!$A$1:$I$89,3,0)*VLOOKUP('Données projet'!$B$9,Paramètres!$A$1:$I$89,5,0)</f>
        <v>103.86060000000003</v>
      </c>
      <c r="P50" s="14">
        <f t="shared" si="33"/>
        <v>27.879694835032762</v>
      </c>
      <c r="Q50" s="22">
        <f t="shared" si="53"/>
        <v>229.44768017101543</v>
      </c>
      <c r="R50" s="62">
        <f t="shared" si="0"/>
        <v>482.50891803521085</v>
      </c>
      <c r="S50" s="62">
        <f ca="1">AVERAGE(OFFSET($R$3,0,0,'Données projet'!$E$9+1,1))-AVERAGE(OFFSET($H$3,0,0,'Données projet'!$E$9+1,1))</f>
        <v>432.80275651765203</v>
      </c>
      <c r="T50" s="62">
        <f t="shared" si="34"/>
        <v>203.89279893419919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0</v>
      </c>
      <c r="AA50" s="23">
        <f>EXP(-LN(2)/25)*AA49+(1-EXP(-LN(2)/25))/(LN(2)/25)*Calculateur!V50*Calculateur!X50*VLOOKUP('Données projet'!$B$9,Paramètres!$A$1:$I$89,3,0)*0.475*44/12</f>
        <v>0</v>
      </c>
      <c r="AB50" s="23">
        <f>EXP(-LN(2)/2)*AB49+(1-EXP(-LN(2)/2))/(LN(2)/2)*V50*Y50*VLOOKUP('Données projet'!$B$9,Paramètres!$A$1:$I$89,3,0)*0.475*44/12</f>
        <v>0</v>
      </c>
      <c r="AC50" s="24">
        <f t="shared" si="3"/>
        <v>0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18.2</v>
      </c>
      <c r="AI50" s="14">
        <f>IF('Données projet'!$A$62&gt;35,AI49+AH50-AQ49,IF(A50&lt;'Données projet'!$A$62,$AF$205^A50,IF(A50='Données projet'!$A$62,'Données projet'!$B$62,AI49+AH50-AQ49)))</f>
        <v>608.40000000000043</v>
      </c>
      <c r="AJ50" s="14">
        <f>AI50*VLOOKUP('Données projet'!$B$10,Paramètres!$A$1:$I$89,3,0)*VLOOKUP('Données projet'!$B$10,Paramètres!$A$1:$I$89,5,0)</f>
        <v>268.91280000000023</v>
      </c>
      <c r="AK50" s="14">
        <f t="shared" si="35"/>
        <v>64.618483855217178</v>
      </c>
      <c r="AL50" s="22">
        <f t="shared" si="4"/>
        <v>580.90031938117022</v>
      </c>
      <c r="AM50" s="62">
        <f t="shared" si="5"/>
        <v>833.96155724536561</v>
      </c>
      <c r="AN50" s="62">
        <f ca="1">AVERAGE(OFFSET($AM$3,0,0,'Données projet'!$E$10+1,1))-AVERAGE(OFFSET($H$3,0,0,'Données projet'!$E$10+1,1))</f>
        <v>413.08876898406481</v>
      </c>
      <c r="AO50" s="62">
        <f t="shared" si="36"/>
        <v>520.31320932826566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19.817879942737804</v>
      </c>
      <c r="AV50" s="23">
        <f>EXP(-LN(2)/25)*AV49+(1-EXP(-LN(2)/25))/(LN(2)/25)*Calculateur!AQ50*Calculateur!AS50*VLOOKUP('Données projet'!$B$10,Paramètres!$A$1:$I$89,3,0)*0.475*44/12</f>
        <v>28.934584082291874</v>
      </c>
      <c r="AW50" s="23">
        <f>EXP(-LN(2)/2)*AW49+(1-EXP(-LN(2)/2))/(LN(2)/2)*AQ50*AT50*VLOOKUP('Données projet'!$B$10,Paramètres!$A$1:$I$89,3,0)*0.475*44/12</f>
        <v>2.0140597862699607</v>
      </c>
      <c r="AX50" s="23">
        <f t="shared" si="6"/>
        <v>50.766523811299642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18.2</v>
      </c>
      <c r="BD50" s="13">
        <f>IF('Données projet'!$A$88&gt;35,BD49+BC50-BL49,IF(A50&lt;'Données projet'!$A$88,$BA$205^A50,IF(A50='Données projet'!$A$88,'Données projet'!$B$88,BD49+BC50-BL49)))</f>
        <v>608.40000000000043</v>
      </c>
      <c r="BE50" s="14">
        <f>BD50*VLOOKUP('Données projet'!$B$11,Paramètres!$A$1:$I$89,3,0)*VLOOKUP('Données projet'!$B$11,Paramètres!$A$1:$I$89,5,0)</f>
        <v>340.09560000000027</v>
      </c>
      <c r="BF50" s="14">
        <f t="shared" si="37"/>
        <v>79.519697663882255</v>
      </c>
      <c r="BG50" s="22">
        <f t="shared" si="7"/>
        <v>730.82997676459536</v>
      </c>
      <c r="BH50" s="62">
        <f t="shared" si="8"/>
        <v>983.89121462879075</v>
      </c>
      <c r="BI50" s="62">
        <f ca="1">AVERAGE(OFFSET($BH$3,0,0,'Données projet'!$E$11+1,1))-AVERAGE(OFFSET($H$3,0,0,'Données projet'!$E$11+1,1))</f>
        <v>507.66185230065889</v>
      </c>
      <c r="BJ50" s="62">
        <f t="shared" si="38"/>
        <v>640.14375617778342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25.063789339344865</v>
      </c>
      <c r="BQ50" s="23">
        <f>EXP(-LN(2)/25)*BQ49+(1-EXP(-LN(2)/25))/(LN(2)/25)*Calculateur!BL50*Calculateur!BN50*VLOOKUP('Données projet'!$B$11,Paramètres!$A$1:$I$89,3,0)*0.475*44/12</f>
        <v>36.593738692310318</v>
      </c>
      <c r="BR50" s="23">
        <f>EXP(-LN(2)/2)*BR49+(1-EXP(-LN(2)/2))/(LN(2)/2)*BL50*BO50*VLOOKUP('Données projet'!$B$11,Paramètres!$A$1:$I$89,3,0)*0.475*44/12</f>
        <v>2.5471932591061273</v>
      </c>
      <c r="BS50" s="24">
        <f t="shared" si="9"/>
        <v>64.204721290761313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8.6871141969999961</v>
      </c>
      <c r="BY50" s="13">
        <f>IF('Données projet'!$A$114&gt;35,BY49+BX50-CG49,IF(A50&lt;'Données projet'!$A$114,$BV$205^A50,IF(A50='Données projet'!$A$114,'Données projet'!$B$114,BY49+BX50-CG49)))</f>
        <v>209.60609570899996</v>
      </c>
      <c r="BZ50" s="14">
        <f>BY50*VLOOKUP('Données projet'!$B$12,Paramètres!$A$1:$I$89,3,0)*VLOOKUP('Données projet'!$B$12,Paramètres!$A$1:$I$89,5,0)</f>
        <v>98.095652791811972</v>
      </c>
      <c r="CA50" s="14">
        <f t="shared" si="39"/>
        <v>26.507806654409627</v>
      </c>
      <c r="CB50" s="22">
        <f t="shared" si="10"/>
        <v>217.01769186883595</v>
      </c>
      <c r="CC50" s="62">
        <f t="shared" si="11"/>
        <v>470.07892973303137</v>
      </c>
      <c r="CD50" s="62">
        <f ca="1">AVERAGE(OFFSET($CC$3,0,0,'Données projet'!$E$12+1,1))-AVERAGE(OFFSET($H$3,0,0,'Données projet'!$E$12+1,1))</f>
        <v>289.21044803824958</v>
      </c>
      <c r="CE50" s="62">
        <f t="shared" si="40"/>
        <v>196.11836398299445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>
        <f>EXP(-LN(2)/35)*CK49+(1-EXP(-LN(2)/35))/(LN(2)/35)*CG50*CH50*VLOOKUP('Données projet'!$B$12,Paramètres!$A$1:$I$89,3,0)*0.475*44/12</f>
        <v>0</v>
      </c>
      <c r="CL50" s="23">
        <f>EXP(-LN(2)/25)*CL49+(1-EXP(-LN(2)/25))/(LN(2)/25)*Calculateur!CG50*Calculateur!CI50*VLOOKUP('Données projet'!$B$12,Paramètres!$A$1:$I$89,3,0)*0.475*44/12</f>
        <v>8.0552284477705385</v>
      </c>
      <c r="CM50" s="23">
        <f>EXP(-LN(2)/2)*CM49+(1-EXP(-LN(2)/2))/(LN(2)/2)*CG50*CJ50*VLOOKUP('Données projet'!$B$12,Paramètres!$A$1:$I$89,3,0)*0.475*44/12</f>
        <v>0</v>
      </c>
      <c r="CN50" s="24">
        <f t="shared" si="12"/>
        <v>8.0552284477705385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-5.6843418860808015E-14</v>
      </c>
      <c r="CU50" s="18">
        <f>CT50*VLOOKUP('Données projet'!$B$13,Paramètres!$A$1:$I$89,3,0)*VLOOKUP('Données projet'!$B$13,Paramètres!$A$1:$I$89,5,0)</f>
        <v>-5.1431925385259088E-14</v>
      </c>
      <c r="CV50" s="14" t="e">
        <f t="shared" si="41"/>
        <v>#NUM!</v>
      </c>
      <c r="CW50" s="22" t="e">
        <f t="shared" si="13"/>
        <v>#NUM!</v>
      </c>
      <c r="CX50" s="62" t="e">
        <f t="shared" si="14"/>
        <v>#NUM!</v>
      </c>
      <c r="CY50" s="62">
        <f ca="1">AVERAGE(OFFSET($CX$3,0,0,'Données projet'!$E$13+1,1))-AVERAGE(OFFSET($H$3,0,0,'Données projet'!$E$13+1,1))</f>
        <v>376.68007030857598</v>
      </c>
      <c r="CZ50" s="62">
        <f t="shared" si="42"/>
        <v>532.90758914457626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>
        <f>EXP(-LN(2)/35)*DF49+(1-EXP(-LN(2)/35))/(LN(2)/35)*DB50*DC50*VLOOKUP('Données projet'!$B$13,Paramètres!$A$1:$I$89,3,0)*0.475*44/12</f>
        <v>89.98576995456304</v>
      </c>
      <c r="DG50" s="23">
        <f>EXP(-LN(2)/25)*DG49+(1-EXP(-LN(2)/25))/(LN(2)/25)*Calculateur!DB50*Calculateur!DD50*VLOOKUP('Données projet'!$B$13,Paramètres!$A$1:$I$89,3,0)*0.475*44/12</f>
        <v>8.1767222307841188</v>
      </c>
      <c r="DH50" s="23">
        <f>EXP(-LN(2)/2)*DH49+(1-EXP(-LN(2)/2))/(LN(2)/2)*DB50*DE50*VLOOKUP('Données projet'!$B$13,Paramètres!$A$1:$I$89,3,0)*0.475*44/12</f>
        <v>0</v>
      </c>
      <c r="DI50" s="24">
        <f t="shared" si="15"/>
        <v>98.162492185347162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10.375</v>
      </c>
      <c r="DO50" s="13">
        <f>IF('Données projet'!$A$166&gt;35,DO49+DN50-DW49,IF(A50&lt;'Données projet'!$A$166,$DL$205^A50,IF(A50='Données projet'!$A$166,'Données projet'!$B$166,DO49+DN50-DW49)))</f>
        <v>218.12499999999991</v>
      </c>
      <c r="DP50" s="18">
        <f>DO50*VLOOKUP('Données projet'!$B$14,Paramètres!$A$1:$I$89,3,0)*VLOOKUP('Données projet'!$B$14,Paramètres!$A$1:$I$89,5,0)</f>
        <v>207.56774999999993</v>
      </c>
      <c r="DQ50" s="14">
        <f t="shared" si="43"/>
        <v>51.40371804586033</v>
      </c>
      <c r="DR50" s="22">
        <f t="shared" si="16"/>
        <v>451.04197351320659</v>
      </c>
      <c r="DS50" s="62">
        <f t="shared" si="17"/>
        <v>704.10321137740198</v>
      </c>
      <c r="DT50" s="62">
        <f ca="1">AVERAGE(OFFSET($DS$3,0,0,'Données projet'!$E$14+1,1))-AVERAGE(OFFSET($H$3,0,0,'Données projet'!$E$14+1,1))</f>
        <v>364.63161066507769</v>
      </c>
      <c r="DU50" s="62">
        <f t="shared" si="44"/>
        <v>355.44729904860708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>
        <f>EXP(-LN(2)/35)*EA49+(1-EXP(-LN(2)/35))/(LN(2)/35)*DW50*DX50*VLOOKUP('Données projet'!$B$14,Paramètres!$A$1:$I$89,3,0)*0.475*44/12</f>
        <v>0</v>
      </c>
      <c r="EB50" s="23">
        <f>EXP(-LN(2)/25)*EB49+(1-EXP(-LN(2)/25))/(LN(2)/25)*Calculateur!DW50*Calculateur!DY50*VLOOKUP('Données projet'!$B$14,Paramètres!$A$1:$I$89,3,0)*0.475*44/12</f>
        <v>0</v>
      </c>
      <c r="EC50" s="23">
        <f>EXP(-LN(2)/2)*EC49+(1-EXP(-LN(2)/2))/(LN(2)/2)*DW50*DZ50*VLOOKUP('Données projet'!$B$14,Paramètres!$A$1:$I$89,3,0)*0.475*44/12</f>
        <v>0</v>
      </c>
      <c r="ED50" s="24">
        <f t="shared" si="18"/>
        <v>0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10.375</v>
      </c>
      <c r="EJ50" s="13">
        <f>IF('Données projet'!$A$192&gt;35,EJ49+EI50-ER49,IF(A50&lt;'Données projet'!$A$192,$EG$205^A50,IF(A50='Données projet'!$A$192,'Données projet'!$B$192,EJ49+EI50-ER49)))</f>
        <v>218.12499999999991</v>
      </c>
      <c r="EK50" s="18">
        <f>EJ50*VLOOKUP('Données projet'!$B$15,Paramètres!$A$1:$I$89,3,0)*VLOOKUP('Données projet'!$B$15,Paramètres!$A$1:$I$89,5,0)</f>
        <v>159.92924999999994</v>
      </c>
      <c r="EL50" s="14">
        <f t="shared" si="45"/>
        <v>40.826557135960876</v>
      </c>
      <c r="EM50" s="22">
        <f t="shared" si="19"/>
        <v>349.64969742846506</v>
      </c>
      <c r="EN50" s="62">
        <f t="shared" si="20"/>
        <v>602.71093529266045</v>
      </c>
      <c r="EO50" s="62">
        <f ca="1">AVERAGE(OFFSET($EN$3,0,0,'Données projet'!$E$15+1,1))-AVERAGE(OFFSET($H$3,0,0,'Données projet'!$E$15+1,1))</f>
        <v>293.59366973965774</v>
      </c>
      <c r="EP50" s="62">
        <f t="shared" si="46"/>
        <v>288.13804536120426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>
        <f>EXP(-LN(2)/35)*EV49+(1-EXP(-LN(2)/35))/(LN(2)/35)*ER50*ES50*VLOOKUP('Données projet'!$B$15,Paramètres!$A$1:$I$89,3,0)*0.475*44/12</f>
        <v>0</v>
      </c>
      <c r="EW50" s="23">
        <f>EXP(-LN(2)/25)*EW49+(1-EXP(-LN(2)/25))/(LN(2)/25)*Calculateur!ER50*Calculateur!ET50*VLOOKUP('Données projet'!$B$15,Paramètres!$A$1:$I$89,3,0)*0.475*44/12</f>
        <v>0</v>
      </c>
      <c r="EX50" s="23">
        <f>EXP(-LN(2)/2)*EX49+(1-EXP(-LN(2)/2))/(LN(2)/2)*ER50*EU50*VLOOKUP('Données projet'!$B$15,Paramètres!$A$1:$I$89,3,0)*0.475*44/12</f>
        <v>0</v>
      </c>
      <c r="EY50" s="24">
        <f t="shared" si="21"/>
        <v>0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10.375</v>
      </c>
      <c r="FE50" s="13">
        <f>IF('Données projet'!$A$218&gt;35,FE49+FD50-FM49,IF(A50&lt;'Données projet'!$A$218,$FB$205^A50,IF(A50='Données projet'!$A$218,'Données projet'!$B$218,FE49+FD50-FM49)))</f>
        <v>218.12499999999991</v>
      </c>
      <c r="FF50" s="18">
        <f>FE50*VLOOKUP('Données projet'!$B$16,Paramètres!$A$1:$I$89,3,0)*VLOOKUP('Données projet'!$B$16,Paramètres!$A$1:$I$89,5,0)</f>
        <v>210.97049999999993</v>
      </c>
      <c r="FG50" s="14">
        <f t="shared" si="47"/>
        <v>52.147607421393197</v>
      </c>
      <c r="FH50" s="22">
        <f t="shared" si="22"/>
        <v>458.26403709225968</v>
      </c>
      <c r="FI50" s="62">
        <f t="shared" si="23"/>
        <v>711.32527495645513</v>
      </c>
      <c r="FJ50" s="62">
        <f ca="1">AVERAGE(OFFSET($FI$3,0,0,'Données projet'!$E$16+1,1))-AVERAGE(OFFSET($H$3,0,0,'Données projet'!$E$16+1,1))</f>
        <v>369.69145521630799</v>
      </c>
      <c r="FK50" s="62">
        <f t="shared" si="48"/>
        <v>360.24112103688719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>
        <f>EXP(-LN(2)/35)*FQ49+(1-EXP(-LN(2)/35))/(LN(2)/35)*FM50*FN50*VLOOKUP('Données projet'!$B$16,Paramètres!$A$1:$I$89,3,0)*0.475*44/12</f>
        <v>0</v>
      </c>
      <c r="FR50" s="23">
        <f>EXP(-LN(2)/25)*FR49+(1-EXP(-LN(2)/25))/(LN(2)/25)*Calculateur!FM50*Calculateur!FO50*VLOOKUP('Données projet'!$B$16,Paramètres!$A$1:$I$89,3,0)*0.475*44/12</f>
        <v>0</v>
      </c>
      <c r="FS50" s="23">
        <f>EXP(-LN(2)/2)*FS49+(1-EXP(-LN(2)/2))/(LN(2)/2)*FM50*FP50*VLOOKUP('Données projet'!$B$16,Paramètres!$A$1:$I$89,3,0)*0.475*44/12</f>
        <v>0</v>
      </c>
      <c r="FT50" s="24">
        <f t="shared" si="24"/>
        <v>0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10.375</v>
      </c>
      <c r="FZ50" s="13">
        <f>IF('Données projet'!$A$244&gt;35,FZ49+FY50-GH49,IF(A50&lt;'Données projet'!$A$244,$FW$205^A50,IF(A50='Données projet'!$A$244,'Données projet'!$B$244,FZ49+FY50-GH49)))</f>
        <v>218.12499999999991</v>
      </c>
      <c r="GA50" s="18">
        <f>FZ50*VLOOKUP('Données projet'!$B$17,Paramètres!$A$1:$I$89,3,0)*VLOOKUP('Données projet'!$B$17,Paramètres!$A$1:$I$89,5,0)</f>
        <v>234.78974999999991</v>
      </c>
      <c r="GB50" s="14">
        <f t="shared" si="49"/>
        <v>57.317091856806208</v>
      </c>
      <c r="GC50" s="22">
        <f t="shared" si="25"/>
        <v>508.75274956727066</v>
      </c>
      <c r="GD50" s="62">
        <f t="shared" si="26"/>
        <v>761.8139874314661</v>
      </c>
      <c r="GE50" s="62">
        <f ca="1">AVERAGE(OFFSET($GD$3,0,0,'Données projet'!$E$17+1,1))-AVERAGE(OFFSET($H$3,0,0,'Données projet'!$E$17+1,1))</f>
        <v>405.06394904053946</v>
      </c>
      <c r="GF50" s="62">
        <f t="shared" si="50"/>
        <v>393.75247087518198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>
        <f>EXP(-LN(2)/35)*GL49+(1-EXP(-LN(2)/35))/(LN(2)/35)*GH50*GI50*VLOOKUP('Données projet'!$B$17,Paramètres!$A$1:$I$89,3,0)*0.475*44/12</f>
        <v>0</v>
      </c>
      <c r="GM50" s="23">
        <f>EXP(-LN(2)/25)*GM49+(1-EXP(-LN(2)/25))/(LN(2)/25)*Calculateur!GH50*Calculateur!GJ50*VLOOKUP('Données projet'!$B$17,Paramètres!$A$1:$I$89,3,0)*0.475*44/12</f>
        <v>0</v>
      </c>
      <c r="GN50" s="23">
        <f>EXP(-LN(2)/2)*GN49+(1-EXP(-LN(2)/2))/(LN(2)/2)*GH50*GK50*VLOOKUP('Données projet'!$B$17,Paramètres!$A$1:$I$89,3,0)*0.475*44/12</f>
        <v>0</v>
      </c>
      <c r="GO50" s="23">
        <f t="shared" si="27"/>
        <v>0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10.375</v>
      </c>
      <c r="GU50" s="13">
        <f>IF('Données projet'!$A$270&gt;35,GU49+GT50-HC49,IF(A50&lt;'Données projet'!$A$270,$GR$205^A50,IF(A50='Données projet'!$A$270,'Données projet'!$B$270,GU49+GT50-HC49)))</f>
        <v>218.12499999999991</v>
      </c>
      <c r="GV50" s="18">
        <f>GU50*VLOOKUP('Données projet'!$B$18,Paramètres!$A$1:$I$89,3,0)*VLOOKUP('Données projet'!$B$18,Paramètres!$A$1:$I$89,5,0)</f>
        <v>146.31824999999995</v>
      </c>
      <c r="GW50" s="14">
        <f t="shared" si="51"/>
        <v>37.740688431827415</v>
      </c>
      <c r="GX50" s="22">
        <f t="shared" si="28"/>
        <v>320.56931776876598</v>
      </c>
      <c r="GY50" s="62">
        <f t="shared" si="29"/>
        <v>573.63055563296143</v>
      </c>
      <c r="GZ50" s="62">
        <f ca="1">AVERAGE(OFFSET($GY$3,0,0,'Données projet'!$E$18+1,1))-AVERAGE(OFFSET($H$3,0,0,'Données projet'!$E$18+1,1))</f>
        <v>273.21861937609918</v>
      </c>
      <c r="HA50" s="62">
        <f t="shared" si="52"/>
        <v>268.83004886965318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>
        <f>EXP(-LN(2)/35)*HG49+(1-EXP(-LN(2)/35))/(LN(2)/35)*HC50*HD50*VLOOKUP('Données projet'!$B$18,Paramètres!$A$1:$I$89,3,0)*0.475*44/12</f>
        <v>0</v>
      </c>
      <c r="HH50" s="23">
        <f>EXP(-LN(2)/25)*HH49+(1-EXP(-LN(2)/25))/(LN(2)/25)*Calculateur!HC50*Calculateur!HE50*VLOOKUP('Données projet'!$B$18,Paramètres!$A$1:$I$89,3,0)*0.475*44/12</f>
        <v>0</v>
      </c>
      <c r="HI50" s="23">
        <f>EXP(-LN(2)/2)*HI49+(1-EXP(-LN(2)/2))/(LN(2)/2)*HC50*HF50*VLOOKUP('Données projet'!$B$18,Paramètres!$A$1:$I$89,3,0)*0.475*44/12</f>
        <v>0</v>
      </c>
      <c r="HJ50" s="24">
        <f t="shared" si="30"/>
        <v>0</v>
      </c>
    </row>
    <row r="51" spans="1:218" s="5" customFormat="1" x14ac:dyDescent="0.4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2.4423076923076925</v>
      </c>
      <c r="N51" s="14">
        <f>IF('Données projet'!$A$36&gt;35,N50+M51-V50,IF(A51&lt;'Données projet'!$A$36,$K$205^A51,IF(A51='Données projet'!$A$36,'Données projet'!$B$36,N50+M51-V50)))</f>
        <v>117.23076923076927</v>
      </c>
      <c r="O51" s="14">
        <f>N51*VLOOKUP('Données projet'!$B$9,Paramètres!$A$1:$I$89,3,0)*VLOOKUP('Données projet'!$B$9,Paramètres!$A$1:$I$89,5,0)</f>
        <v>106.07040000000003</v>
      </c>
      <c r="P51" s="14">
        <f t="shared" si="33"/>
        <v>28.403189140458888</v>
      </c>
      <c r="Q51" s="22">
        <f t="shared" si="53"/>
        <v>234.20816775296598</v>
      </c>
      <c r="R51" s="62">
        <f t="shared" si="0"/>
        <v>487.9680364386337</v>
      </c>
      <c r="S51" s="62">
        <f ca="1">AVERAGE(OFFSET($R$3,0,0,'Données projet'!$E$9+1,1))-AVERAGE(OFFSET($H$3,0,0,'Données projet'!$E$9+1,1))</f>
        <v>432.80275651765203</v>
      </c>
      <c r="T51" s="62">
        <f t="shared" si="34"/>
        <v>203.89279893419919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0</v>
      </c>
      <c r="AA51" s="23">
        <f>EXP(-LN(2)/25)*AA50+(1-EXP(-LN(2)/25))/(LN(2)/25)*Calculateur!V51*Calculateur!X51*VLOOKUP('Données projet'!$B$9,Paramètres!$A$1:$I$89,3,0)*0.475*44/12</f>
        <v>0</v>
      </c>
      <c r="AB51" s="23">
        <f>EXP(-LN(2)/2)*AB50+(1-EXP(-LN(2)/2))/(LN(2)/2)*V51*Y51*VLOOKUP('Données projet'!$B$9,Paramètres!$A$1:$I$89,3,0)*0.475*44/12</f>
        <v>0</v>
      </c>
      <c r="AC51" s="24">
        <f t="shared" si="3"/>
        <v>0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18.2</v>
      </c>
      <c r="AI51" s="14">
        <f>IF('Données projet'!$A$62&gt;35,AI50+AH51-AQ50,IF(A51&lt;'Données projet'!$A$62,$AF$205^A51,IF(A51='Données projet'!$A$62,'Données projet'!$B$62,AI50+AH51-AQ50)))</f>
        <v>626.60000000000048</v>
      </c>
      <c r="AJ51" s="14">
        <f>AI51*VLOOKUP('Données projet'!$B$10,Paramètres!$A$1:$I$89,3,0)*VLOOKUP('Données projet'!$B$10,Paramètres!$A$1:$I$89,5,0)</f>
        <v>276.95720000000023</v>
      </c>
      <c r="AK51" s="14">
        <f t="shared" si="35"/>
        <v>66.323569420332106</v>
      </c>
      <c r="AL51" s="22">
        <f t="shared" si="4"/>
        <v>597.8806734070788</v>
      </c>
      <c r="AM51" s="62">
        <f t="shared" si="5"/>
        <v>851.6405420927465</v>
      </c>
      <c r="AN51" s="62">
        <f ca="1">AVERAGE(OFFSET($AM$3,0,0,'Données projet'!$E$10+1,1))-AVERAGE(OFFSET($H$3,0,0,'Données projet'!$E$10+1,1))</f>
        <v>413.08876898406481</v>
      </c>
      <c r="AO51" s="62">
        <f t="shared" si="36"/>
        <v>520.31320932826566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19.429263404773916</v>
      </c>
      <c r="AV51" s="23">
        <f>EXP(-LN(2)/25)*AV50+(1-EXP(-LN(2)/25))/(LN(2)/25)*Calculateur!AQ51*Calculateur!AS51*VLOOKUP('Données projet'!$B$10,Paramètres!$A$1:$I$89,3,0)*0.475*44/12</f>
        <v>28.143366358957955</v>
      </c>
      <c r="AW51" s="23">
        <f>EXP(-LN(2)/2)*AW50+(1-EXP(-LN(2)/2))/(LN(2)/2)*AQ51*AT51*VLOOKUP('Données projet'!$B$10,Paramètres!$A$1:$I$89,3,0)*0.475*44/12</f>
        <v>1.4241553325866179</v>
      </c>
      <c r="AX51" s="23">
        <f t="shared" si="6"/>
        <v>48.996785096318483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18.2</v>
      </c>
      <c r="BD51" s="13">
        <f>IF('Données projet'!$A$88&gt;35,BD50+BC51-BL50,IF(A51&lt;'Données projet'!$A$88,$BA$205^A51,IF(A51='Données projet'!$A$88,'Données projet'!$B$88,BD50+BC51-BL50)))</f>
        <v>626.60000000000048</v>
      </c>
      <c r="BE51" s="14">
        <f>BD51*VLOOKUP('Données projet'!$B$11,Paramètres!$A$1:$I$89,3,0)*VLOOKUP('Données projet'!$B$11,Paramètres!$A$1:$I$89,5,0)</f>
        <v>350.2694000000003</v>
      </c>
      <c r="BF51" s="14">
        <f t="shared" si="37"/>
        <v>81.617981011612727</v>
      </c>
      <c r="BG51" s="22">
        <f t="shared" si="7"/>
        <v>752.20385526189273</v>
      </c>
      <c r="BH51" s="62">
        <f t="shared" si="8"/>
        <v>1005.9637239475604</v>
      </c>
      <c r="BI51" s="62">
        <f ca="1">AVERAGE(OFFSET($BH$3,0,0,'Données projet'!$E$11+1,1))-AVERAGE(OFFSET($H$3,0,0,'Données projet'!$E$11+1,1))</f>
        <v>507.66185230065889</v>
      </c>
      <c r="BJ51" s="62">
        <f t="shared" si="38"/>
        <v>640.14375617778342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24.572303717802303</v>
      </c>
      <c r="BQ51" s="23">
        <f>EXP(-LN(2)/25)*BQ50+(1-EXP(-LN(2)/25))/(LN(2)/25)*Calculateur!BL51*Calculateur!BN51*VLOOKUP('Données projet'!$B$11,Paramètres!$A$1:$I$89,3,0)*0.475*44/12</f>
        <v>35.593080983388013</v>
      </c>
      <c r="BR51" s="23">
        <f>EXP(-LN(2)/2)*BR50+(1-EXP(-LN(2)/2))/(LN(2)/2)*BL51*BO51*VLOOKUP('Données projet'!$B$11,Paramètres!$A$1:$I$89,3,0)*0.475*44/12</f>
        <v>1.8011376265066052</v>
      </c>
      <c r="BS51" s="24">
        <f t="shared" si="9"/>
        <v>61.966522327696921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8.6871141969999961</v>
      </c>
      <c r="BY51" s="13">
        <f>IF('Données projet'!$A$114&gt;35,BY50+BX51-CG50,IF(A51&lt;'Données projet'!$A$114,$BV$205^A51,IF(A51='Données projet'!$A$114,'Données projet'!$B$114,BY50+BX51-CG50)))</f>
        <v>218.29320990599996</v>
      </c>
      <c r="BZ51" s="14">
        <f>BY51*VLOOKUP('Données projet'!$B$12,Paramètres!$A$1:$I$89,3,0)*VLOOKUP('Données projet'!$B$12,Paramètres!$A$1:$I$89,5,0)</f>
        <v>102.16122223600799</v>
      </c>
      <c r="CA51" s="14">
        <f t="shared" si="39"/>
        <v>27.476236459506548</v>
      </c>
      <c r="CB51" s="22">
        <f t="shared" si="10"/>
        <v>225.78524056135447</v>
      </c>
      <c r="CC51" s="62">
        <f t="shared" si="11"/>
        <v>479.5451092470222</v>
      </c>
      <c r="CD51" s="62">
        <f ca="1">AVERAGE(OFFSET($CC$3,0,0,'Données projet'!$E$12+1,1))-AVERAGE(OFFSET($H$3,0,0,'Données projet'!$E$12+1,1))</f>
        <v>289.21044803824958</v>
      </c>
      <c r="CE51" s="62">
        <f t="shared" si="40"/>
        <v>196.11836398299445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>
        <f>EXP(-LN(2)/35)*CK50+(1-EXP(-LN(2)/35))/(LN(2)/35)*CG51*CH51*VLOOKUP('Données projet'!$B$12,Paramètres!$A$1:$I$89,3,0)*0.475*44/12</f>
        <v>0</v>
      </c>
      <c r="CL51" s="23">
        <f>EXP(-LN(2)/25)*CL50+(1-EXP(-LN(2)/25))/(LN(2)/25)*Calculateur!CG51*Calculateur!CI51*VLOOKUP('Données projet'!$B$12,Paramètres!$A$1:$I$89,3,0)*0.475*44/12</f>
        <v>7.8349578022601998</v>
      </c>
      <c r="CM51" s="23">
        <f>EXP(-LN(2)/2)*CM50+(1-EXP(-LN(2)/2))/(LN(2)/2)*CG51*CJ51*VLOOKUP('Données projet'!$B$12,Paramètres!$A$1:$I$89,3,0)*0.475*44/12</f>
        <v>0</v>
      </c>
      <c r="CN51" s="24">
        <f t="shared" si="12"/>
        <v>7.8349578022601998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-5.6843418860808015E-14</v>
      </c>
      <c r="CU51" s="18">
        <f>CT51*VLOOKUP('Données projet'!$B$13,Paramètres!$A$1:$I$89,3,0)*VLOOKUP('Données projet'!$B$13,Paramètres!$A$1:$I$89,5,0)</f>
        <v>-5.1431925385259088E-14</v>
      </c>
      <c r="CV51" s="14" t="e">
        <f t="shared" si="41"/>
        <v>#NUM!</v>
      </c>
      <c r="CW51" s="22" t="e">
        <f t="shared" si="13"/>
        <v>#NUM!</v>
      </c>
      <c r="CX51" s="62" t="e">
        <f t="shared" si="14"/>
        <v>#NUM!</v>
      </c>
      <c r="CY51" s="62">
        <f ca="1">AVERAGE(OFFSET($CX$3,0,0,'Données projet'!$E$13+1,1))-AVERAGE(OFFSET($H$3,0,0,'Données projet'!$E$13+1,1))</f>
        <v>376.68007030857598</v>
      </c>
      <c r="CZ51" s="62">
        <f t="shared" si="42"/>
        <v>532.90758914457626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>
        <f>EXP(-LN(2)/35)*DF50+(1-EXP(-LN(2)/35))/(LN(2)/35)*DB51*DC51*VLOOKUP('Données projet'!$B$13,Paramètres!$A$1:$I$89,3,0)*0.475*44/12</f>
        <v>88.221203891654199</v>
      </c>
      <c r="DG51" s="23">
        <f>EXP(-LN(2)/25)*DG50+(1-EXP(-LN(2)/25))/(LN(2)/25)*Calculateur!DB51*Calculateur!DD51*VLOOKUP('Données projet'!$B$13,Paramètres!$A$1:$I$89,3,0)*0.475*44/12</f>
        <v>7.953129331388193</v>
      </c>
      <c r="DH51" s="23">
        <f>EXP(-LN(2)/2)*DH50+(1-EXP(-LN(2)/2))/(LN(2)/2)*DB51*DE51*VLOOKUP('Données projet'!$B$13,Paramètres!$A$1:$I$89,3,0)*0.475*44/12</f>
        <v>0</v>
      </c>
      <c r="DI51" s="24">
        <f t="shared" si="15"/>
        <v>96.174333223042396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10.375</v>
      </c>
      <c r="DO51" s="13">
        <f>IF('Données projet'!$A$166&gt;35,DO50+DN51-DW50,IF(A51&lt;'Données projet'!$A$166,$DL$205^A51,IF(A51='Données projet'!$A$166,'Données projet'!$B$166,DO50+DN51-DW50)))</f>
        <v>228.49999999999991</v>
      </c>
      <c r="DP51" s="18">
        <f>DO51*VLOOKUP('Données projet'!$B$14,Paramètres!$A$1:$I$89,3,0)*VLOOKUP('Données projet'!$B$14,Paramètres!$A$1:$I$89,5,0)</f>
        <v>217.4405999999999</v>
      </c>
      <c r="DQ51" s="14">
        <f t="shared" si="43"/>
        <v>53.558234495440026</v>
      </c>
      <c r="DR51" s="22">
        <f t="shared" si="16"/>
        <v>471.98963674622456</v>
      </c>
      <c r="DS51" s="62">
        <f t="shared" si="17"/>
        <v>725.7495054318922</v>
      </c>
      <c r="DT51" s="62">
        <f ca="1">AVERAGE(OFFSET($DS$3,0,0,'Données projet'!$E$14+1,1))-AVERAGE(OFFSET($H$3,0,0,'Données projet'!$E$14+1,1))</f>
        <v>364.63161066507769</v>
      </c>
      <c r="DU51" s="62">
        <f t="shared" si="44"/>
        <v>355.44729904860708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>
        <f>EXP(-LN(2)/35)*EA50+(1-EXP(-LN(2)/35))/(LN(2)/35)*DW51*DX51*VLOOKUP('Données projet'!$B$14,Paramètres!$A$1:$I$89,3,0)*0.475*44/12</f>
        <v>0</v>
      </c>
      <c r="EB51" s="23">
        <f>EXP(-LN(2)/25)*EB50+(1-EXP(-LN(2)/25))/(LN(2)/25)*Calculateur!DW51*Calculateur!DY51*VLOOKUP('Données projet'!$B$14,Paramètres!$A$1:$I$89,3,0)*0.475*44/12</f>
        <v>0</v>
      </c>
      <c r="EC51" s="23">
        <f>EXP(-LN(2)/2)*EC50+(1-EXP(-LN(2)/2))/(LN(2)/2)*DW51*DZ51*VLOOKUP('Données projet'!$B$14,Paramètres!$A$1:$I$89,3,0)*0.475*44/12</f>
        <v>0</v>
      </c>
      <c r="ED51" s="24">
        <f t="shared" si="18"/>
        <v>0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10.375</v>
      </c>
      <c r="EJ51" s="13">
        <f>IF('Données projet'!$A$192&gt;35,EJ50+EI51-ER50,IF(A51&lt;'Données projet'!$A$192,$EG$205^A51,IF(A51='Données projet'!$A$192,'Données projet'!$B$192,EJ50+EI51-ER50)))</f>
        <v>228.49999999999991</v>
      </c>
      <c r="EK51" s="18">
        <f>EJ51*VLOOKUP('Données projet'!$B$15,Paramètres!$A$1:$I$89,3,0)*VLOOKUP('Données projet'!$B$15,Paramètres!$A$1:$I$89,5,0)</f>
        <v>167.53619999999992</v>
      </c>
      <c r="EL51" s="14">
        <f t="shared" si="45"/>
        <v>42.537746370378805</v>
      </c>
      <c r="EM51" s="22">
        <f t="shared" si="19"/>
        <v>365.87878992840956</v>
      </c>
      <c r="EN51" s="62">
        <f t="shared" si="20"/>
        <v>619.63865861407726</v>
      </c>
      <c r="EO51" s="62">
        <f ca="1">AVERAGE(OFFSET($EN$3,0,0,'Données projet'!$E$15+1,1))-AVERAGE(OFFSET($H$3,0,0,'Données projet'!$E$15+1,1))</f>
        <v>293.59366973965774</v>
      </c>
      <c r="EP51" s="62">
        <f t="shared" si="46"/>
        <v>288.13804536120426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>
        <f>EXP(-LN(2)/35)*EV50+(1-EXP(-LN(2)/35))/(LN(2)/35)*ER51*ES51*VLOOKUP('Données projet'!$B$15,Paramètres!$A$1:$I$89,3,0)*0.475*44/12</f>
        <v>0</v>
      </c>
      <c r="EW51" s="23">
        <f>EXP(-LN(2)/25)*EW50+(1-EXP(-LN(2)/25))/(LN(2)/25)*Calculateur!ER51*Calculateur!ET51*VLOOKUP('Données projet'!$B$15,Paramètres!$A$1:$I$89,3,0)*0.475*44/12</f>
        <v>0</v>
      </c>
      <c r="EX51" s="23">
        <f>EXP(-LN(2)/2)*EX50+(1-EXP(-LN(2)/2))/(LN(2)/2)*ER51*EU51*VLOOKUP('Données projet'!$B$15,Paramètres!$A$1:$I$89,3,0)*0.475*44/12</f>
        <v>0</v>
      </c>
      <c r="EY51" s="24">
        <f t="shared" si="21"/>
        <v>0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10.375</v>
      </c>
      <c r="FE51" s="13">
        <f>IF('Données projet'!$A$218&gt;35,FE50+FD51-FM50,IF(A51&lt;'Données projet'!$A$218,$FB$205^A51,IF(A51='Données projet'!$A$218,'Données projet'!$B$218,FE50+FD51-FM50)))</f>
        <v>228.49999999999991</v>
      </c>
      <c r="FF51" s="18">
        <f>FE51*VLOOKUP('Données projet'!$B$16,Paramètres!$A$1:$I$89,3,0)*VLOOKUP('Données projet'!$B$16,Paramètres!$A$1:$I$89,5,0)</f>
        <v>221.00519999999995</v>
      </c>
      <c r="FG51" s="14">
        <f t="shared" si="47"/>
        <v>54.333302975465358</v>
      </c>
      <c r="FH51" s="22">
        <f t="shared" si="22"/>
        <v>479.5478926822687</v>
      </c>
      <c r="FI51" s="62">
        <f t="shared" si="23"/>
        <v>733.30776136793634</v>
      </c>
      <c r="FJ51" s="62">
        <f ca="1">AVERAGE(OFFSET($FI$3,0,0,'Données projet'!$E$16+1,1))-AVERAGE(OFFSET($H$3,0,0,'Données projet'!$E$16+1,1))</f>
        <v>369.69145521630799</v>
      </c>
      <c r="FK51" s="62">
        <f t="shared" si="48"/>
        <v>360.24112103688719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>
        <f>EXP(-LN(2)/35)*FQ50+(1-EXP(-LN(2)/35))/(LN(2)/35)*FM51*FN51*VLOOKUP('Données projet'!$B$16,Paramètres!$A$1:$I$89,3,0)*0.475*44/12</f>
        <v>0</v>
      </c>
      <c r="FR51" s="23">
        <f>EXP(-LN(2)/25)*FR50+(1-EXP(-LN(2)/25))/(LN(2)/25)*Calculateur!FM51*Calculateur!FO51*VLOOKUP('Données projet'!$B$16,Paramètres!$A$1:$I$89,3,0)*0.475*44/12</f>
        <v>0</v>
      </c>
      <c r="FS51" s="23">
        <f>EXP(-LN(2)/2)*FS50+(1-EXP(-LN(2)/2))/(LN(2)/2)*FM51*FP51*VLOOKUP('Données projet'!$B$16,Paramètres!$A$1:$I$89,3,0)*0.475*44/12</f>
        <v>0</v>
      </c>
      <c r="FT51" s="24">
        <f t="shared" si="24"/>
        <v>0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10.375</v>
      </c>
      <c r="FZ51" s="13">
        <f>IF('Données projet'!$A$244&gt;35,FZ50+FY51-GH50,IF(A51&lt;'Données projet'!$A$244,$FW$205^A51,IF(A51='Données projet'!$A$244,'Données projet'!$B$244,FZ50+FY51-GH50)))</f>
        <v>228.49999999999991</v>
      </c>
      <c r="GA51" s="18">
        <f>FZ51*VLOOKUP('Données projet'!$B$17,Paramètres!$A$1:$I$89,3,0)*VLOOKUP('Données projet'!$B$17,Paramètres!$A$1:$I$89,5,0)</f>
        <v>245.95739999999989</v>
      </c>
      <c r="GB51" s="14">
        <f t="shared" si="49"/>
        <v>59.719459271890578</v>
      </c>
      <c r="GC51" s="22">
        <f t="shared" si="25"/>
        <v>532.38719656520925</v>
      </c>
      <c r="GD51" s="62">
        <f t="shared" si="26"/>
        <v>786.14706525087695</v>
      </c>
      <c r="GE51" s="62">
        <f ca="1">AVERAGE(OFFSET($GD$3,0,0,'Données projet'!$E$17+1,1))-AVERAGE(OFFSET($H$3,0,0,'Données projet'!$E$17+1,1))</f>
        <v>405.06394904053946</v>
      </c>
      <c r="GF51" s="62">
        <f t="shared" si="50"/>
        <v>393.75247087518198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>
        <f>EXP(-LN(2)/35)*GL50+(1-EXP(-LN(2)/35))/(LN(2)/35)*GH51*GI51*VLOOKUP('Données projet'!$B$17,Paramètres!$A$1:$I$89,3,0)*0.475*44/12</f>
        <v>0</v>
      </c>
      <c r="GM51" s="23">
        <f>EXP(-LN(2)/25)*GM50+(1-EXP(-LN(2)/25))/(LN(2)/25)*Calculateur!GH51*Calculateur!GJ51*VLOOKUP('Données projet'!$B$17,Paramètres!$A$1:$I$89,3,0)*0.475*44/12</f>
        <v>0</v>
      </c>
      <c r="GN51" s="23">
        <f>EXP(-LN(2)/2)*GN50+(1-EXP(-LN(2)/2))/(LN(2)/2)*GH51*GK51*VLOOKUP('Données projet'!$B$17,Paramètres!$A$1:$I$89,3,0)*0.475*44/12</f>
        <v>0</v>
      </c>
      <c r="GO51" s="23">
        <f t="shared" si="27"/>
        <v>0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10.375</v>
      </c>
      <c r="GU51" s="13">
        <f>IF('Données projet'!$A$270&gt;35,GU50+GT51-HC50,IF(A51&lt;'Données projet'!$A$270,$GR$205^A51,IF(A51='Données projet'!$A$270,'Données projet'!$B$270,GU50+GT51-HC50)))</f>
        <v>228.49999999999991</v>
      </c>
      <c r="GV51" s="18">
        <f>GU51*VLOOKUP('Données projet'!$B$18,Paramètres!$A$1:$I$89,3,0)*VLOOKUP('Données projet'!$B$18,Paramètres!$A$1:$I$89,5,0)</f>
        <v>153.27779999999996</v>
      </c>
      <c r="GW51" s="14">
        <f t="shared" si="51"/>
        <v>39.32253770530393</v>
      </c>
      <c r="GX51" s="22">
        <f t="shared" si="28"/>
        <v>335.44558817007095</v>
      </c>
      <c r="GY51" s="62">
        <f t="shared" si="29"/>
        <v>589.2054568557387</v>
      </c>
      <c r="GZ51" s="62">
        <f ca="1">AVERAGE(OFFSET($GY$3,0,0,'Données projet'!$E$18+1,1))-AVERAGE(OFFSET($H$3,0,0,'Données projet'!$E$18+1,1))</f>
        <v>273.21861937609918</v>
      </c>
      <c r="HA51" s="62">
        <f t="shared" si="52"/>
        <v>268.83004886965318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>
        <f>EXP(-LN(2)/35)*HG50+(1-EXP(-LN(2)/35))/(LN(2)/35)*HC51*HD51*VLOOKUP('Données projet'!$B$18,Paramètres!$A$1:$I$89,3,0)*0.475*44/12</f>
        <v>0</v>
      </c>
      <c r="HH51" s="23">
        <f>EXP(-LN(2)/25)*HH50+(1-EXP(-LN(2)/25))/(LN(2)/25)*Calculateur!HC51*Calculateur!HE51*VLOOKUP('Données projet'!$B$18,Paramètres!$A$1:$I$89,3,0)*0.475*44/12</f>
        <v>0</v>
      </c>
      <c r="HI51" s="23">
        <f>EXP(-LN(2)/2)*HI50+(1-EXP(-LN(2)/2))/(LN(2)/2)*HC51*HF51*VLOOKUP('Données projet'!$B$18,Paramètres!$A$1:$I$89,3,0)*0.475*44/12</f>
        <v>0</v>
      </c>
      <c r="HJ51" s="24">
        <f t="shared" si="30"/>
        <v>0</v>
      </c>
    </row>
    <row r="52" spans="1:218" s="5" customFormat="1" x14ac:dyDescent="0.4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2.4423076923076925</v>
      </c>
      <c r="N52" s="14">
        <f>IF('Données projet'!$A$36&gt;35,N51+M52-V51,IF(A52&lt;'Données projet'!$A$36,$K$205^A52,IF(A52='Données projet'!$A$36,'Données projet'!$B$36,N51+M52-V51)))</f>
        <v>119.67307692307696</v>
      </c>
      <c r="O52" s="14">
        <f>N52*VLOOKUP('Données projet'!$B$9,Paramètres!$A$1:$I$89,3,0)*VLOOKUP('Données projet'!$B$9,Paramètres!$A$1:$I$89,5,0)</f>
        <v>108.28020000000002</v>
      </c>
      <c r="P52" s="14">
        <f t="shared" si="33"/>
        <v>28.925415413229778</v>
      </c>
      <c r="Q52" s="22">
        <f t="shared" si="53"/>
        <v>238.96644684470857</v>
      </c>
      <c r="R52" s="62">
        <f t="shared" si="0"/>
        <v>493.41282666900054</v>
      </c>
      <c r="S52" s="62">
        <f ca="1">AVERAGE(OFFSET($R$3,0,0,'Données projet'!$E$9+1,1))-AVERAGE(OFFSET($H$3,0,0,'Données projet'!$E$9+1,1))</f>
        <v>432.80275651765203</v>
      </c>
      <c r="T52" s="62">
        <f t="shared" si="34"/>
        <v>203.89279893419919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0</v>
      </c>
      <c r="AA52" s="23">
        <f>EXP(-LN(2)/25)*AA51+(1-EXP(-LN(2)/25))/(LN(2)/25)*Calculateur!V52*Calculateur!X52*VLOOKUP('Données projet'!$B$9,Paramètres!$A$1:$I$89,3,0)*0.475*44/12</f>
        <v>0</v>
      </c>
      <c r="AB52" s="23">
        <f>EXP(-LN(2)/2)*AB51+(1-EXP(-LN(2)/2))/(LN(2)/2)*V52*Y52*VLOOKUP('Données projet'!$B$9,Paramètres!$A$1:$I$89,3,0)*0.475*44/12</f>
        <v>0</v>
      </c>
      <c r="AC52" s="24">
        <f t="shared" si="3"/>
        <v>0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18.2</v>
      </c>
      <c r="AI52" s="14">
        <f>IF('Données projet'!$A$62&gt;35,AI51+AH52-AQ51,IF(A52&lt;'Données projet'!$A$62,$AF$205^A52,IF(A52='Données projet'!$A$62,'Données projet'!$B$62,AI51+AH52-AQ51)))</f>
        <v>644.80000000000052</v>
      </c>
      <c r="AJ52" s="14">
        <f>AI52*VLOOKUP('Données projet'!$B$10,Paramètres!$A$1:$I$89,3,0)*VLOOKUP('Données projet'!$B$10,Paramètres!$A$1:$I$89,5,0)</f>
        <v>285.00160000000028</v>
      </c>
      <c r="AK52" s="14">
        <f t="shared" si="35"/>
        <v>68.022899118652887</v>
      </c>
      <c r="AL52" s="22">
        <f t="shared" si="4"/>
        <v>614.8510026316543</v>
      </c>
      <c r="AM52" s="62">
        <f t="shared" si="5"/>
        <v>869.29738245594626</v>
      </c>
      <c r="AN52" s="62">
        <f ca="1">AVERAGE(OFFSET($AM$3,0,0,'Données projet'!$E$10+1,1))-AVERAGE(OFFSET($H$3,0,0,'Données projet'!$E$10+1,1))</f>
        <v>413.08876898406481</v>
      </c>
      <c r="AO52" s="62">
        <f t="shared" si="36"/>
        <v>520.31320932826566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19.048267400086818</v>
      </c>
      <c r="AV52" s="23">
        <f>EXP(-LN(2)/25)*AV51+(1-EXP(-LN(2)/25))/(LN(2)/25)*Calculateur!AQ52*Calculateur!AS52*VLOOKUP('Données projet'!$B$10,Paramètres!$A$1:$I$89,3,0)*0.475*44/12</f>
        <v>27.373784525876935</v>
      </c>
      <c r="AW52" s="23">
        <f>EXP(-LN(2)/2)*AW51+(1-EXP(-LN(2)/2))/(LN(2)/2)*AQ52*AT52*VLOOKUP('Données projet'!$B$10,Paramètres!$A$1:$I$89,3,0)*0.475*44/12</f>
        <v>1.0070298931349804</v>
      </c>
      <c r="AX52" s="23">
        <f t="shared" si="6"/>
        <v>47.429081819098741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18.2</v>
      </c>
      <c r="BD52" s="13">
        <f>IF('Données projet'!$A$88&gt;35,BD51+BC52-BL51,IF(A52&lt;'Données projet'!$A$88,$BA$205^A52,IF(A52='Données projet'!$A$88,'Données projet'!$B$88,BD51+BC52-BL51)))</f>
        <v>644.80000000000052</v>
      </c>
      <c r="BE52" s="14">
        <f>BD52*VLOOKUP('Données projet'!$B$11,Paramètres!$A$1:$I$89,3,0)*VLOOKUP('Données projet'!$B$11,Paramètres!$A$1:$I$89,5,0)</f>
        <v>360.44320000000033</v>
      </c>
      <c r="BF52" s="14">
        <f t="shared" si="37"/>
        <v>83.709181172614507</v>
      </c>
      <c r="BG52" s="22">
        <f t="shared" si="7"/>
        <v>773.56539720897081</v>
      </c>
      <c r="BH52" s="62">
        <f t="shared" si="8"/>
        <v>1028.0117770332627</v>
      </c>
      <c r="BI52" s="62">
        <f ca="1">AVERAGE(OFFSET($BH$3,0,0,'Données projet'!$E$11+1,1))-AVERAGE(OFFSET($H$3,0,0,'Données projet'!$E$11+1,1))</f>
        <v>507.66185230065889</v>
      </c>
      <c r="BJ52" s="62">
        <f t="shared" si="38"/>
        <v>640.14375617778342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24.090455829521563</v>
      </c>
      <c r="BQ52" s="23">
        <f>EXP(-LN(2)/25)*BQ51+(1-EXP(-LN(2)/25))/(LN(2)/25)*Calculateur!BL52*Calculateur!BN52*VLOOKUP('Données projet'!$B$11,Paramètres!$A$1:$I$89,3,0)*0.475*44/12</f>
        <v>34.619786312138487</v>
      </c>
      <c r="BR52" s="23">
        <f>EXP(-LN(2)/2)*BR51+(1-EXP(-LN(2)/2))/(LN(2)/2)*BL52*BO52*VLOOKUP('Données projet'!$B$11,Paramètres!$A$1:$I$89,3,0)*0.475*44/12</f>
        <v>1.2735966295530639</v>
      </c>
      <c r="BS52" s="24">
        <f t="shared" si="9"/>
        <v>59.983838771213108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8.6871141969999961</v>
      </c>
      <c r="BY52" s="13">
        <f>IF('Données projet'!$A$114&gt;35,BY51+BX52-CG51,IF(A52&lt;'Données projet'!$A$114,$BV$205^A52,IF(A52='Données projet'!$A$114,'Données projet'!$B$114,BY51+BX52-CG51)))</f>
        <v>226.98032410299996</v>
      </c>
      <c r="BZ52" s="14">
        <f>BY52*VLOOKUP('Données projet'!$B$12,Paramètres!$A$1:$I$89,3,0)*VLOOKUP('Données projet'!$B$12,Paramètres!$A$1:$I$89,5,0)</f>
        <v>106.22679168020399</v>
      </c>
      <c r="CA52" s="14">
        <f t="shared" si="39"/>
        <v>28.440189419861717</v>
      </c>
      <c r="CB52" s="22">
        <f t="shared" si="10"/>
        <v>234.54499208261441</v>
      </c>
      <c r="CC52" s="62">
        <f t="shared" si="11"/>
        <v>488.99137190690635</v>
      </c>
      <c r="CD52" s="62">
        <f ca="1">AVERAGE(OFFSET($CC$3,0,0,'Données projet'!$E$12+1,1))-AVERAGE(OFFSET($H$3,0,0,'Données projet'!$E$12+1,1))</f>
        <v>289.21044803824958</v>
      </c>
      <c r="CE52" s="62">
        <f t="shared" si="40"/>
        <v>196.11836398299445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>
        <f>EXP(-LN(2)/35)*CK51+(1-EXP(-LN(2)/35))/(LN(2)/35)*CG52*CH52*VLOOKUP('Données projet'!$B$12,Paramètres!$A$1:$I$89,3,0)*0.475*44/12</f>
        <v>0</v>
      </c>
      <c r="CL52" s="23">
        <f>EXP(-LN(2)/25)*CL51+(1-EXP(-LN(2)/25))/(LN(2)/25)*Calculateur!CG52*Calculateur!CI52*VLOOKUP('Données projet'!$B$12,Paramètres!$A$1:$I$89,3,0)*0.475*44/12</f>
        <v>7.6207104691348713</v>
      </c>
      <c r="CM52" s="23">
        <f>EXP(-LN(2)/2)*CM51+(1-EXP(-LN(2)/2))/(LN(2)/2)*CG52*CJ52*VLOOKUP('Données projet'!$B$12,Paramètres!$A$1:$I$89,3,0)*0.475*44/12</f>
        <v>0</v>
      </c>
      <c r="CN52" s="24">
        <f t="shared" si="12"/>
        <v>7.6207104691348713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-5.6843418860808015E-14</v>
      </c>
      <c r="CU52" s="18">
        <f>CT52*VLOOKUP('Données projet'!$B$13,Paramètres!$A$1:$I$89,3,0)*VLOOKUP('Données projet'!$B$13,Paramètres!$A$1:$I$89,5,0)</f>
        <v>-5.1431925385259088E-14</v>
      </c>
      <c r="CV52" s="14" t="e">
        <f t="shared" si="41"/>
        <v>#NUM!</v>
      </c>
      <c r="CW52" s="22" t="e">
        <f t="shared" si="13"/>
        <v>#NUM!</v>
      </c>
      <c r="CX52" s="62" t="e">
        <f t="shared" si="14"/>
        <v>#NUM!</v>
      </c>
      <c r="CY52" s="62">
        <f ca="1">AVERAGE(OFFSET($CX$3,0,0,'Données projet'!$E$13+1,1))-AVERAGE(OFFSET($H$3,0,0,'Données projet'!$E$13+1,1))</f>
        <v>376.68007030857598</v>
      </c>
      <c r="CZ52" s="62">
        <f t="shared" si="42"/>
        <v>532.90758914457626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>
        <f>EXP(-LN(2)/35)*DF51+(1-EXP(-LN(2)/35))/(LN(2)/35)*DB52*DC52*VLOOKUP('Données projet'!$B$13,Paramètres!$A$1:$I$89,3,0)*0.475*44/12</f>
        <v>86.491239892959982</v>
      </c>
      <c r="DG52" s="23">
        <f>EXP(-LN(2)/25)*DG51+(1-EXP(-LN(2)/25))/(LN(2)/25)*Calculateur!DB52*Calculateur!DD52*VLOOKUP('Données projet'!$B$13,Paramètres!$A$1:$I$89,3,0)*0.475*44/12</f>
        <v>7.7356505915844886</v>
      </c>
      <c r="DH52" s="23">
        <f>EXP(-LN(2)/2)*DH51+(1-EXP(-LN(2)/2))/(LN(2)/2)*DB52*DE52*VLOOKUP('Données projet'!$B$13,Paramètres!$A$1:$I$89,3,0)*0.475*44/12</f>
        <v>0</v>
      </c>
      <c r="DI52" s="24">
        <f t="shared" si="15"/>
        <v>94.226890484544469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10.375</v>
      </c>
      <c r="DO52" s="13">
        <f>IF('Données projet'!$A$166&gt;35,DO51+DN52-DW51,IF(A52&lt;'Données projet'!$A$166,$DL$205^A52,IF(A52='Données projet'!$A$166,'Données projet'!$B$166,DO51+DN52-DW51)))</f>
        <v>238.87499999999991</v>
      </c>
      <c r="DP52" s="18">
        <f>DO52*VLOOKUP('Données projet'!$B$14,Paramètres!$A$1:$I$89,3,0)*VLOOKUP('Données projet'!$B$14,Paramètres!$A$1:$I$89,5,0)</f>
        <v>227.31344999999993</v>
      </c>
      <c r="DQ52" s="14">
        <f t="shared" si="43"/>
        <v>55.701389981892312</v>
      </c>
      <c r="DR52" s="22">
        <f t="shared" si="16"/>
        <v>492.91751296846223</v>
      </c>
      <c r="DS52" s="62">
        <f t="shared" si="17"/>
        <v>747.3638927927542</v>
      </c>
      <c r="DT52" s="62">
        <f ca="1">AVERAGE(OFFSET($DS$3,0,0,'Données projet'!$E$14+1,1))-AVERAGE(OFFSET($H$3,0,0,'Données projet'!$E$14+1,1))</f>
        <v>364.63161066507769</v>
      </c>
      <c r="DU52" s="62">
        <f t="shared" si="44"/>
        <v>355.44729904860708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>
        <f>EXP(-LN(2)/35)*EA51+(1-EXP(-LN(2)/35))/(LN(2)/35)*DW52*DX52*VLOOKUP('Données projet'!$B$14,Paramètres!$A$1:$I$89,3,0)*0.475*44/12</f>
        <v>0</v>
      </c>
      <c r="EB52" s="23">
        <f>EXP(-LN(2)/25)*EB51+(1-EXP(-LN(2)/25))/(LN(2)/25)*Calculateur!DW52*Calculateur!DY52*VLOOKUP('Données projet'!$B$14,Paramètres!$A$1:$I$89,3,0)*0.475*44/12</f>
        <v>0</v>
      </c>
      <c r="EC52" s="23">
        <f>EXP(-LN(2)/2)*EC51+(1-EXP(-LN(2)/2))/(LN(2)/2)*DW52*DZ52*VLOOKUP('Données projet'!$B$14,Paramètres!$A$1:$I$89,3,0)*0.475*44/12</f>
        <v>0</v>
      </c>
      <c r="ED52" s="24">
        <f t="shared" si="18"/>
        <v>0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10.375</v>
      </c>
      <c r="EJ52" s="13">
        <f>IF('Données projet'!$A$192&gt;35,EJ51+EI52-ER51,IF(A52&lt;'Données projet'!$A$192,$EG$205^A52,IF(A52='Données projet'!$A$192,'Données projet'!$B$192,EJ51+EI52-ER51)))</f>
        <v>238.87499999999991</v>
      </c>
      <c r="EK52" s="18">
        <f>EJ52*VLOOKUP('Données projet'!$B$15,Paramètres!$A$1:$I$89,3,0)*VLOOKUP('Données projet'!$B$15,Paramètres!$A$1:$I$89,5,0)</f>
        <v>175.14314999999993</v>
      </c>
      <c r="EL52" s="14">
        <f t="shared" si="45"/>
        <v>44.239912346793822</v>
      </c>
      <c r="EM52" s="22">
        <f t="shared" si="19"/>
        <v>382.09216692066576</v>
      </c>
      <c r="EN52" s="62">
        <f t="shared" si="20"/>
        <v>636.53854674495778</v>
      </c>
      <c r="EO52" s="62">
        <f ca="1">AVERAGE(OFFSET($EN$3,0,0,'Données projet'!$E$15+1,1))-AVERAGE(OFFSET($H$3,0,0,'Données projet'!$E$15+1,1))</f>
        <v>293.59366973965774</v>
      </c>
      <c r="EP52" s="62">
        <f t="shared" si="46"/>
        <v>288.13804536120426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>
        <f>EXP(-LN(2)/35)*EV51+(1-EXP(-LN(2)/35))/(LN(2)/35)*ER52*ES52*VLOOKUP('Données projet'!$B$15,Paramètres!$A$1:$I$89,3,0)*0.475*44/12</f>
        <v>0</v>
      </c>
      <c r="EW52" s="23">
        <f>EXP(-LN(2)/25)*EW51+(1-EXP(-LN(2)/25))/(LN(2)/25)*Calculateur!ER52*Calculateur!ET52*VLOOKUP('Données projet'!$B$15,Paramètres!$A$1:$I$89,3,0)*0.475*44/12</f>
        <v>0</v>
      </c>
      <c r="EX52" s="23">
        <f>EXP(-LN(2)/2)*EX51+(1-EXP(-LN(2)/2))/(LN(2)/2)*ER52*EU52*VLOOKUP('Données projet'!$B$15,Paramètres!$A$1:$I$89,3,0)*0.475*44/12</f>
        <v>0</v>
      </c>
      <c r="EY52" s="24">
        <f t="shared" si="21"/>
        <v>0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10.375</v>
      </c>
      <c r="FE52" s="13">
        <f>IF('Données projet'!$A$218&gt;35,FE51+FD52-FM51,IF(A52&lt;'Données projet'!$A$218,$FB$205^A52,IF(A52='Données projet'!$A$218,'Données projet'!$B$218,FE51+FD52-FM51)))</f>
        <v>238.87499999999991</v>
      </c>
      <c r="FF52" s="18">
        <f>FE52*VLOOKUP('Données projet'!$B$16,Paramètres!$A$1:$I$89,3,0)*VLOOKUP('Données projet'!$B$16,Paramètres!$A$1:$I$89,5,0)</f>
        <v>231.0398999999999</v>
      </c>
      <c r="FG52" s="14">
        <f t="shared" si="47"/>
        <v>56.507473156128313</v>
      </c>
      <c r="FH52" s="22">
        <f t="shared" si="22"/>
        <v>500.81167491358997</v>
      </c>
      <c r="FI52" s="62">
        <f t="shared" si="23"/>
        <v>755.25805473788193</v>
      </c>
      <c r="FJ52" s="62">
        <f ca="1">AVERAGE(OFFSET($FI$3,0,0,'Données projet'!$E$16+1,1))-AVERAGE(OFFSET($H$3,0,0,'Données projet'!$E$16+1,1))</f>
        <v>369.69145521630799</v>
      </c>
      <c r="FK52" s="62">
        <f t="shared" si="48"/>
        <v>360.24112103688719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>
        <f>EXP(-LN(2)/35)*FQ51+(1-EXP(-LN(2)/35))/(LN(2)/35)*FM52*FN52*VLOOKUP('Données projet'!$B$16,Paramètres!$A$1:$I$89,3,0)*0.475*44/12</f>
        <v>0</v>
      </c>
      <c r="FR52" s="23">
        <f>EXP(-LN(2)/25)*FR51+(1-EXP(-LN(2)/25))/(LN(2)/25)*Calculateur!FM52*Calculateur!FO52*VLOOKUP('Données projet'!$B$16,Paramètres!$A$1:$I$89,3,0)*0.475*44/12</f>
        <v>0</v>
      </c>
      <c r="FS52" s="23">
        <f>EXP(-LN(2)/2)*FS51+(1-EXP(-LN(2)/2))/(LN(2)/2)*FM52*FP52*VLOOKUP('Données projet'!$B$16,Paramètres!$A$1:$I$89,3,0)*0.475*44/12</f>
        <v>0</v>
      </c>
      <c r="FT52" s="24">
        <f t="shared" si="24"/>
        <v>0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10.375</v>
      </c>
      <c r="FZ52" s="13">
        <f>IF('Données projet'!$A$244&gt;35,FZ51+FY52-GH51,IF(A52&lt;'Données projet'!$A$244,$FW$205^A52,IF(A52='Données projet'!$A$244,'Données projet'!$B$244,FZ51+FY52-GH51)))</f>
        <v>238.87499999999991</v>
      </c>
      <c r="GA52" s="18">
        <f>FZ52*VLOOKUP('Données projet'!$B$17,Paramètres!$A$1:$I$89,3,0)*VLOOKUP('Données projet'!$B$17,Paramètres!$A$1:$I$89,5,0)</f>
        <v>257.12504999999993</v>
      </c>
      <c r="GB52" s="14">
        <f t="shared" si="49"/>
        <v>62.109158782941677</v>
      </c>
      <c r="GC52" s="22">
        <f t="shared" si="25"/>
        <v>555.99958029695654</v>
      </c>
      <c r="GD52" s="62">
        <f t="shared" si="26"/>
        <v>810.4459601212485</v>
      </c>
      <c r="GE52" s="62">
        <f ca="1">AVERAGE(OFFSET($GD$3,0,0,'Données projet'!$E$17+1,1))-AVERAGE(OFFSET($H$3,0,0,'Données projet'!$E$17+1,1))</f>
        <v>405.06394904053946</v>
      </c>
      <c r="GF52" s="62">
        <f t="shared" si="50"/>
        <v>393.75247087518198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>
        <f>EXP(-LN(2)/35)*GL51+(1-EXP(-LN(2)/35))/(LN(2)/35)*GH52*GI52*VLOOKUP('Données projet'!$B$17,Paramètres!$A$1:$I$89,3,0)*0.475*44/12</f>
        <v>0</v>
      </c>
      <c r="GM52" s="23">
        <f>EXP(-LN(2)/25)*GM51+(1-EXP(-LN(2)/25))/(LN(2)/25)*Calculateur!GH52*Calculateur!GJ52*VLOOKUP('Données projet'!$B$17,Paramètres!$A$1:$I$89,3,0)*0.475*44/12</f>
        <v>0</v>
      </c>
      <c r="GN52" s="23">
        <f>EXP(-LN(2)/2)*GN51+(1-EXP(-LN(2)/2))/(LN(2)/2)*GH52*GK52*VLOOKUP('Données projet'!$B$17,Paramètres!$A$1:$I$89,3,0)*0.475*44/12</f>
        <v>0</v>
      </c>
      <c r="GO52" s="23">
        <f t="shared" si="27"/>
        <v>0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10.375</v>
      </c>
      <c r="GU52" s="13">
        <f>IF('Données projet'!$A$270&gt;35,GU51+GT52-HC51,IF(A52&lt;'Données projet'!$A$270,$GR$205^A52,IF(A52='Données projet'!$A$270,'Données projet'!$B$270,GU51+GT52-HC51)))</f>
        <v>238.87499999999991</v>
      </c>
      <c r="GV52" s="18">
        <f>GU52*VLOOKUP('Données projet'!$B$18,Paramètres!$A$1:$I$89,3,0)*VLOOKUP('Données projet'!$B$18,Paramètres!$A$1:$I$89,5,0)</f>
        <v>160.23734999999994</v>
      </c>
      <c r="GW52" s="14">
        <f t="shared" si="51"/>
        <v>40.896045742271099</v>
      </c>
      <c r="GX52" s="22">
        <f t="shared" si="28"/>
        <v>350.3073309177887</v>
      </c>
      <c r="GY52" s="62">
        <f t="shared" si="29"/>
        <v>604.75371074208067</v>
      </c>
      <c r="GZ52" s="62">
        <f ca="1">AVERAGE(OFFSET($GY$3,0,0,'Données projet'!$E$18+1,1))-AVERAGE(OFFSET($H$3,0,0,'Données projet'!$E$18+1,1))</f>
        <v>273.21861937609918</v>
      </c>
      <c r="HA52" s="62">
        <f t="shared" si="52"/>
        <v>268.83004886965318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>
        <f>EXP(-LN(2)/35)*HG51+(1-EXP(-LN(2)/35))/(LN(2)/35)*HC52*HD52*VLOOKUP('Données projet'!$B$18,Paramètres!$A$1:$I$89,3,0)*0.475*44/12</f>
        <v>0</v>
      </c>
      <c r="HH52" s="23">
        <f>EXP(-LN(2)/25)*HH51+(1-EXP(-LN(2)/25))/(LN(2)/25)*Calculateur!HC52*Calculateur!HE52*VLOOKUP('Données projet'!$B$18,Paramètres!$A$1:$I$89,3,0)*0.475*44/12</f>
        <v>0</v>
      </c>
      <c r="HI52" s="23">
        <f>EXP(-LN(2)/2)*HI51+(1-EXP(-LN(2)/2))/(LN(2)/2)*HC52*HF52*VLOOKUP('Données projet'!$B$18,Paramètres!$A$1:$I$89,3,0)*0.475*44/12</f>
        <v>0</v>
      </c>
      <c r="HJ52" s="24">
        <f t="shared" si="30"/>
        <v>0</v>
      </c>
    </row>
    <row r="53" spans="1:218" s="5" customFormat="1" x14ac:dyDescent="0.4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 t="e">
        <f>VLOOKUP(A53,'Données projet'!$A$35:$I$55,2,0)</f>
        <v>#N/A</v>
      </c>
      <c r="L53" s="13" t="e">
        <f>VLOOKUP(A53,'Données projet'!$A$35:$I$55,9,0)</f>
        <v>#N/A</v>
      </c>
      <c r="M53" s="13">
        <f t="array" ref="M53">INDEX(L:L,MIN(IF(ISNUMBER(L53:L249),ROW(L53:L249),"")))</f>
        <v>2.4423076923076925</v>
      </c>
      <c r="N53" s="14">
        <f>IF('Données projet'!$A$36&gt;35,N52+M53-V52,IF(A53&lt;'Données projet'!$A$36,$K$205^A53,IF(A53='Données projet'!$A$36,'Données projet'!$B$36,N52+M53-V52)))</f>
        <v>122.11538461538466</v>
      </c>
      <c r="O53" s="14">
        <f>N53*VLOOKUP('Données projet'!$B$9,Paramètres!$A$1:$I$89,3,0)*VLOOKUP('Données projet'!$B$9,Paramètres!$A$1:$I$89,5,0)</f>
        <v>110.49000000000004</v>
      </c>
      <c r="P53" s="14">
        <f t="shared" si="33"/>
        <v>29.446402513543834</v>
      </c>
      <c r="Q53" s="22">
        <f t="shared" si="53"/>
        <v>243.72256771108889</v>
      </c>
      <c r="R53" s="62">
        <f t="shared" si="0"/>
        <v>498.84354924055901</v>
      </c>
      <c r="S53" s="62">
        <f ca="1">AVERAGE(OFFSET($R$3,0,0,'Données projet'!$E$9+1,1))-AVERAGE(OFFSET($H$3,0,0,'Données projet'!$E$9+1,1))</f>
        <v>432.80275651765203</v>
      </c>
      <c r="T53" s="62">
        <f t="shared" si="34"/>
        <v>203.89279893419919</v>
      </c>
      <c r="U53" s="16">
        <f>IF(ISNA(VLOOKUP(A53,'Données projet'!$A$35:$I$55,3,0)),0,VLOOKUP(A53,'Données projet'!$A$35:$I$55,3,0))</f>
        <v>0</v>
      </c>
      <c r="V53" s="16">
        <f>IF(ISNA(VLOOKUP(A53,'Données projet'!$A$35:$I$55,4,0)),0,VLOOKUP(A53,'Données projet'!$A$35:$I$55,4,0))</f>
        <v>0</v>
      </c>
      <c r="W53" s="17">
        <f>IF(ISNA(VLOOKUP(A53,'Données projet'!$A$35:$I$55,5,0)),0%,VLOOKUP(A53,'Données projet'!$A$35:$I$55,5,0)*VLOOKUP('Données projet'!$B$9,Paramètres!$A$1:$I$89,7,0))</f>
        <v>0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</v>
      </c>
      <c r="Z53" s="23">
        <f>EXP(-LN(2)/35)*Z52+(1-EXP(-LN(2)/35))/(LN(2)/35)*V53*W53*VLOOKUP('Données projet'!$B$9,Paramètres!$A$1:$I$89,3,0)*0.475*44/12</f>
        <v>0</v>
      </c>
      <c r="AA53" s="23">
        <f>EXP(-LN(2)/25)*AA52+(1-EXP(-LN(2)/25))/(LN(2)/25)*Calculateur!V53*Calculateur!X53*VLOOKUP('Données projet'!$B$9,Paramètres!$A$1:$I$89,3,0)*0.475*44/12</f>
        <v>0</v>
      </c>
      <c r="AB53" s="23">
        <f>EXP(-LN(2)/2)*AB52+(1-EXP(-LN(2)/2))/(LN(2)/2)*V53*Y53*VLOOKUP('Données projet'!$B$9,Paramètres!$A$1:$I$89,3,0)*0.475*44/12</f>
        <v>0</v>
      </c>
      <c r="AC53" s="24">
        <f t="shared" si="3"/>
        <v>0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663</v>
      </c>
      <c r="AG53" s="13">
        <f>VLOOKUP(A53,'Données projet'!$A$61:$I$81,9,0)</f>
        <v>18.2</v>
      </c>
      <c r="AH53" s="13">
        <f t="array" ref="AH53">INDEX(AG:AG,MIN(IF(ISNUMBER(AG53:AG249),ROW(AG53:AG249),"")))</f>
        <v>18.2</v>
      </c>
      <c r="AI53" s="14">
        <f>IF('Données projet'!$A$62&gt;35,AI52+AH53-AQ52,IF(A53&lt;'Données projet'!$A$62,$AF$205^A53,IF(A53='Données projet'!$A$62,'Données projet'!$B$62,AI52+AH53-AQ52)))</f>
        <v>663.00000000000057</v>
      </c>
      <c r="AJ53" s="14">
        <f>AI53*VLOOKUP('Données projet'!$B$10,Paramètres!$A$1:$I$89,3,0)*VLOOKUP('Données projet'!$B$10,Paramètres!$A$1:$I$89,5,0)</f>
        <v>293.04600000000028</v>
      </c>
      <c r="AK53" s="14">
        <f t="shared" si="35"/>
        <v>69.716654076072672</v>
      </c>
      <c r="AL53" s="22">
        <f t="shared" si="4"/>
        <v>631.81162251582703</v>
      </c>
      <c r="AM53" s="62">
        <f t="shared" si="5"/>
        <v>886.93260404529713</v>
      </c>
      <c r="AN53" s="62">
        <f ca="1">AVERAGE(OFFSET($AM$3,0,0,'Données projet'!$E$10+1,1))-AVERAGE(OFFSET($H$3,0,0,'Données projet'!$E$10+1,1))</f>
        <v>413.08876898406481</v>
      </c>
      <c r="AO53" s="62">
        <f t="shared" si="36"/>
        <v>520.31320932826566</v>
      </c>
      <c r="AP53" s="16">
        <f>IF(ISNA(VLOOKUP(A53,'Données projet'!$A$61:$I$81,3,0)),0,VLOOKUP(A53,'Données projet'!$A$61:$I$81,3,0))</f>
        <v>6</v>
      </c>
      <c r="AQ53" s="16">
        <f>IF(ISNA(VLOOKUP(A53,'Données projet'!$A$61:$I$81,4,0)),0,VLOOKUP(A53,'Données projet'!$A$61:$I$81,4,0))</f>
        <v>73</v>
      </c>
      <c r="AR53" s="17">
        <f>IF(ISNA(VLOOKUP(A53,'Données projet'!$A$61:$I$81,5,0)),0%,VLOOKUP(A53,'Données projet'!$A$61:$I$81,5,0)*VLOOKUP('Données projet'!$B$10,Paramètres!$A$1:$I$89,7,0))</f>
        <v>0.27500000000000002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</v>
      </c>
      <c r="AU53" s="23">
        <f>EXP(-LN(2)/35)*AU52+(1-EXP(-LN(2)/35))/(LN(2)/35)*AQ53*AR53*VLOOKUP('Données projet'!$B$10,Paramètres!$A$1:$I$89,3,0)*0.475*44/12</f>
        <v>30.445547892450378</v>
      </c>
      <c r="AV53" s="23">
        <f>EXP(-LN(2)/25)*AV52+(1-EXP(-LN(2)/25))/(LN(2)/25)*Calculateur!AQ53*Calculateur!AS53*VLOOKUP('Données projet'!$B$10,Paramètres!$A$1:$I$89,3,0)*0.475*44/12</f>
        <v>26.625246948492066</v>
      </c>
      <c r="AW53" s="23">
        <f>EXP(-LN(2)/2)*AW52+(1-EXP(-LN(2)/2))/(LN(2)/2)*AQ53*AT53*VLOOKUP('Données projet'!$B$10,Paramètres!$A$1:$I$89,3,0)*0.475*44/12</f>
        <v>0.71207766629330893</v>
      </c>
      <c r="AX53" s="23">
        <f t="shared" si="6"/>
        <v>57.782872507235751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663</v>
      </c>
      <c r="BB53" s="13">
        <f>VLOOKUP(A53,'Données projet'!$A$87:$I$107,9,0)</f>
        <v>18.2</v>
      </c>
      <c r="BC53" s="13">
        <f t="array" ref="BC53">INDEX(BB:BB,MIN(IF(ISNUMBER(BB53:BB249),ROW(BB53:BB249),"")))</f>
        <v>18.2</v>
      </c>
      <c r="BD53" s="13">
        <f>IF('Données projet'!$A$88&gt;35,BD52+BC53-BL52,IF(A53&lt;'Données projet'!$A$88,$BA$205^A53,IF(A53='Données projet'!$A$88,'Données projet'!$B$88,BD52+BC53-BL52)))</f>
        <v>663.00000000000057</v>
      </c>
      <c r="BE53" s="14">
        <f>BD53*VLOOKUP('Données projet'!$B$11,Paramètres!$A$1:$I$89,3,0)*VLOOKUP('Données projet'!$B$11,Paramètres!$A$1:$I$89,5,0)</f>
        <v>370.61700000000036</v>
      </c>
      <c r="BF53" s="14">
        <f t="shared" si="37"/>
        <v>85.793521040948534</v>
      </c>
      <c r="BG53" s="22">
        <f t="shared" si="7"/>
        <v>794.91499081298605</v>
      </c>
      <c r="BH53" s="62">
        <f t="shared" si="8"/>
        <v>1050.0359723424563</v>
      </c>
      <c r="BI53" s="62">
        <f ca="1">AVERAGE(OFFSET($BH$3,0,0,'Données projet'!$E$11+1,1))-AVERAGE(OFFSET($H$3,0,0,'Données projet'!$E$11+1,1))</f>
        <v>507.66185230065889</v>
      </c>
      <c r="BJ53" s="62">
        <f t="shared" si="38"/>
        <v>640.14375617778342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73</v>
      </c>
      <c r="BM53" s="17">
        <f>IF(ISNA(VLOOKUP(A53,'Données projet'!$A$87:$I$107,5,0)),0%,VLOOKUP(A53,'Données projet'!$A$87:$I$107,5,0)*VLOOKUP('Données projet'!$B$11,Paramètres!$A$1:$I$89,7,0))</f>
        <v>0.27500000000000002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38.504663511040178</v>
      </c>
      <c r="BQ53" s="23">
        <f>EXP(-LN(2)/25)*BQ52+(1-EXP(-LN(2)/25))/(LN(2)/25)*Calculateur!BL53*Calculateur!BN53*VLOOKUP('Données projet'!$B$11,Paramètres!$A$1:$I$89,3,0)*0.475*44/12</f>
        <v>33.673106434857623</v>
      </c>
      <c r="BR53" s="23">
        <f>EXP(-LN(2)/2)*BR52+(1-EXP(-LN(2)/2))/(LN(2)/2)*BL53*BO53*VLOOKUP('Données projet'!$B$11,Paramètres!$A$1:$I$89,3,0)*0.475*44/12</f>
        <v>0.90056881325330285</v>
      </c>
      <c r="BS53" s="24">
        <f t="shared" si="9"/>
        <v>73.078338759151109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>
        <f>VLOOKUP(A53,'Données projet'!$A$113:$I$133,2,0)</f>
        <v>235.66743829999999</v>
      </c>
      <c r="BW53" s="13">
        <f>VLOOKUP(A53,'Données projet'!$A$113:$I$133,9,0)</f>
        <v>8.6871141969999961</v>
      </c>
      <c r="BX53" s="13">
        <f t="array" ref="BX53">INDEX(BW:BW,MIN(IF(ISNUMBER(BW53:BW249),ROW(BW53:BW249),"")))</f>
        <v>8.6871141969999961</v>
      </c>
      <c r="BY53" s="13">
        <f>IF('Données projet'!$A$114&gt;35,BY52+BX53-CG52,IF(A53&lt;'Données projet'!$A$114,$BV$205^A53,IF(A53='Données projet'!$A$114,'Données projet'!$B$114,BY52+BX53-CG52)))</f>
        <v>235.66743829999996</v>
      </c>
      <c r="BZ53" s="14">
        <f>BY53*VLOOKUP('Données projet'!$B$12,Paramètres!$A$1:$I$89,3,0)*VLOOKUP('Données projet'!$B$12,Paramètres!$A$1:$I$89,5,0)</f>
        <v>110.29236112439997</v>
      </c>
      <c r="CA53" s="14">
        <f t="shared" si="39"/>
        <v>29.399856489182845</v>
      </c>
      <c r="CB53" s="22">
        <f t="shared" si="10"/>
        <v>243.29727901032336</v>
      </c>
      <c r="CC53" s="62">
        <f t="shared" si="11"/>
        <v>498.41826053979344</v>
      </c>
      <c r="CD53" s="62">
        <f ca="1">AVERAGE(OFFSET($CC$3,0,0,'Données projet'!$E$12+1,1))-AVERAGE(OFFSET($H$3,0,0,'Données projet'!$E$12+1,1))</f>
        <v>289.21044803824958</v>
      </c>
      <c r="CE53" s="62">
        <f t="shared" si="40"/>
        <v>196.11836398299445</v>
      </c>
      <c r="CF53" s="16">
        <f>IF(ISNA(VLOOKUP(A53,'Données projet'!$A$113:$I$133,3,0)),0,VLOOKUP(A53,'Données projet'!$A$113:$I$133,3,0))</f>
        <v>4</v>
      </c>
      <c r="CG53" s="16">
        <f>IF(ISNA(VLOOKUP(A53,'Données projet'!$A$113:$I$133,4,0)),0,VLOOKUP(A53,'Données projet'!$A$113:$I$133,4,0))</f>
        <v>47.133487649999999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0.27500000000000002</v>
      </c>
      <c r="CJ53" s="17">
        <f>IF(ISNA(VLOOKUP(A53,'Données projet'!$A$113:$I$133,7,0)),0%,VLOOKUP(A53,'Données projet'!$A$113:$I$133,7,0))</f>
        <v>0</v>
      </c>
      <c r="CK53" s="23">
        <f>EXP(-LN(2)/35)*CK52+(1-EXP(-LN(2)/35))/(LN(2)/35)*CG53*CH53*VLOOKUP('Données projet'!$B$12,Paramètres!$A$1:$I$89,3,0)*0.475*44/12</f>
        <v>0</v>
      </c>
      <c r="CL53" s="23">
        <f>EXP(-LN(2)/25)*CL52+(1-EXP(-LN(2)/25))/(LN(2)/25)*Calculateur!CG53*Calculateur!CI53*VLOOKUP('Données projet'!$B$12,Paramètres!$A$1:$I$89,3,0)*0.475*44/12</f>
        <v>15.427683381491567</v>
      </c>
      <c r="CM53" s="23">
        <f>EXP(-LN(2)/2)*CM52+(1-EXP(-LN(2)/2))/(LN(2)/2)*CG53*CJ53*VLOOKUP('Données projet'!$B$12,Paramètres!$A$1:$I$89,3,0)*0.475*44/12</f>
        <v>0</v>
      </c>
      <c r="CN53" s="24">
        <f t="shared" si="12"/>
        <v>15.427683381491567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-5.6843418860808015E-14</v>
      </c>
      <c r="CU53" s="18">
        <f>CT53*VLOOKUP('Données projet'!$B$13,Paramètres!$A$1:$I$89,3,0)*VLOOKUP('Données projet'!$B$13,Paramètres!$A$1:$I$89,5,0)</f>
        <v>-5.1431925385259088E-14</v>
      </c>
      <c r="CV53" s="14" t="e">
        <f t="shared" si="41"/>
        <v>#NUM!</v>
      </c>
      <c r="CW53" s="22" t="e">
        <f t="shared" si="13"/>
        <v>#NUM!</v>
      </c>
      <c r="CX53" s="62" t="e">
        <f t="shared" si="14"/>
        <v>#NUM!</v>
      </c>
      <c r="CY53" s="62">
        <f ca="1">AVERAGE(OFFSET($CX$3,0,0,'Données projet'!$E$13+1,1))-AVERAGE(OFFSET($H$3,0,0,'Données projet'!$E$13+1,1))</f>
        <v>376.68007030857598</v>
      </c>
      <c r="CZ53" s="62">
        <f t="shared" si="42"/>
        <v>532.90758914457626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>
        <f>EXP(-LN(2)/35)*DF52+(1-EXP(-LN(2)/35))/(LN(2)/35)*DB53*DC53*VLOOKUP('Données projet'!$B$13,Paramètres!$A$1:$I$89,3,0)*0.475*44/12</f>
        <v>84.795199433106305</v>
      </c>
      <c r="DG53" s="23">
        <f>EXP(-LN(2)/25)*DG52+(1-EXP(-LN(2)/25))/(LN(2)/25)*Calculateur!DB53*Calculateur!DD53*VLOOKUP('Données projet'!$B$13,Paramètres!$A$1:$I$89,3,0)*0.475*44/12</f>
        <v>7.524118819357426</v>
      </c>
      <c r="DH53" s="23">
        <f>EXP(-LN(2)/2)*DH52+(1-EXP(-LN(2)/2))/(LN(2)/2)*DB53*DE53*VLOOKUP('Données projet'!$B$13,Paramètres!$A$1:$I$89,3,0)*0.475*44/12</f>
        <v>0</v>
      </c>
      <c r="DI53" s="24">
        <f t="shared" si="15"/>
        <v>92.319318252463731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10.375</v>
      </c>
      <c r="DO53" s="13">
        <f>IF('Données projet'!$A$166&gt;35,DO52+DN53-DW52,IF(A53&lt;'Données projet'!$A$166,$DL$205^A53,IF(A53='Données projet'!$A$166,'Données projet'!$B$166,DO52+DN53-DW52)))</f>
        <v>249.24999999999991</v>
      </c>
      <c r="DP53" s="18">
        <f>DO53*VLOOKUP('Données projet'!$B$14,Paramètres!$A$1:$I$89,3,0)*VLOOKUP('Données projet'!$B$14,Paramètres!$A$1:$I$89,5,0)</f>
        <v>237.1862999999999</v>
      </c>
      <c r="DQ53" s="14">
        <f t="shared" si="43"/>
        <v>57.833734342093592</v>
      </c>
      <c r="DR53" s="22">
        <f t="shared" si="16"/>
        <v>513.82655981247945</v>
      </c>
      <c r="DS53" s="62">
        <f t="shared" si="17"/>
        <v>768.94754134194955</v>
      </c>
      <c r="DT53" s="62">
        <f ca="1">AVERAGE(OFFSET($DS$3,0,0,'Données projet'!$E$14+1,1))-AVERAGE(OFFSET($H$3,0,0,'Données projet'!$E$14+1,1))</f>
        <v>364.63161066507769</v>
      </c>
      <c r="DU53" s="62">
        <f t="shared" si="44"/>
        <v>355.44729904860708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>
        <f>EXP(-LN(2)/35)*EA52+(1-EXP(-LN(2)/35))/(LN(2)/35)*DW53*DX53*VLOOKUP('Données projet'!$B$14,Paramètres!$A$1:$I$89,3,0)*0.475*44/12</f>
        <v>0</v>
      </c>
      <c r="EB53" s="23">
        <f>EXP(-LN(2)/25)*EB52+(1-EXP(-LN(2)/25))/(LN(2)/25)*Calculateur!DW53*Calculateur!DY53*VLOOKUP('Données projet'!$B$14,Paramètres!$A$1:$I$89,3,0)*0.475*44/12</f>
        <v>0</v>
      </c>
      <c r="EC53" s="23">
        <f>EXP(-LN(2)/2)*EC52+(1-EXP(-LN(2)/2))/(LN(2)/2)*DW53*DZ53*VLOOKUP('Données projet'!$B$14,Paramètres!$A$1:$I$89,3,0)*0.475*44/12</f>
        <v>0</v>
      </c>
      <c r="ED53" s="24">
        <f t="shared" si="18"/>
        <v>0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10.375</v>
      </c>
      <c r="EJ53" s="13">
        <f>IF('Données projet'!$A$192&gt;35,EJ52+EI53-ER52,IF(A53&lt;'Données projet'!$A$192,$EG$205^A53,IF(A53='Données projet'!$A$192,'Données projet'!$B$192,EJ52+EI53-ER52)))</f>
        <v>249.24999999999991</v>
      </c>
      <c r="EK53" s="18">
        <f>EJ53*VLOOKUP('Données projet'!$B$15,Paramètres!$A$1:$I$89,3,0)*VLOOKUP('Données projet'!$B$15,Paramètres!$A$1:$I$89,5,0)</f>
        <v>182.75009999999992</v>
      </c>
      <c r="EL53" s="14">
        <f t="shared" si="45"/>
        <v>45.933491764096544</v>
      </c>
      <c r="EM53" s="22">
        <f t="shared" si="19"/>
        <v>398.29058898913462</v>
      </c>
      <c r="EN53" s="62">
        <f t="shared" si="20"/>
        <v>653.41157051860478</v>
      </c>
      <c r="EO53" s="62">
        <f ca="1">AVERAGE(OFFSET($EN$3,0,0,'Données projet'!$E$15+1,1))-AVERAGE(OFFSET($H$3,0,0,'Données projet'!$E$15+1,1))</f>
        <v>293.59366973965774</v>
      </c>
      <c r="EP53" s="62">
        <f t="shared" si="46"/>
        <v>288.13804536120426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>
        <f>EXP(-LN(2)/35)*EV52+(1-EXP(-LN(2)/35))/(LN(2)/35)*ER53*ES53*VLOOKUP('Données projet'!$B$15,Paramètres!$A$1:$I$89,3,0)*0.475*44/12</f>
        <v>0</v>
      </c>
      <c r="EW53" s="23">
        <f>EXP(-LN(2)/25)*EW52+(1-EXP(-LN(2)/25))/(LN(2)/25)*Calculateur!ER53*Calculateur!ET53*VLOOKUP('Données projet'!$B$15,Paramètres!$A$1:$I$89,3,0)*0.475*44/12</f>
        <v>0</v>
      </c>
      <c r="EX53" s="23">
        <f>EXP(-LN(2)/2)*EX52+(1-EXP(-LN(2)/2))/(LN(2)/2)*ER53*EU53*VLOOKUP('Données projet'!$B$15,Paramètres!$A$1:$I$89,3,0)*0.475*44/12</f>
        <v>0</v>
      </c>
      <c r="EY53" s="24">
        <f t="shared" si="21"/>
        <v>0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10.375</v>
      </c>
      <c r="FE53" s="13">
        <f>IF('Données projet'!$A$218&gt;35,FE52+FD53-FM52,IF(A53&lt;'Données projet'!$A$218,$FB$205^A53,IF(A53='Données projet'!$A$218,'Données projet'!$B$218,FE52+FD53-FM52)))</f>
        <v>249.24999999999991</v>
      </c>
      <c r="FF53" s="18">
        <f>FE53*VLOOKUP('Données projet'!$B$16,Paramètres!$A$1:$I$89,3,0)*VLOOKUP('Données projet'!$B$16,Paramètres!$A$1:$I$89,5,0)</f>
        <v>241.07459999999992</v>
      </c>
      <c r="FG53" s="14">
        <f t="shared" si="47"/>
        <v>58.670675757228018</v>
      </c>
      <c r="FH53" s="22">
        <f t="shared" si="22"/>
        <v>522.05635527717197</v>
      </c>
      <c r="FI53" s="62">
        <f t="shared" si="23"/>
        <v>777.17733680664207</v>
      </c>
      <c r="FJ53" s="62">
        <f ca="1">AVERAGE(OFFSET($FI$3,0,0,'Données projet'!$E$16+1,1))-AVERAGE(OFFSET($H$3,0,0,'Données projet'!$E$16+1,1))</f>
        <v>369.69145521630799</v>
      </c>
      <c r="FK53" s="62">
        <f t="shared" si="48"/>
        <v>360.24112103688719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>
        <f>EXP(-LN(2)/35)*FQ52+(1-EXP(-LN(2)/35))/(LN(2)/35)*FM53*FN53*VLOOKUP('Données projet'!$B$16,Paramètres!$A$1:$I$89,3,0)*0.475*44/12</f>
        <v>0</v>
      </c>
      <c r="FR53" s="23">
        <f>EXP(-LN(2)/25)*FR52+(1-EXP(-LN(2)/25))/(LN(2)/25)*Calculateur!FM53*Calculateur!FO53*VLOOKUP('Données projet'!$B$16,Paramètres!$A$1:$I$89,3,0)*0.475*44/12</f>
        <v>0</v>
      </c>
      <c r="FS53" s="23">
        <f>EXP(-LN(2)/2)*FS52+(1-EXP(-LN(2)/2))/(LN(2)/2)*FM53*FP53*VLOOKUP('Données projet'!$B$16,Paramètres!$A$1:$I$89,3,0)*0.475*44/12</f>
        <v>0</v>
      </c>
      <c r="FT53" s="24">
        <f t="shared" si="24"/>
        <v>0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10.375</v>
      </c>
      <c r="FZ53" s="13">
        <f>IF('Données projet'!$A$244&gt;35,FZ52+FY53-GH52,IF(A53&lt;'Données projet'!$A$244,$FW$205^A53,IF(A53='Données projet'!$A$244,'Données projet'!$B$244,FZ52+FY53-GH52)))</f>
        <v>249.24999999999991</v>
      </c>
      <c r="GA53" s="18">
        <f>FZ53*VLOOKUP('Données projet'!$B$17,Paramètres!$A$1:$I$89,3,0)*VLOOKUP('Données projet'!$B$17,Paramètres!$A$1:$I$89,5,0)</f>
        <v>268.29269999999991</v>
      </c>
      <c r="GB53" s="14">
        <f t="shared" si="49"/>
        <v>64.486803478894657</v>
      </c>
      <c r="GC53" s="22">
        <f t="shared" si="25"/>
        <v>579.59096855907467</v>
      </c>
      <c r="GD53" s="62">
        <f t="shared" si="26"/>
        <v>834.71195008854477</v>
      </c>
      <c r="GE53" s="62">
        <f ca="1">AVERAGE(OFFSET($GD$3,0,0,'Données projet'!$E$17+1,1))-AVERAGE(OFFSET($H$3,0,0,'Données projet'!$E$17+1,1))</f>
        <v>405.06394904053946</v>
      </c>
      <c r="GF53" s="62">
        <f t="shared" si="50"/>
        <v>393.75247087518198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>
        <f>EXP(-LN(2)/35)*GL52+(1-EXP(-LN(2)/35))/(LN(2)/35)*GH53*GI53*VLOOKUP('Données projet'!$B$17,Paramètres!$A$1:$I$89,3,0)*0.475*44/12</f>
        <v>0</v>
      </c>
      <c r="GM53" s="23">
        <f>EXP(-LN(2)/25)*GM52+(1-EXP(-LN(2)/25))/(LN(2)/25)*Calculateur!GH53*Calculateur!GJ53*VLOOKUP('Données projet'!$B$17,Paramètres!$A$1:$I$89,3,0)*0.475*44/12</f>
        <v>0</v>
      </c>
      <c r="GN53" s="23">
        <f>EXP(-LN(2)/2)*GN52+(1-EXP(-LN(2)/2))/(LN(2)/2)*GH53*GK53*VLOOKUP('Données projet'!$B$17,Paramètres!$A$1:$I$89,3,0)*0.475*44/12</f>
        <v>0</v>
      </c>
      <c r="GO53" s="23">
        <f t="shared" si="27"/>
        <v>0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10.375</v>
      </c>
      <c r="GU53" s="13">
        <f>IF('Données projet'!$A$270&gt;35,GU52+GT53-HC52,IF(A53&lt;'Données projet'!$A$270,$GR$205^A53,IF(A53='Données projet'!$A$270,'Données projet'!$B$270,GU52+GT53-HC52)))</f>
        <v>249.24999999999991</v>
      </c>
      <c r="GV53" s="18">
        <f>GU53*VLOOKUP('Données projet'!$B$18,Paramètres!$A$1:$I$89,3,0)*VLOOKUP('Données projet'!$B$18,Paramètres!$A$1:$I$89,5,0)</f>
        <v>167.19689999999994</v>
      </c>
      <c r="GW53" s="14">
        <f t="shared" si="51"/>
        <v>42.461616233804868</v>
      </c>
      <c r="GX53" s="22">
        <f t="shared" si="28"/>
        <v>365.15524910721001</v>
      </c>
      <c r="GY53" s="62">
        <f t="shared" si="29"/>
        <v>620.27623063668011</v>
      </c>
      <c r="GZ53" s="62">
        <f ca="1">AVERAGE(OFFSET($GY$3,0,0,'Données projet'!$E$18+1,1))-AVERAGE(OFFSET($H$3,0,0,'Données projet'!$E$18+1,1))</f>
        <v>273.21861937609918</v>
      </c>
      <c r="HA53" s="62">
        <f t="shared" si="52"/>
        <v>268.83004886965318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>
        <f>EXP(-LN(2)/35)*HG52+(1-EXP(-LN(2)/35))/(LN(2)/35)*HC53*HD53*VLOOKUP('Données projet'!$B$18,Paramètres!$A$1:$I$89,3,0)*0.475*44/12</f>
        <v>0</v>
      </c>
      <c r="HH53" s="23">
        <f>EXP(-LN(2)/25)*HH52+(1-EXP(-LN(2)/25))/(LN(2)/25)*Calculateur!HC53*Calculateur!HE53*VLOOKUP('Données projet'!$B$18,Paramètres!$A$1:$I$89,3,0)*0.475*44/12</f>
        <v>0</v>
      </c>
      <c r="HI53" s="23">
        <f>EXP(-LN(2)/2)*HI52+(1-EXP(-LN(2)/2))/(LN(2)/2)*HC53*HF53*VLOOKUP('Données projet'!$B$18,Paramètres!$A$1:$I$89,3,0)*0.475*44/12</f>
        <v>0</v>
      </c>
      <c r="HJ53" s="24">
        <f t="shared" si="30"/>
        <v>0</v>
      </c>
    </row>
    <row r="54" spans="1:218" s="5" customFormat="1" x14ac:dyDescent="0.4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2.4423076923076925</v>
      </c>
      <c r="N54" s="14">
        <f>IF('Données projet'!$A$36&gt;35,N53+M54-V53,IF(A54&lt;'Données projet'!$A$36,$K$205^A54,IF(A54='Données projet'!$A$36,'Données projet'!$B$36,N53+M54-V53)))</f>
        <v>124.55769230769235</v>
      </c>
      <c r="O54" s="14">
        <f>N54*VLOOKUP('Données projet'!$B$9,Paramètres!$A$1:$I$89,3,0)*VLOOKUP('Données projet'!$B$9,Paramètres!$A$1:$I$89,5,0)</f>
        <v>112.69980000000004</v>
      </c>
      <c r="P54" s="14">
        <f t="shared" si="33"/>
        <v>29.96617808118171</v>
      </c>
      <c r="Q54" s="22">
        <f t="shared" si="53"/>
        <v>248.47657849139151</v>
      </c>
      <c r="R54" s="62">
        <f t="shared" si="0"/>
        <v>504.2604588946383</v>
      </c>
      <c r="S54" s="62">
        <f ca="1">AVERAGE(OFFSET($R$3,0,0,'Données projet'!$E$9+1,1))-AVERAGE(OFFSET($H$3,0,0,'Données projet'!$E$9+1,1))</f>
        <v>432.80275651765203</v>
      </c>
      <c r="T54" s="62">
        <f t="shared" si="34"/>
        <v>203.89279893419919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0</v>
      </c>
      <c r="AA54" s="23">
        <f>EXP(-LN(2)/25)*AA53+(1-EXP(-LN(2)/25))/(LN(2)/25)*Calculateur!V54*Calculateur!X54*VLOOKUP('Données projet'!$B$9,Paramètres!$A$1:$I$89,3,0)*0.475*44/12</f>
        <v>0</v>
      </c>
      <c r="AB54" s="23">
        <f>EXP(-LN(2)/2)*AB53+(1-EXP(-LN(2)/2))/(LN(2)/2)*V54*Y54*VLOOKUP('Données projet'!$B$9,Paramètres!$A$1:$I$89,3,0)*0.475*44/12</f>
        <v>0</v>
      </c>
      <c r="AC54" s="24">
        <f t="shared" si="3"/>
        <v>0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17.2</v>
      </c>
      <c r="AI54" s="14">
        <f>IF('Données projet'!$A$62&gt;35,AI53+AH54-AQ53,IF(A54&lt;'Données projet'!$A$62,$AF$205^A54,IF(A54='Données projet'!$A$62,'Données projet'!$B$62,AI53+AH54-AQ53)))</f>
        <v>607.20000000000061</v>
      </c>
      <c r="AJ54" s="14">
        <f>AI54*VLOOKUP('Données projet'!$B$10,Paramètres!$A$1:$I$89,3,0)*VLOOKUP('Données projet'!$B$10,Paramètres!$A$1:$I$89,5,0)</f>
        <v>268.3824000000003</v>
      </c>
      <c r="AK54" s="14">
        <f t="shared" si="35"/>
        <v>64.505853773426026</v>
      </c>
      <c r="AL54" s="22">
        <f t="shared" si="4"/>
        <v>579.78037532205087</v>
      </c>
      <c r="AM54" s="62">
        <f t="shared" si="5"/>
        <v>835.5642557252977</v>
      </c>
      <c r="AN54" s="62">
        <f ca="1">AVERAGE(OFFSET($AM$3,0,0,'Données projet'!$E$10+1,1))-AVERAGE(OFFSET($H$3,0,0,'Données projet'!$E$10+1,1))</f>
        <v>413.08876898406481</v>
      </c>
      <c r="AO54" s="62">
        <f t="shared" si="36"/>
        <v>520.31320932826566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29.84852926823001</v>
      </c>
      <c r="AV54" s="23">
        <f>EXP(-LN(2)/25)*AV53+(1-EXP(-LN(2)/25))/(LN(2)/25)*Calculateur!AQ54*Calculateur!AS54*VLOOKUP('Données projet'!$B$10,Paramètres!$A$1:$I$89,3,0)*0.475*44/12</f>
        <v>25.897178170524665</v>
      </c>
      <c r="AW54" s="23">
        <f>EXP(-LN(2)/2)*AW53+(1-EXP(-LN(2)/2))/(LN(2)/2)*AQ54*AT54*VLOOKUP('Données projet'!$B$10,Paramètres!$A$1:$I$89,3,0)*0.475*44/12</f>
        <v>0.50351494656749018</v>
      </c>
      <c r="AX54" s="23">
        <f t="shared" si="6"/>
        <v>56.24922238532217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17.2</v>
      </c>
      <c r="BD54" s="13">
        <f>IF('Données projet'!$A$88&gt;35,BD53+BC54-BL53,IF(A54&lt;'Données projet'!$A$88,$BA$205^A54,IF(A54='Données projet'!$A$88,'Données projet'!$B$88,BD53+BC54-BL53)))</f>
        <v>607.20000000000061</v>
      </c>
      <c r="BE54" s="14">
        <f>BD54*VLOOKUP('Données projet'!$B$11,Paramètres!$A$1:$I$89,3,0)*VLOOKUP('Données projet'!$B$11,Paramètres!$A$1:$I$89,5,0)</f>
        <v>339.4248000000004</v>
      </c>
      <c r="BF54" s="14">
        <f t="shared" si="37"/>
        <v>79.381094751564561</v>
      </c>
      <c r="BG54" s="22">
        <f t="shared" si="7"/>
        <v>729.42026669230893</v>
      </c>
      <c r="BH54" s="62">
        <f t="shared" si="8"/>
        <v>985.20414709555575</v>
      </c>
      <c r="BI54" s="62">
        <f ca="1">AVERAGE(OFFSET($BH$3,0,0,'Données projet'!$E$11+1,1))-AVERAGE(OFFSET($H$3,0,0,'Données projet'!$E$11+1,1))</f>
        <v>507.66185230065889</v>
      </c>
      <c r="BJ54" s="62">
        <f t="shared" si="38"/>
        <v>640.14375617778342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37.749610545114422</v>
      </c>
      <c r="BQ54" s="23">
        <f>EXP(-LN(2)/25)*BQ53+(1-EXP(-LN(2)/25))/(LN(2)/25)*Calculateur!BL54*Calculateur!BN54*VLOOKUP('Données projet'!$B$11,Paramètres!$A$1:$I$89,3,0)*0.475*44/12</f>
        <v>32.752313568604734</v>
      </c>
      <c r="BR54" s="23">
        <f>EXP(-LN(2)/2)*BR53+(1-EXP(-LN(2)/2))/(LN(2)/2)*BL54*BO54*VLOOKUP('Données projet'!$B$11,Paramètres!$A$1:$I$89,3,0)*0.475*44/12</f>
        <v>0.63679831477653204</v>
      </c>
      <c r="BS54" s="24">
        <f t="shared" si="9"/>
        <v>71.138722428495683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10.552147635000003</v>
      </c>
      <c r="BY54" s="13">
        <f>IF('Données projet'!$A$114&gt;35,BY53+BX54-CG53,IF(A54&lt;'Données projet'!$A$114,$BV$205^A54,IF(A54='Données projet'!$A$114,'Données projet'!$B$114,BY53+BX54-CG53)))</f>
        <v>199.08609828499996</v>
      </c>
      <c r="BZ54" s="14">
        <f>BY54*VLOOKUP('Données projet'!$B$12,Paramètres!$A$1:$I$89,3,0)*VLOOKUP('Données projet'!$B$12,Paramètres!$A$1:$I$89,5,0)</f>
        <v>93.172293997379981</v>
      </c>
      <c r="CA54" s="14">
        <f t="shared" si="39"/>
        <v>25.328756628743172</v>
      </c>
      <c r="CB54" s="22">
        <f t="shared" si="10"/>
        <v>206.38932984049779</v>
      </c>
      <c r="CC54" s="62">
        <f t="shared" si="11"/>
        <v>462.17321024374462</v>
      </c>
      <c r="CD54" s="62">
        <f ca="1">AVERAGE(OFFSET($CC$3,0,0,'Données projet'!$E$12+1,1))-AVERAGE(OFFSET($H$3,0,0,'Données projet'!$E$12+1,1))</f>
        <v>289.21044803824958</v>
      </c>
      <c r="CE54" s="62">
        <f t="shared" si="40"/>
        <v>196.11836398299445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>
        <f>EXP(-LN(2)/35)*CK53+(1-EXP(-LN(2)/35))/(LN(2)/35)*CG54*CH54*VLOOKUP('Données projet'!$B$12,Paramètres!$A$1:$I$89,3,0)*0.475*44/12</f>
        <v>0</v>
      </c>
      <c r="CL54" s="23">
        <f>EXP(-LN(2)/25)*CL53+(1-EXP(-LN(2)/25))/(LN(2)/25)*Calculateur!CG54*Calculateur!CI54*VLOOKUP('Données projet'!$B$12,Paramètres!$A$1:$I$89,3,0)*0.475*44/12</f>
        <v>15.005812568118072</v>
      </c>
      <c r="CM54" s="23">
        <f>EXP(-LN(2)/2)*CM53+(1-EXP(-LN(2)/2))/(LN(2)/2)*CG54*CJ54*VLOOKUP('Données projet'!$B$12,Paramètres!$A$1:$I$89,3,0)*0.475*44/12</f>
        <v>0</v>
      </c>
      <c r="CN54" s="24">
        <f t="shared" si="12"/>
        <v>15.005812568118072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-5.6843418860808015E-14</v>
      </c>
      <c r="CU54" s="18">
        <f>CT54*VLOOKUP('Données projet'!$B$13,Paramètres!$A$1:$I$89,3,0)*VLOOKUP('Données projet'!$B$13,Paramètres!$A$1:$I$89,5,0)</f>
        <v>-5.1431925385259088E-14</v>
      </c>
      <c r="CV54" s="14" t="e">
        <f t="shared" si="41"/>
        <v>#NUM!</v>
      </c>
      <c r="CW54" s="22" t="e">
        <f t="shared" si="13"/>
        <v>#NUM!</v>
      </c>
      <c r="CX54" s="62" t="e">
        <f t="shared" si="14"/>
        <v>#NUM!</v>
      </c>
      <c r="CY54" s="62">
        <f ca="1">AVERAGE(OFFSET($CX$3,0,0,'Données projet'!$E$13+1,1))-AVERAGE(OFFSET($H$3,0,0,'Données projet'!$E$13+1,1))</f>
        <v>376.68007030857598</v>
      </c>
      <c r="CZ54" s="62">
        <f t="shared" si="42"/>
        <v>532.90758914457626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>
        <f>EXP(-LN(2)/35)*DF53+(1-EXP(-LN(2)/35))/(LN(2)/35)*DB54*DC54*VLOOKUP('Données projet'!$B$13,Paramètres!$A$1:$I$89,3,0)*0.475*44/12</f>
        <v>83.132417292187824</v>
      </c>
      <c r="DG54" s="23">
        <f>EXP(-LN(2)/25)*DG53+(1-EXP(-LN(2)/25))/(LN(2)/25)*Calculateur!DB54*Calculateur!DD54*VLOOKUP('Données projet'!$B$13,Paramètres!$A$1:$I$89,3,0)*0.475*44/12</f>
        <v>7.3183713945658848</v>
      </c>
      <c r="DH54" s="23">
        <f>EXP(-LN(2)/2)*DH53+(1-EXP(-LN(2)/2))/(LN(2)/2)*DB54*DE54*VLOOKUP('Données projet'!$B$13,Paramètres!$A$1:$I$89,3,0)*0.475*44/12</f>
        <v>0</v>
      </c>
      <c r="DI54" s="24">
        <f t="shared" si="15"/>
        <v>90.450788686753711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10.375</v>
      </c>
      <c r="DO54" s="13">
        <f>IF('Données projet'!$A$166&gt;35,DO53+DN54-DW53,IF(A54&lt;'Données projet'!$A$166,$DL$205^A54,IF(A54='Données projet'!$A$166,'Données projet'!$B$166,DO53+DN54-DW53)))</f>
        <v>259.62499999999989</v>
      </c>
      <c r="DP54" s="18">
        <f>DO54*VLOOKUP('Données projet'!$B$14,Paramètres!$A$1:$I$89,3,0)*VLOOKUP('Données projet'!$B$14,Paramètres!$A$1:$I$89,5,0)</f>
        <v>247.05914999999987</v>
      </c>
      <c r="DQ54" s="14">
        <f t="shared" si="43"/>
        <v>59.955769049414407</v>
      </c>
      <c r="DR54" s="22">
        <f t="shared" si="16"/>
        <v>534.71765067772992</v>
      </c>
      <c r="DS54" s="62">
        <f t="shared" si="17"/>
        <v>790.50153108097675</v>
      </c>
      <c r="DT54" s="62">
        <f ca="1">AVERAGE(OFFSET($DS$3,0,0,'Données projet'!$E$14+1,1))-AVERAGE(OFFSET($H$3,0,0,'Données projet'!$E$14+1,1))</f>
        <v>364.63161066507769</v>
      </c>
      <c r="DU54" s="62">
        <f t="shared" si="44"/>
        <v>355.44729904860708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>
        <f>EXP(-LN(2)/35)*EA53+(1-EXP(-LN(2)/35))/(LN(2)/35)*DW54*DX54*VLOOKUP('Données projet'!$B$14,Paramètres!$A$1:$I$89,3,0)*0.475*44/12</f>
        <v>0</v>
      </c>
      <c r="EB54" s="23">
        <f>EXP(-LN(2)/25)*EB53+(1-EXP(-LN(2)/25))/(LN(2)/25)*Calculateur!DW54*Calculateur!DY54*VLOOKUP('Données projet'!$B$14,Paramètres!$A$1:$I$89,3,0)*0.475*44/12</f>
        <v>0</v>
      </c>
      <c r="EC54" s="23">
        <f>EXP(-LN(2)/2)*EC53+(1-EXP(-LN(2)/2))/(LN(2)/2)*DW54*DZ54*VLOOKUP('Données projet'!$B$14,Paramètres!$A$1:$I$89,3,0)*0.475*44/12</f>
        <v>0</v>
      </c>
      <c r="ED54" s="24">
        <f t="shared" si="18"/>
        <v>0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10.375</v>
      </c>
      <c r="EJ54" s="13">
        <f>IF('Données projet'!$A$192&gt;35,EJ53+EI54-ER53,IF(A54&lt;'Données projet'!$A$192,$EG$205^A54,IF(A54='Données projet'!$A$192,'Données projet'!$B$192,EJ53+EI54-ER53)))</f>
        <v>259.62499999999989</v>
      </c>
      <c r="EK54" s="18">
        <f>EJ54*VLOOKUP('Données projet'!$B$15,Paramètres!$A$1:$I$89,3,0)*VLOOKUP('Données projet'!$B$15,Paramètres!$A$1:$I$89,5,0)</f>
        <v>190.3570499999999</v>
      </c>
      <c r="EL54" s="14">
        <f t="shared" si="45"/>
        <v>47.618882909259099</v>
      </c>
      <c r="EM54" s="22">
        <f t="shared" si="19"/>
        <v>414.47474981695945</v>
      </c>
      <c r="EN54" s="62">
        <f t="shared" si="20"/>
        <v>670.25863022020621</v>
      </c>
      <c r="EO54" s="62">
        <f ca="1">AVERAGE(OFFSET($EN$3,0,0,'Données projet'!$E$15+1,1))-AVERAGE(OFFSET($H$3,0,0,'Données projet'!$E$15+1,1))</f>
        <v>293.59366973965774</v>
      </c>
      <c r="EP54" s="62">
        <f t="shared" si="46"/>
        <v>288.13804536120426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>
        <f>EXP(-LN(2)/35)*EV53+(1-EXP(-LN(2)/35))/(LN(2)/35)*ER54*ES54*VLOOKUP('Données projet'!$B$15,Paramètres!$A$1:$I$89,3,0)*0.475*44/12</f>
        <v>0</v>
      </c>
      <c r="EW54" s="23">
        <f>EXP(-LN(2)/25)*EW53+(1-EXP(-LN(2)/25))/(LN(2)/25)*Calculateur!ER54*Calculateur!ET54*VLOOKUP('Données projet'!$B$15,Paramètres!$A$1:$I$89,3,0)*0.475*44/12</f>
        <v>0</v>
      </c>
      <c r="EX54" s="23">
        <f>EXP(-LN(2)/2)*EX53+(1-EXP(-LN(2)/2))/(LN(2)/2)*ER54*EU54*VLOOKUP('Données projet'!$B$15,Paramètres!$A$1:$I$89,3,0)*0.475*44/12</f>
        <v>0</v>
      </c>
      <c r="EY54" s="24">
        <f t="shared" si="21"/>
        <v>0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10.375</v>
      </c>
      <c r="FE54" s="13">
        <f>IF('Données projet'!$A$218&gt;35,FE53+FD54-FM53,IF(A54&lt;'Données projet'!$A$218,$FB$205^A54,IF(A54='Données projet'!$A$218,'Données projet'!$B$218,FE53+FD54-FM53)))</f>
        <v>259.62499999999989</v>
      </c>
      <c r="FF54" s="18">
        <f>FE54*VLOOKUP('Données projet'!$B$16,Paramètres!$A$1:$I$89,3,0)*VLOOKUP('Données projet'!$B$16,Paramètres!$A$1:$I$89,5,0)</f>
        <v>251.10929999999988</v>
      </c>
      <c r="FG54" s="14">
        <f t="shared" si="47"/>
        <v>60.82341950921132</v>
      </c>
      <c r="FH54" s="22">
        <f t="shared" si="22"/>
        <v>543.28281981187615</v>
      </c>
      <c r="FI54" s="62">
        <f t="shared" si="23"/>
        <v>799.06670021512298</v>
      </c>
      <c r="FJ54" s="62">
        <f ca="1">AVERAGE(OFFSET($FI$3,0,0,'Données projet'!$E$16+1,1))-AVERAGE(OFFSET($H$3,0,0,'Données projet'!$E$16+1,1))</f>
        <v>369.69145521630799</v>
      </c>
      <c r="FK54" s="62">
        <f t="shared" si="48"/>
        <v>360.24112103688719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>
        <f>EXP(-LN(2)/35)*FQ53+(1-EXP(-LN(2)/35))/(LN(2)/35)*FM54*FN54*VLOOKUP('Données projet'!$B$16,Paramètres!$A$1:$I$89,3,0)*0.475*44/12</f>
        <v>0</v>
      </c>
      <c r="FR54" s="23">
        <f>EXP(-LN(2)/25)*FR53+(1-EXP(-LN(2)/25))/(LN(2)/25)*Calculateur!FM54*Calculateur!FO54*VLOOKUP('Données projet'!$B$16,Paramètres!$A$1:$I$89,3,0)*0.475*44/12</f>
        <v>0</v>
      </c>
      <c r="FS54" s="23">
        <f>EXP(-LN(2)/2)*FS53+(1-EXP(-LN(2)/2))/(LN(2)/2)*FM54*FP54*VLOOKUP('Données projet'!$B$16,Paramètres!$A$1:$I$89,3,0)*0.475*44/12</f>
        <v>0</v>
      </c>
      <c r="FT54" s="24">
        <f t="shared" si="24"/>
        <v>0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10.375</v>
      </c>
      <c r="FZ54" s="13">
        <f>IF('Données projet'!$A$244&gt;35,FZ53+FY54-GH53,IF(A54&lt;'Données projet'!$A$244,$FW$205^A54,IF(A54='Données projet'!$A$244,'Données projet'!$B$244,FZ53+FY54-GH53)))</f>
        <v>259.62499999999989</v>
      </c>
      <c r="GA54" s="18">
        <f>FZ54*VLOOKUP('Données projet'!$B$17,Paramètres!$A$1:$I$89,3,0)*VLOOKUP('Données projet'!$B$17,Paramètres!$A$1:$I$89,5,0)</f>
        <v>279.46034999999983</v>
      </c>
      <c r="GB54" s="14">
        <f t="shared" si="49"/>
        <v>66.852952521544182</v>
      </c>
      <c r="GC54" s="22">
        <f t="shared" si="25"/>
        <v>603.1623352250225</v>
      </c>
      <c r="GD54" s="62">
        <f t="shared" si="26"/>
        <v>858.94621562826933</v>
      </c>
      <c r="GE54" s="62">
        <f ca="1">AVERAGE(OFFSET($GD$3,0,0,'Données projet'!$E$17+1,1))-AVERAGE(OFFSET($H$3,0,0,'Données projet'!$E$17+1,1))</f>
        <v>405.06394904053946</v>
      </c>
      <c r="GF54" s="62">
        <f t="shared" si="50"/>
        <v>393.75247087518198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>
        <f>EXP(-LN(2)/35)*GL53+(1-EXP(-LN(2)/35))/(LN(2)/35)*GH54*GI54*VLOOKUP('Données projet'!$B$17,Paramètres!$A$1:$I$89,3,0)*0.475*44/12</f>
        <v>0</v>
      </c>
      <c r="GM54" s="23">
        <f>EXP(-LN(2)/25)*GM53+(1-EXP(-LN(2)/25))/(LN(2)/25)*Calculateur!GH54*Calculateur!GJ54*VLOOKUP('Données projet'!$B$17,Paramètres!$A$1:$I$89,3,0)*0.475*44/12</f>
        <v>0</v>
      </c>
      <c r="GN54" s="23">
        <f>EXP(-LN(2)/2)*GN53+(1-EXP(-LN(2)/2))/(LN(2)/2)*GH54*GK54*VLOOKUP('Données projet'!$B$17,Paramètres!$A$1:$I$89,3,0)*0.475*44/12</f>
        <v>0</v>
      </c>
      <c r="GO54" s="23">
        <f t="shared" si="27"/>
        <v>0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10.375</v>
      </c>
      <c r="GU54" s="13">
        <f>IF('Données projet'!$A$270&gt;35,GU53+GT54-HC53,IF(A54&lt;'Données projet'!$A$270,$GR$205^A54,IF(A54='Données projet'!$A$270,'Données projet'!$B$270,GU53+GT54-HC53)))</f>
        <v>259.62499999999989</v>
      </c>
      <c r="GV54" s="18">
        <f>GU54*VLOOKUP('Données projet'!$B$18,Paramètres!$A$1:$I$89,3,0)*VLOOKUP('Données projet'!$B$18,Paramètres!$A$1:$I$89,5,0)</f>
        <v>174.15644999999992</v>
      </c>
      <c r="GW54" s="14">
        <f t="shared" si="51"/>
        <v>44.019617362421101</v>
      </c>
      <c r="GX54" s="22">
        <f t="shared" si="28"/>
        <v>379.9899839895499</v>
      </c>
      <c r="GY54" s="62">
        <f t="shared" si="29"/>
        <v>635.77386439279667</v>
      </c>
      <c r="GZ54" s="62">
        <f ca="1">AVERAGE(OFFSET($GY$3,0,0,'Données projet'!$E$18+1,1))-AVERAGE(OFFSET($H$3,0,0,'Données projet'!$E$18+1,1))</f>
        <v>273.21861937609918</v>
      </c>
      <c r="HA54" s="62">
        <f t="shared" si="52"/>
        <v>268.83004886965318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>
        <f>EXP(-LN(2)/35)*HG53+(1-EXP(-LN(2)/35))/(LN(2)/35)*HC54*HD54*VLOOKUP('Données projet'!$B$18,Paramètres!$A$1:$I$89,3,0)*0.475*44/12</f>
        <v>0</v>
      </c>
      <c r="HH54" s="23">
        <f>EXP(-LN(2)/25)*HH53+(1-EXP(-LN(2)/25))/(LN(2)/25)*Calculateur!HC54*Calculateur!HE54*VLOOKUP('Données projet'!$B$18,Paramètres!$A$1:$I$89,3,0)*0.475*44/12</f>
        <v>0</v>
      </c>
      <c r="HI54" s="23">
        <f>EXP(-LN(2)/2)*HI53+(1-EXP(-LN(2)/2))/(LN(2)/2)*HC54*HF54*VLOOKUP('Données projet'!$B$18,Paramètres!$A$1:$I$89,3,0)*0.475*44/12</f>
        <v>0</v>
      </c>
      <c r="HJ54" s="24">
        <f t="shared" si="30"/>
        <v>0</v>
      </c>
    </row>
    <row r="55" spans="1:218" s="5" customFormat="1" x14ac:dyDescent="0.4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>
        <f>VLOOKUP(A55,'Données projet'!$A$35:$I$55,2,0)</f>
        <v>127</v>
      </c>
      <c r="L55" s="13">
        <f>VLOOKUP(A55,'Données projet'!$A$35:$I$55,9,0)</f>
        <v>2.4423076923076925</v>
      </c>
      <c r="M55" s="13">
        <f t="array" ref="M55">INDEX(L:L,MIN(IF(ISNUMBER(L55:L251),ROW(L55:L251),"")))</f>
        <v>2.4423076923076925</v>
      </c>
      <c r="N55" s="14">
        <f>IF('Données projet'!$A$36&gt;35,N54+M55-V54,IF(A55&lt;'Données projet'!$A$36,$K$205^A55,IF(A55='Données projet'!$A$36,'Données projet'!$B$36,N54+M55-V54)))</f>
        <v>127.00000000000004</v>
      </c>
      <c r="O55" s="14">
        <f>N55*VLOOKUP('Données projet'!$B$9,Paramètres!$A$1:$I$89,3,0)*VLOOKUP('Données projet'!$B$9,Paramètres!$A$1:$I$89,5,0)</f>
        <v>114.90960000000004</v>
      </c>
      <c r="P55" s="14">
        <f t="shared" si="33"/>
        <v>30.484768610015163</v>
      </c>
      <c r="Q55" s="22">
        <f t="shared" si="53"/>
        <v>253.22852532910977</v>
      </c>
      <c r="R55" s="62">
        <f t="shared" si="0"/>
        <v>509.6638047926931</v>
      </c>
      <c r="S55" s="62">
        <f ca="1">AVERAGE(OFFSET($R$3,0,0,'Données projet'!$E$9+1,1))-AVERAGE(OFFSET($H$3,0,0,'Données projet'!$E$9+1,1))</f>
        <v>432.80275651765203</v>
      </c>
      <c r="T55" s="62">
        <f t="shared" si="34"/>
        <v>203.89279893419919</v>
      </c>
      <c r="U55" s="16">
        <f>IF(ISNA(VLOOKUP(A55,'Données projet'!$A$35:$I$55,3,0)),0,VLOOKUP(A55,'Données projet'!$A$35:$I$55,3,0))</f>
        <v>1</v>
      </c>
      <c r="V55" s="16">
        <f>IF(ISNA(VLOOKUP(A55,'Données projet'!$A$35:$I$55,4,0)),0,VLOOKUP(A55,'Données projet'!$A$35:$I$55,4,0))</f>
        <v>29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0</v>
      </c>
      <c r="AA55" s="23">
        <f>EXP(-LN(2)/25)*AA54+(1-EXP(-LN(2)/25))/(LN(2)/25)*Calculateur!V55*Calculateur!X55*VLOOKUP('Données projet'!$B$9,Paramètres!$A$1:$I$89,3,0)*0.475*44/12</f>
        <v>0</v>
      </c>
      <c r="AB55" s="23">
        <f>EXP(-LN(2)/2)*AB54+(1-EXP(-LN(2)/2))/(LN(2)/2)*V55*Y55*VLOOKUP('Données projet'!$B$9,Paramètres!$A$1:$I$89,3,0)*0.475*44/12</f>
        <v>0</v>
      </c>
      <c r="AC55" s="24">
        <f t="shared" si="3"/>
        <v>0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17.2</v>
      </c>
      <c r="AI55" s="14">
        <f>IF('Données projet'!$A$62&gt;35,AI54+AH55-AQ54,IF(A55&lt;'Données projet'!$A$62,$AF$205^A55,IF(A55='Données projet'!$A$62,'Données projet'!$B$62,AI54+AH55-AQ54)))</f>
        <v>624.40000000000066</v>
      </c>
      <c r="AJ55" s="14">
        <f>AI55*VLOOKUP('Données projet'!$B$10,Paramètres!$A$1:$I$89,3,0)*VLOOKUP('Données projet'!$B$10,Paramètres!$A$1:$I$89,5,0)</f>
        <v>275.98480000000035</v>
      </c>
      <c r="AK55" s="14">
        <f t="shared" si="35"/>
        <v>66.117769719156499</v>
      </c>
      <c r="AL55" s="22">
        <f t="shared" si="4"/>
        <v>595.82864226086485</v>
      </c>
      <c r="AM55" s="62">
        <f t="shared" si="5"/>
        <v>852.26392172444821</v>
      </c>
      <c r="AN55" s="62">
        <f ca="1">AVERAGE(OFFSET($AM$3,0,0,'Données projet'!$E$10+1,1))-AVERAGE(OFFSET($H$3,0,0,'Données projet'!$E$10+1,1))</f>
        <v>413.08876898406481</v>
      </c>
      <c r="AO55" s="62">
        <f t="shared" si="36"/>
        <v>520.31320932826566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29.263217815085198</v>
      </c>
      <c r="AV55" s="23">
        <f>EXP(-LN(2)/25)*AV54+(1-EXP(-LN(2)/25))/(LN(2)/25)*Calculateur!AQ55*Calculateur!AS55*VLOOKUP('Données projet'!$B$10,Paramètres!$A$1:$I$89,3,0)*0.475*44/12</f>
        <v>25.189018471578258</v>
      </c>
      <c r="AW55" s="23">
        <f>EXP(-LN(2)/2)*AW54+(1-EXP(-LN(2)/2))/(LN(2)/2)*AQ55*AT55*VLOOKUP('Données projet'!$B$10,Paramètres!$A$1:$I$89,3,0)*0.475*44/12</f>
        <v>0.35603883314665447</v>
      </c>
      <c r="AX55" s="23">
        <f t="shared" si="6"/>
        <v>54.808275119810112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17.2</v>
      </c>
      <c r="BD55" s="13">
        <f>IF('Données projet'!$A$88&gt;35,BD54+BC55-BL54,IF(A55&lt;'Données projet'!$A$88,$BA$205^A55,IF(A55='Données projet'!$A$88,'Données projet'!$B$88,BD54+BC55-BL54)))</f>
        <v>624.40000000000066</v>
      </c>
      <c r="BE55" s="14">
        <f>BD55*VLOOKUP('Données projet'!$B$11,Paramètres!$A$1:$I$89,3,0)*VLOOKUP('Données projet'!$B$11,Paramètres!$A$1:$I$89,5,0)</f>
        <v>349.03960000000041</v>
      </c>
      <c r="BF55" s="14">
        <f t="shared" si="37"/>
        <v>81.364723289666273</v>
      </c>
      <c r="BG55" s="22">
        <f t="shared" si="7"/>
        <v>749.62086306283607</v>
      </c>
      <c r="BH55" s="62">
        <f t="shared" si="8"/>
        <v>1006.0561425264194</v>
      </c>
      <c r="BI55" s="62">
        <f ca="1">AVERAGE(OFFSET($BH$3,0,0,'Données projet'!$E$11+1,1))-AVERAGE(OFFSET($H$3,0,0,'Données projet'!$E$11+1,1))</f>
        <v>507.66185230065889</v>
      </c>
      <c r="BJ55" s="62">
        <f t="shared" si="38"/>
        <v>640.14375617778342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37.009363707313632</v>
      </c>
      <c r="BQ55" s="23">
        <f>EXP(-LN(2)/25)*BQ54+(1-EXP(-LN(2)/25))/(LN(2)/25)*Calculateur!BL55*Calculateur!BN55*VLOOKUP('Données projet'!$B$11,Paramètres!$A$1:$I$89,3,0)*0.475*44/12</f>
        <v>31.856699831701924</v>
      </c>
      <c r="BR55" s="23">
        <f>EXP(-LN(2)/2)*BR54+(1-EXP(-LN(2)/2))/(LN(2)/2)*BL55*BO55*VLOOKUP('Données projet'!$B$11,Paramètres!$A$1:$I$89,3,0)*0.475*44/12</f>
        <v>0.45028440662665148</v>
      </c>
      <c r="BS55" s="24">
        <f t="shared" si="9"/>
        <v>69.316347945642207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10.552147635000003</v>
      </c>
      <c r="BY55" s="13">
        <f>IF('Données projet'!$A$114&gt;35,BY54+BX55-CG54,IF(A55&lt;'Données projet'!$A$114,$BV$205^A55,IF(A55='Données projet'!$A$114,'Données projet'!$B$114,BY54+BX55-CG54)))</f>
        <v>209.63824591999997</v>
      </c>
      <c r="BZ55" s="14">
        <f>BY55*VLOOKUP('Données projet'!$B$12,Paramètres!$A$1:$I$89,3,0)*VLOOKUP('Données projet'!$B$12,Paramètres!$A$1:$I$89,5,0)</f>
        <v>98.11069909055999</v>
      </c>
      <c r="CA55" s="14">
        <f t="shared" si="39"/>
        <v>26.511399226930372</v>
      </c>
      <c r="CB55" s="22">
        <f t="shared" si="10"/>
        <v>217.05015456962903</v>
      </c>
      <c r="CC55" s="62">
        <f t="shared" si="11"/>
        <v>473.48543403321241</v>
      </c>
      <c r="CD55" s="62">
        <f ca="1">AVERAGE(OFFSET($CC$3,0,0,'Données projet'!$E$12+1,1))-AVERAGE(OFFSET($H$3,0,0,'Données projet'!$E$12+1,1))</f>
        <v>289.21044803824958</v>
      </c>
      <c r="CE55" s="62">
        <f t="shared" si="40"/>
        <v>196.11836398299445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>
        <f>EXP(-LN(2)/35)*CK54+(1-EXP(-LN(2)/35))/(LN(2)/35)*CG55*CH55*VLOOKUP('Données projet'!$B$12,Paramètres!$A$1:$I$89,3,0)*0.475*44/12</f>
        <v>0</v>
      </c>
      <c r="CL55" s="23">
        <f>EXP(-LN(2)/25)*CL54+(1-EXP(-LN(2)/25))/(LN(2)/25)*Calculateur!CG55*Calculateur!CI55*VLOOKUP('Données projet'!$B$12,Paramètres!$A$1:$I$89,3,0)*0.475*44/12</f>
        <v>14.595477834321496</v>
      </c>
      <c r="CM55" s="23">
        <f>EXP(-LN(2)/2)*CM54+(1-EXP(-LN(2)/2))/(LN(2)/2)*CG55*CJ55*VLOOKUP('Données projet'!$B$12,Paramètres!$A$1:$I$89,3,0)*0.475*44/12</f>
        <v>0</v>
      </c>
      <c r="CN55" s="24">
        <f t="shared" si="12"/>
        <v>14.595477834321496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-5.6843418860808015E-14</v>
      </c>
      <c r="CU55" s="18">
        <f>CT55*VLOOKUP('Données projet'!$B$13,Paramètres!$A$1:$I$89,3,0)*VLOOKUP('Données projet'!$B$13,Paramètres!$A$1:$I$89,5,0)</f>
        <v>-5.1431925385259088E-14</v>
      </c>
      <c r="CV55" s="14" t="e">
        <f t="shared" si="41"/>
        <v>#NUM!</v>
      </c>
      <c r="CW55" s="22" t="e">
        <f t="shared" si="13"/>
        <v>#NUM!</v>
      </c>
      <c r="CX55" s="62" t="e">
        <f t="shared" si="14"/>
        <v>#NUM!</v>
      </c>
      <c r="CY55" s="62">
        <f ca="1">AVERAGE(OFFSET($CX$3,0,0,'Données projet'!$E$13+1,1))-AVERAGE(OFFSET($H$3,0,0,'Données projet'!$E$13+1,1))</f>
        <v>376.68007030857598</v>
      </c>
      <c r="CZ55" s="62">
        <f t="shared" si="42"/>
        <v>532.90758914457626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>
        <f>EXP(-LN(2)/35)*DF54+(1-EXP(-LN(2)/35))/(LN(2)/35)*DB55*DC55*VLOOKUP('Données projet'!$B$13,Paramètres!$A$1:$I$89,3,0)*0.475*44/12</f>
        <v>81.502241294855793</v>
      </c>
      <c r="DG55" s="23">
        <f>EXP(-LN(2)/25)*DG54+(1-EXP(-LN(2)/25))/(LN(2)/25)*Calculateur!DB55*Calculateur!DD55*VLOOKUP('Données projet'!$B$13,Paramètres!$A$1:$I$89,3,0)*0.475*44/12</f>
        <v>7.1182501439250556</v>
      </c>
      <c r="DH55" s="23">
        <f>EXP(-LN(2)/2)*DH54+(1-EXP(-LN(2)/2))/(LN(2)/2)*DB55*DE55*VLOOKUP('Données projet'!$B$13,Paramètres!$A$1:$I$89,3,0)*0.475*44/12</f>
        <v>0</v>
      </c>
      <c r="DI55" s="24">
        <f t="shared" si="15"/>
        <v>88.620491438780846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>
        <f>VLOOKUP(A55,'Données projet'!$A$165:$I$185,2,0)</f>
        <v>270</v>
      </c>
      <c r="DM55" s="13">
        <f>VLOOKUP(A55,'Données projet'!$A$165:$I$185,9,0)</f>
        <v>10.375</v>
      </c>
      <c r="DN55" s="13">
        <f t="array" ref="DN55">INDEX(DM:DM,MIN(IF(ISNUMBER(DM55:DM251),ROW(DM55:DM251),"")))</f>
        <v>10.375</v>
      </c>
      <c r="DO55" s="13">
        <f>IF('Données projet'!$A$166&gt;35,DO54+DN55-DW54,IF(A55&lt;'Données projet'!$A$166,$DL$205^A55,IF(A55='Données projet'!$A$166,'Données projet'!$B$166,DO54+DN55-DW54)))</f>
        <v>269.99999999999989</v>
      </c>
      <c r="DP55" s="18">
        <f>DO55*VLOOKUP('Données projet'!$B$14,Paramètres!$A$1:$I$89,3,0)*VLOOKUP('Données projet'!$B$14,Paramètres!$A$1:$I$89,5,0)</f>
        <v>256.9319999999999</v>
      </c>
      <c r="DQ55" s="14">
        <f t="shared" si="43"/>
        <v>62.067953229346557</v>
      </c>
      <c r="DR55" s="22">
        <f t="shared" si="16"/>
        <v>555.59158520777839</v>
      </c>
      <c r="DS55" s="62">
        <f t="shared" si="17"/>
        <v>812.02686467136175</v>
      </c>
      <c r="DT55" s="62">
        <f ca="1">AVERAGE(OFFSET($DS$3,0,0,'Données projet'!$E$14+1,1))-AVERAGE(OFFSET($H$3,0,0,'Données projet'!$E$14+1,1))</f>
        <v>364.63161066507769</v>
      </c>
      <c r="DU55" s="62">
        <f t="shared" si="44"/>
        <v>355.44729904860708</v>
      </c>
      <c r="DV55" s="16">
        <f>IF(ISNA(VLOOKUP(A55,'Données projet'!$A$165:$I$185,3,0)),0,VLOOKUP(A55,'Données projet'!$A$165:$I$185,3,0))</f>
        <v>7</v>
      </c>
      <c r="DW55" s="16">
        <f>IF(ISNA(VLOOKUP(A55,'Données projet'!$A$165:$I$185,4,0)),0,VLOOKUP(A55,'Données projet'!$A$165:$I$185,4,0))</f>
        <v>48</v>
      </c>
      <c r="DX55" s="17">
        <f>IF(ISNA(VLOOKUP(A55,'Données projet'!$A$165:$I$185,5,0)),0%,VLOOKUP(A55,'Données projet'!$A$165:$I$185,5,0)*VLOOKUP('Données projet'!$B$14,Paramètres!$A$1:$I$89,7,0))</f>
        <v>0.215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>
        <f>EXP(-LN(2)/35)*EA54+(1-EXP(-LN(2)/35))/(LN(2)/35)*DW55*DX55*VLOOKUP('Données projet'!$B$14,Paramètres!$A$1:$I$89,3,0)*0.475*44/12</f>
        <v>10.85628512784789</v>
      </c>
      <c r="EB55" s="23">
        <f>EXP(-LN(2)/25)*EB54+(1-EXP(-LN(2)/25))/(LN(2)/25)*Calculateur!DW55*Calculateur!DY55*VLOOKUP('Données projet'!$B$14,Paramètres!$A$1:$I$89,3,0)*0.475*44/12</f>
        <v>0</v>
      </c>
      <c r="EC55" s="23">
        <f>EXP(-LN(2)/2)*EC54+(1-EXP(-LN(2)/2))/(LN(2)/2)*DW55*DZ55*VLOOKUP('Données projet'!$B$14,Paramètres!$A$1:$I$89,3,0)*0.475*44/12</f>
        <v>0</v>
      </c>
      <c r="ED55" s="24">
        <f t="shared" si="18"/>
        <v>10.85628512784789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>
        <f>VLOOKUP(A55,'Données projet'!$A$191:$I$211,2,0)</f>
        <v>270</v>
      </c>
      <c r="EH55" s="13">
        <f>VLOOKUP(A55,'Données projet'!$A$191:$I$211,9,0)</f>
        <v>10.375</v>
      </c>
      <c r="EI55" s="13">
        <f t="array" ref="EI55">INDEX(EH:EH,MIN(IF(ISNUMBER(EH55:EH251),ROW(EH55:EH251),"")))</f>
        <v>10.375</v>
      </c>
      <c r="EJ55" s="13">
        <f>IF('Données projet'!$A$192&gt;35,EJ54+EI55-ER54,IF(A55&lt;'Données projet'!$A$192,$EG$205^A55,IF(A55='Données projet'!$A$192,'Données projet'!$B$192,EJ54+EI55-ER54)))</f>
        <v>269.99999999999989</v>
      </c>
      <c r="EK55" s="18">
        <f>EJ55*VLOOKUP('Données projet'!$B$15,Paramètres!$A$1:$I$89,3,0)*VLOOKUP('Données projet'!$B$15,Paramètres!$A$1:$I$89,5,0)</f>
        <v>197.96399999999991</v>
      </c>
      <c r="EL55" s="14">
        <f t="shared" si="45"/>
        <v>49.296450435147719</v>
      </c>
      <c r="EM55" s="22">
        <f t="shared" si="19"/>
        <v>430.64528450788208</v>
      </c>
      <c r="EN55" s="62">
        <f t="shared" si="20"/>
        <v>687.08056397146538</v>
      </c>
      <c r="EO55" s="62">
        <f ca="1">AVERAGE(OFFSET($EN$3,0,0,'Données projet'!$E$15+1,1))-AVERAGE(OFFSET($H$3,0,0,'Données projet'!$E$15+1,1))</f>
        <v>293.59366973965774</v>
      </c>
      <c r="EP55" s="62">
        <f t="shared" si="46"/>
        <v>288.13804536120426</v>
      </c>
      <c r="EQ55" s="16">
        <f>IF(ISNA(VLOOKUP(A55,'Données projet'!$A$191:$I$211,3,0)),0,VLOOKUP(A55,'Données projet'!$A$191:$I$211,3,0))</f>
        <v>7</v>
      </c>
      <c r="ER55" s="16">
        <f>IF(ISNA(VLOOKUP(A55,'Données projet'!$A$191:$I$211,4,0)),0,VLOOKUP(A55,'Données projet'!$A$191:$I$211,4,0))</f>
        <v>48</v>
      </c>
      <c r="ES55" s="17">
        <f>IF(ISNA(VLOOKUP(A55,'Données projet'!$A$191:$I$211,5,0)),0%,VLOOKUP(A55,'Données projet'!$A$191:$I$211,5,0)*VLOOKUP('Données projet'!$B$15,Paramètres!$A$1:$I$89,7,0))</f>
        <v>0.215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>
        <f>EXP(-LN(2)/35)*EV54+(1-EXP(-LN(2)/35))/(LN(2)/35)*ER55*ES55*VLOOKUP('Données projet'!$B$15,Paramètres!$A$1:$I$89,3,0)*0.475*44/12</f>
        <v>8.3646787050631293</v>
      </c>
      <c r="EW55" s="23">
        <f>EXP(-LN(2)/25)*EW54+(1-EXP(-LN(2)/25))/(LN(2)/25)*Calculateur!ER55*Calculateur!ET55*VLOOKUP('Données projet'!$B$15,Paramètres!$A$1:$I$89,3,0)*0.475*44/12</f>
        <v>0</v>
      </c>
      <c r="EX55" s="23">
        <f>EXP(-LN(2)/2)*EX54+(1-EXP(-LN(2)/2))/(LN(2)/2)*ER55*EU55*VLOOKUP('Données projet'!$B$15,Paramètres!$A$1:$I$89,3,0)*0.475*44/12</f>
        <v>0</v>
      </c>
      <c r="EY55" s="24">
        <f t="shared" si="21"/>
        <v>8.3646787050631293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>
        <f>VLOOKUP(A55,'Données projet'!$A$217:$I$237,2,0)</f>
        <v>270</v>
      </c>
      <c r="FC55" s="13">
        <f>VLOOKUP(A55,'Données projet'!$A$217:$I$237,9,0)</f>
        <v>10.375</v>
      </c>
      <c r="FD55" s="13">
        <f t="array" ref="FD55">INDEX(FC:FC,MIN(IF(ISNUMBER(FC55:FC251),ROW(FC55:FC251),"")))</f>
        <v>10.375</v>
      </c>
      <c r="FE55" s="13">
        <f>IF('Données projet'!$A$218&gt;35,FE54+FD55-FM54,IF(A55&lt;'Données projet'!$A$218,$FB$205^A55,IF(A55='Données projet'!$A$218,'Données projet'!$B$218,FE54+FD55-FM54)))</f>
        <v>269.99999999999989</v>
      </c>
      <c r="FF55" s="18">
        <f>FE55*VLOOKUP('Données projet'!$B$16,Paramètres!$A$1:$I$89,3,0)*VLOOKUP('Données projet'!$B$16,Paramètres!$A$1:$I$89,5,0)</f>
        <v>261.14399999999989</v>
      </c>
      <c r="FG55" s="14">
        <f t="shared" si="47"/>
        <v>62.966170181808813</v>
      </c>
      <c r="FH55" s="22">
        <f t="shared" si="22"/>
        <v>564.49187973331675</v>
      </c>
      <c r="FI55" s="62">
        <f t="shared" si="23"/>
        <v>820.92715919690011</v>
      </c>
      <c r="FJ55" s="62">
        <f ca="1">AVERAGE(OFFSET($FI$3,0,0,'Données projet'!$E$16+1,1))-AVERAGE(OFFSET($H$3,0,0,'Données projet'!$E$16+1,1))</f>
        <v>369.69145521630799</v>
      </c>
      <c r="FK55" s="62">
        <f t="shared" si="48"/>
        <v>360.24112103688719</v>
      </c>
      <c r="FL55" s="16">
        <f>IF(ISNA(VLOOKUP(A55,'Données projet'!$A$217:$I$237,3,0)),0,VLOOKUP(A55,'Données projet'!$A$217:$I$237,3,0))</f>
        <v>7</v>
      </c>
      <c r="FM55" s="16">
        <f>IF(ISNA(VLOOKUP(A55,'Données projet'!$A$217:$I$237,4,0)),0,VLOOKUP(A55,'Données projet'!$A$217:$I$237,4,0))</f>
        <v>48</v>
      </c>
      <c r="FN55" s="17">
        <f>IF(ISNA(VLOOKUP(A55,'Données projet'!$A$217:$I$237,5,0)),0%,VLOOKUP(A55,'Données projet'!$A$217:$I$237,5,0)*VLOOKUP('Données projet'!$B$16,Paramètres!$A$1:$I$89,7,0))</f>
        <v>0.215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>
        <f>EXP(-LN(2)/35)*FQ54+(1-EXP(-LN(2)/35))/(LN(2)/35)*FM55*FN55*VLOOKUP('Données projet'!$B$16,Paramètres!$A$1:$I$89,3,0)*0.475*44/12</f>
        <v>11.034257015189661</v>
      </c>
      <c r="FR55" s="23">
        <f>EXP(-LN(2)/25)*FR54+(1-EXP(-LN(2)/25))/(LN(2)/25)*Calculateur!FM55*Calculateur!FO55*VLOOKUP('Données projet'!$B$16,Paramètres!$A$1:$I$89,3,0)*0.475*44/12</f>
        <v>0</v>
      </c>
      <c r="FS55" s="23">
        <f>EXP(-LN(2)/2)*FS54+(1-EXP(-LN(2)/2))/(LN(2)/2)*FM55*FP55*VLOOKUP('Données projet'!$B$16,Paramètres!$A$1:$I$89,3,0)*0.475*44/12</f>
        <v>0</v>
      </c>
      <c r="FT55" s="24">
        <f t="shared" si="24"/>
        <v>11.034257015189661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>
        <f>VLOOKUP(A55,'Données projet'!$A$243:$I$263,2,0)</f>
        <v>270</v>
      </c>
      <c r="FX55" s="13">
        <f>VLOOKUP(A55,'Données projet'!$A$243:$I$263,9,0)</f>
        <v>10.375</v>
      </c>
      <c r="FY55" s="13">
        <f t="array" ref="FY55">INDEX(FX:FX,MIN(IF(ISNUMBER(FX55:FX251),ROW(FX55:FX251),"")))</f>
        <v>10.375</v>
      </c>
      <c r="FZ55" s="13">
        <f>IF('Données projet'!$A$244&gt;35,FZ54+FY55-GH54,IF(A55&lt;'Données projet'!$A$244,$FW$205^A55,IF(A55='Données projet'!$A$244,'Données projet'!$B$244,FZ54+FY55-GH54)))</f>
        <v>269.99999999999989</v>
      </c>
      <c r="GA55" s="18">
        <f>FZ55*VLOOKUP('Données projet'!$B$17,Paramètres!$A$1:$I$89,3,0)*VLOOKUP('Données projet'!$B$17,Paramètres!$A$1:$I$89,5,0)</f>
        <v>290.62799999999987</v>
      </c>
      <c r="GB55" s="14">
        <f t="shared" si="49"/>
        <v>69.208117853196882</v>
      </c>
      <c r="GC55" s="22">
        <f t="shared" si="25"/>
        <v>626.71457192765104</v>
      </c>
      <c r="GD55" s="62">
        <f t="shared" si="26"/>
        <v>883.14985139123439</v>
      </c>
      <c r="GE55" s="62">
        <f ca="1">AVERAGE(OFFSET($GD$3,0,0,'Données projet'!$E$17+1,1))-AVERAGE(OFFSET($H$3,0,0,'Données projet'!$E$17+1,1))</f>
        <v>405.06394904053946</v>
      </c>
      <c r="GF55" s="62">
        <f t="shared" si="50"/>
        <v>393.75247087518198</v>
      </c>
      <c r="GG55" s="16">
        <f>IF(ISNA(VLOOKUP(A55,'Données projet'!$A$243:$I$263,3,0)),0,VLOOKUP(A55,'Données projet'!$A$243:$I$263,3,0))</f>
        <v>7</v>
      </c>
      <c r="GH55" s="16">
        <f>IF(ISNA(VLOOKUP(A55,'Données projet'!$A$243:$I$263,4,0)),0,VLOOKUP(A55,'Données projet'!$A$243:$I$263,4,0))</f>
        <v>48</v>
      </c>
      <c r="GI55" s="17">
        <f>IF(ISNA(VLOOKUP(A55,'Données projet'!$A$243:$I$263,5,0)),0%,VLOOKUP(A55,'Données projet'!$A$243:$I$263,5,0)*VLOOKUP('Données projet'!$B$17,Paramètres!$A$1:$I$89,7,0))</f>
        <v>0.215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>
        <f>EXP(-LN(2)/35)*GL54+(1-EXP(-LN(2)/35))/(LN(2)/35)*GH55*GI55*VLOOKUP('Données projet'!$B$17,Paramètres!$A$1:$I$89,3,0)*0.475*44/12</f>
        <v>12.280060226582039</v>
      </c>
      <c r="GM55" s="23">
        <f>EXP(-LN(2)/25)*GM54+(1-EXP(-LN(2)/25))/(LN(2)/25)*Calculateur!GH55*Calculateur!GJ55*VLOOKUP('Données projet'!$B$17,Paramètres!$A$1:$I$89,3,0)*0.475*44/12</f>
        <v>0</v>
      </c>
      <c r="GN55" s="23">
        <f>EXP(-LN(2)/2)*GN54+(1-EXP(-LN(2)/2))/(LN(2)/2)*GH55*GK55*VLOOKUP('Données projet'!$B$17,Paramètres!$A$1:$I$89,3,0)*0.475*44/12</f>
        <v>0</v>
      </c>
      <c r="GO55" s="23">
        <f t="shared" si="27"/>
        <v>12.280060226582039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>
        <f>VLOOKUP(A55,'Données projet'!$A$269:$I$289,2,0)</f>
        <v>270</v>
      </c>
      <c r="GS55" s="13">
        <f>VLOOKUP(A55,'Données projet'!$A$269:$I$289,9,0)</f>
        <v>10.375</v>
      </c>
      <c r="GT55" s="13">
        <f t="array" ref="GT55">INDEX(GS:GS,MIN(IF(ISNUMBER(GS55:GS251),ROW(GS55:GS251),"")))</f>
        <v>10.375</v>
      </c>
      <c r="GU55" s="13">
        <f>IF('Données projet'!$A$270&gt;35,GU54+GT55-HC54,IF(A55&lt;'Données projet'!$A$270,$GR$205^A55,IF(A55='Données projet'!$A$270,'Données projet'!$B$270,GU54+GT55-HC54)))</f>
        <v>269.99999999999989</v>
      </c>
      <c r="GV55" s="18">
        <f>GU55*VLOOKUP('Données projet'!$B$18,Paramètres!$A$1:$I$89,3,0)*VLOOKUP('Données projet'!$B$18,Paramètres!$A$1:$I$89,5,0)</f>
        <v>181.11599999999993</v>
      </c>
      <c r="GW55" s="14">
        <f t="shared" si="51"/>
        <v>45.570386218758216</v>
      </c>
      <c r="GX55" s="22">
        <f t="shared" si="28"/>
        <v>394.81212266433704</v>
      </c>
      <c r="GY55" s="62">
        <f t="shared" si="29"/>
        <v>651.2474021279204</v>
      </c>
      <c r="GZ55" s="62">
        <f ca="1">AVERAGE(OFFSET($GY$3,0,0,'Données projet'!$E$18+1,1))-AVERAGE(OFFSET($H$3,0,0,'Données projet'!$E$18+1,1))</f>
        <v>273.21861937609918</v>
      </c>
      <c r="HA55" s="62">
        <f t="shared" si="52"/>
        <v>268.83004886965318</v>
      </c>
      <c r="HB55" s="16">
        <f>IF(ISNA(VLOOKUP(A55,'Données projet'!$A$269:$I$289,3,0)),0,VLOOKUP(A55,'Données projet'!$A$269:$I$289,3,0))</f>
        <v>7</v>
      </c>
      <c r="HC55" s="16">
        <f>IF(ISNA(VLOOKUP(A55,'Données projet'!$A$269:$I$289,4,0)),0,VLOOKUP(A55,'Données projet'!$A$269:$I$289,4,0))</f>
        <v>48</v>
      </c>
      <c r="HD55" s="17">
        <f>IF(ISNA(VLOOKUP(A55,'Données projet'!$A$269:$I$289,5,0)),0%,VLOOKUP(A55,'Données projet'!$A$269:$I$289,5,0)*VLOOKUP('Données projet'!$B$18,Paramètres!$A$1:$I$89,7,0))</f>
        <v>0.26500000000000001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>
        <f>EXP(-LN(2)/35)*HG54+(1-EXP(-LN(2)/35))/(LN(2)/35)*HC55*HD55*VLOOKUP('Données projet'!$B$18,Paramètres!$A$1:$I$89,3,0)*0.475*44/12</f>
        <v>9.4325100291137414</v>
      </c>
      <c r="HH55" s="23">
        <f>EXP(-LN(2)/25)*HH54+(1-EXP(-LN(2)/25))/(LN(2)/25)*Calculateur!HC55*Calculateur!HE55*VLOOKUP('Données projet'!$B$18,Paramètres!$A$1:$I$89,3,0)*0.475*44/12</f>
        <v>0</v>
      </c>
      <c r="HI55" s="23">
        <f>EXP(-LN(2)/2)*HI54+(1-EXP(-LN(2)/2))/(LN(2)/2)*HC55*HF55*VLOOKUP('Données projet'!$B$18,Paramètres!$A$1:$I$89,3,0)*0.475*44/12</f>
        <v>0</v>
      </c>
      <c r="HJ55" s="24">
        <f t="shared" si="30"/>
        <v>9.4325100291137414</v>
      </c>
    </row>
    <row r="56" spans="1:218" s="5" customFormat="1" x14ac:dyDescent="0.4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6.125</v>
      </c>
      <c r="N56" s="14">
        <f>IF('Données projet'!$A$36&gt;35,N55+M56-V55,IF(A56&lt;'Données projet'!$A$36,$K$205^A56,IF(A56='Données projet'!$A$36,'Données projet'!$B$36,N55+M56-V55)))</f>
        <v>104.12500000000006</v>
      </c>
      <c r="O56" s="14">
        <f>N56*VLOOKUP('Données projet'!$B$9,Paramètres!$A$1:$I$89,3,0)*VLOOKUP('Données projet'!$B$9,Paramètres!$A$1:$I$89,5,0)</f>
        <v>94.212300000000042</v>
      </c>
      <c r="P56" s="14">
        <f t="shared" si="33"/>
        <v>25.57841008066784</v>
      </c>
      <c r="Q56" s="22">
        <f t="shared" si="53"/>
        <v>208.6354867238299</v>
      </c>
      <c r="R56" s="62">
        <f t="shared" si="0"/>
        <v>465.71086493036313</v>
      </c>
      <c r="S56" s="62">
        <f ca="1">AVERAGE(OFFSET($R$3,0,0,'Données projet'!$E$9+1,1))-AVERAGE(OFFSET($H$3,0,0,'Données projet'!$E$9+1,1))</f>
        <v>432.80275651765203</v>
      </c>
      <c r="T56" s="62">
        <f t="shared" si="34"/>
        <v>203.89279893419919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0</v>
      </c>
      <c r="AA56" s="23">
        <f>EXP(-LN(2)/25)*AA55+(1-EXP(-LN(2)/25))/(LN(2)/25)*Calculateur!V56*Calculateur!X56*VLOOKUP('Données projet'!$B$9,Paramètres!$A$1:$I$89,3,0)*0.475*44/12</f>
        <v>0</v>
      </c>
      <c r="AB56" s="23">
        <f>EXP(-LN(2)/2)*AB55+(1-EXP(-LN(2)/2))/(LN(2)/2)*V56*Y56*VLOOKUP('Données projet'!$B$9,Paramètres!$A$1:$I$89,3,0)*0.475*44/12</f>
        <v>0</v>
      </c>
      <c r="AC56" s="24">
        <f t="shared" si="3"/>
        <v>0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17.2</v>
      </c>
      <c r="AI56" s="14">
        <f>IF('Données projet'!$A$62&gt;35,AI55+AH56-AQ55,IF(A56&lt;'Données projet'!$A$62,$AF$205^A56,IF(A56='Données projet'!$A$62,'Données projet'!$B$62,AI55+AH56-AQ55)))</f>
        <v>641.6000000000007</v>
      </c>
      <c r="AJ56" s="14">
        <f>AI56*VLOOKUP('Données projet'!$B$10,Paramètres!$A$1:$I$89,3,0)*VLOOKUP('Données projet'!$B$10,Paramètres!$A$1:$I$89,5,0)</f>
        <v>283.58720000000034</v>
      </c>
      <c r="AK56" s="14">
        <f t="shared" si="35"/>
        <v>67.72452479523281</v>
      </c>
      <c r="AL56" s="22">
        <f t="shared" si="4"/>
        <v>611.86792068503098</v>
      </c>
      <c r="AM56" s="62">
        <f t="shared" si="5"/>
        <v>868.94329889156415</v>
      </c>
      <c r="AN56" s="62">
        <f ca="1">AVERAGE(OFFSET($AM$3,0,0,'Données projet'!$E$10+1,1))-AVERAGE(OFFSET($H$3,0,0,'Données projet'!$E$10+1,1))</f>
        <v>413.08876898406481</v>
      </c>
      <c r="AO56" s="62">
        <f t="shared" si="36"/>
        <v>520.31320932826566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28.689383962531821</v>
      </c>
      <c r="AV56" s="23">
        <f>EXP(-LN(2)/25)*AV55+(1-EXP(-LN(2)/25))/(LN(2)/25)*Calculateur!AQ56*Calculateur!AS56*VLOOKUP('Données projet'!$B$10,Paramètres!$A$1:$I$89,3,0)*0.475*44/12</f>
        <v>24.500223436840038</v>
      </c>
      <c r="AW56" s="23">
        <f>EXP(-LN(2)/2)*AW55+(1-EXP(-LN(2)/2))/(LN(2)/2)*AQ56*AT56*VLOOKUP('Données projet'!$B$10,Paramètres!$A$1:$I$89,3,0)*0.475*44/12</f>
        <v>0.25175747328374509</v>
      </c>
      <c r="AX56" s="23">
        <f t="shared" si="6"/>
        <v>53.441364872655605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17.2</v>
      </c>
      <c r="BD56" s="13">
        <f>IF('Données projet'!$A$88&gt;35,BD55+BC56-BL55,IF(A56&lt;'Données projet'!$A$88,$BA$205^A56,IF(A56='Données projet'!$A$88,'Données projet'!$B$88,BD55+BC56-BL55)))</f>
        <v>641.6000000000007</v>
      </c>
      <c r="BE56" s="14">
        <f>BD56*VLOOKUP('Données projet'!$B$11,Paramètres!$A$1:$I$89,3,0)*VLOOKUP('Données projet'!$B$11,Paramètres!$A$1:$I$89,5,0)</f>
        <v>358.65440000000041</v>
      </c>
      <c r="BF56" s="14">
        <f t="shared" si="37"/>
        <v>83.342000846282616</v>
      </c>
      <c r="BG56" s="22">
        <f t="shared" si="7"/>
        <v>769.81039814060966</v>
      </c>
      <c r="BH56" s="62">
        <f t="shared" si="8"/>
        <v>1026.8857763471428</v>
      </c>
      <c r="BI56" s="62">
        <f ca="1">AVERAGE(OFFSET($BH$3,0,0,'Données projet'!$E$11+1,1))-AVERAGE(OFFSET($H$3,0,0,'Données projet'!$E$11+1,1))</f>
        <v>507.66185230065889</v>
      </c>
      <c r="BJ56" s="62">
        <f t="shared" si="38"/>
        <v>640.14375617778342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36.283632658496124</v>
      </c>
      <c r="BQ56" s="23">
        <f>EXP(-LN(2)/25)*BQ55+(1-EXP(-LN(2)/25))/(LN(2)/25)*Calculateur!BL56*Calculateur!BN56*VLOOKUP('Données projet'!$B$11,Paramètres!$A$1:$I$89,3,0)*0.475*44/12</f>
        <v>30.985576699532999</v>
      </c>
      <c r="BR56" s="23">
        <f>EXP(-LN(2)/2)*BR55+(1-EXP(-LN(2)/2))/(LN(2)/2)*BL56*BO56*VLOOKUP('Données projet'!$B$11,Paramètres!$A$1:$I$89,3,0)*0.475*44/12</f>
        <v>0.31839915738826607</v>
      </c>
      <c r="BS56" s="24">
        <f t="shared" si="9"/>
        <v>67.587608515417386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10.552147635000003</v>
      </c>
      <c r="BY56" s="13">
        <f>IF('Données projet'!$A$114&gt;35,BY55+BX56-CG55,IF(A56&lt;'Données projet'!$A$114,$BV$205^A56,IF(A56='Données projet'!$A$114,'Données projet'!$B$114,BY55+BX56-CG55)))</f>
        <v>220.19039355499999</v>
      </c>
      <c r="BZ56" s="14">
        <f>BY56*VLOOKUP('Données projet'!$B$12,Paramètres!$A$1:$I$89,3,0)*VLOOKUP('Données projet'!$B$12,Paramètres!$A$1:$I$89,5,0)</f>
        <v>103.04910418374</v>
      </c>
      <c r="CA56" s="14">
        <f t="shared" si="39"/>
        <v>27.687129902735816</v>
      </c>
      <c r="CB56" s="22">
        <f t="shared" si="10"/>
        <v>227.69894103394537</v>
      </c>
      <c r="CC56" s="62">
        <f t="shared" si="11"/>
        <v>484.77431924047858</v>
      </c>
      <c r="CD56" s="62">
        <f ca="1">AVERAGE(OFFSET($CC$3,0,0,'Données projet'!$E$12+1,1))-AVERAGE(OFFSET($H$3,0,0,'Données projet'!$E$12+1,1))</f>
        <v>289.21044803824958</v>
      </c>
      <c r="CE56" s="62">
        <f t="shared" si="40"/>
        <v>196.11836398299445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>
        <f>EXP(-LN(2)/35)*CK55+(1-EXP(-LN(2)/35))/(LN(2)/35)*CG56*CH56*VLOOKUP('Données projet'!$B$12,Paramètres!$A$1:$I$89,3,0)*0.475*44/12</f>
        <v>0</v>
      </c>
      <c r="CL56" s="23">
        <f>EXP(-LN(2)/25)*CL55+(1-EXP(-LN(2)/25))/(LN(2)/25)*Calculateur!CG56*Calculateur!CI56*VLOOKUP('Données projet'!$B$12,Paramètres!$A$1:$I$89,3,0)*0.475*44/12</f>
        <v>14.196363725399154</v>
      </c>
      <c r="CM56" s="23">
        <f>EXP(-LN(2)/2)*CM55+(1-EXP(-LN(2)/2))/(LN(2)/2)*CG56*CJ56*VLOOKUP('Données projet'!$B$12,Paramètres!$A$1:$I$89,3,0)*0.475*44/12</f>
        <v>0</v>
      </c>
      <c r="CN56" s="24">
        <f t="shared" si="12"/>
        <v>14.196363725399154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-5.6843418860808015E-14</v>
      </c>
      <c r="CU56" s="18">
        <f>CT56*VLOOKUP('Données projet'!$B$13,Paramètres!$A$1:$I$89,3,0)*VLOOKUP('Données projet'!$B$13,Paramètres!$A$1:$I$89,5,0)</f>
        <v>-5.1431925385259088E-14</v>
      </c>
      <c r="CV56" s="14" t="e">
        <f t="shared" si="41"/>
        <v>#NUM!</v>
      </c>
      <c r="CW56" s="22" t="e">
        <f t="shared" si="13"/>
        <v>#NUM!</v>
      </c>
      <c r="CX56" s="62" t="e">
        <f t="shared" si="14"/>
        <v>#NUM!</v>
      </c>
      <c r="CY56" s="62">
        <f ca="1">AVERAGE(OFFSET($CX$3,0,0,'Données projet'!$E$13+1,1))-AVERAGE(OFFSET($H$3,0,0,'Données projet'!$E$13+1,1))</f>
        <v>376.68007030857598</v>
      </c>
      <c r="CZ56" s="62">
        <f t="shared" si="42"/>
        <v>532.90758914457626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>
        <f>EXP(-LN(2)/35)*DF55+(1-EXP(-LN(2)/35))/(LN(2)/35)*DB56*DC56*VLOOKUP('Données projet'!$B$13,Paramètres!$A$1:$I$89,3,0)*0.475*44/12</f>
        <v>79.904032054522261</v>
      </c>
      <c r="DG56" s="23">
        <f>EXP(-LN(2)/25)*DG55+(1-EXP(-LN(2)/25))/(LN(2)/25)*Calculateur!DB56*Calculateur!DD56*VLOOKUP('Données projet'!$B$13,Paramètres!$A$1:$I$89,3,0)*0.475*44/12</f>
        <v>6.923601219406919</v>
      </c>
      <c r="DH56" s="23">
        <f>EXP(-LN(2)/2)*DH55+(1-EXP(-LN(2)/2))/(LN(2)/2)*DB56*DE56*VLOOKUP('Données projet'!$B$13,Paramètres!$A$1:$I$89,3,0)*0.475*44/12</f>
        <v>0</v>
      </c>
      <c r="DI56" s="24">
        <f t="shared" si="15"/>
        <v>86.82763327392918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9.375</v>
      </c>
      <c r="DO56" s="13">
        <f>IF('Données projet'!$A$166&gt;35,DO55+DN56-DW55,IF(A56&lt;'Données projet'!$A$166,$DL$205^A56,IF(A56='Données projet'!$A$166,'Données projet'!$B$166,DO55+DN56-DW55)))</f>
        <v>231.37499999999989</v>
      </c>
      <c r="DP56" s="18">
        <f>DO56*VLOOKUP('Données projet'!$B$14,Paramètres!$A$1:$I$89,3,0)*VLOOKUP('Données projet'!$B$14,Paramètres!$A$1:$I$89,5,0)</f>
        <v>220.1764499999999</v>
      </c>
      <c r="DQ56" s="14">
        <f t="shared" si="43"/>
        <v>54.153234466658489</v>
      </c>
      <c r="DR56" s="22">
        <f t="shared" si="16"/>
        <v>477.79086711276324</v>
      </c>
      <c r="DS56" s="62">
        <f t="shared" si="17"/>
        <v>734.86624531929647</v>
      </c>
      <c r="DT56" s="62">
        <f ca="1">AVERAGE(OFFSET($DS$3,0,0,'Données projet'!$E$14+1,1))-AVERAGE(OFFSET($H$3,0,0,'Données projet'!$E$14+1,1))</f>
        <v>364.63161066507769</v>
      </c>
      <c r="DU56" s="62">
        <f t="shared" si="44"/>
        <v>355.44729904860708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>
        <f>EXP(-LN(2)/35)*EA55+(1-EXP(-LN(2)/35))/(LN(2)/35)*DW56*DX56*VLOOKUP('Données projet'!$B$14,Paramètres!$A$1:$I$89,3,0)*0.475*44/12</f>
        <v>10.643399998170885</v>
      </c>
      <c r="EB56" s="23">
        <f>EXP(-LN(2)/25)*EB55+(1-EXP(-LN(2)/25))/(LN(2)/25)*Calculateur!DW56*Calculateur!DY56*VLOOKUP('Données projet'!$B$14,Paramètres!$A$1:$I$89,3,0)*0.475*44/12</f>
        <v>0</v>
      </c>
      <c r="EC56" s="23">
        <f>EXP(-LN(2)/2)*EC55+(1-EXP(-LN(2)/2))/(LN(2)/2)*DW56*DZ56*VLOOKUP('Données projet'!$B$14,Paramètres!$A$1:$I$89,3,0)*0.475*44/12</f>
        <v>0</v>
      </c>
      <c r="ED56" s="24">
        <f t="shared" si="18"/>
        <v>10.643399998170885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9.375</v>
      </c>
      <c r="EJ56" s="13">
        <f>IF('Données projet'!$A$192&gt;35,EJ55+EI56-ER55,IF(A56&lt;'Données projet'!$A$192,$EG$205^A56,IF(A56='Données projet'!$A$192,'Données projet'!$B$192,EJ55+EI56-ER55)))</f>
        <v>231.37499999999989</v>
      </c>
      <c r="EK56" s="18">
        <f>EJ56*VLOOKUP('Données projet'!$B$15,Paramètres!$A$1:$I$89,3,0)*VLOOKUP('Données projet'!$B$15,Paramètres!$A$1:$I$89,5,0)</f>
        <v>169.64414999999991</v>
      </c>
      <c r="EL56" s="14">
        <f t="shared" si="45"/>
        <v>43.010315305940502</v>
      </c>
      <c r="EM56" s="22">
        <f t="shared" si="19"/>
        <v>370.37319374117959</v>
      </c>
      <c r="EN56" s="62">
        <f t="shared" si="20"/>
        <v>627.44857194771282</v>
      </c>
      <c r="EO56" s="62">
        <f ca="1">AVERAGE(OFFSET($EN$3,0,0,'Données projet'!$E$15+1,1))-AVERAGE(OFFSET($H$3,0,0,'Données projet'!$E$15+1,1))</f>
        <v>293.59366973965774</v>
      </c>
      <c r="EP56" s="62">
        <f t="shared" si="46"/>
        <v>288.13804536120426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>
        <f>EXP(-LN(2)/35)*EV55+(1-EXP(-LN(2)/35))/(LN(2)/35)*ER56*ES56*VLOOKUP('Données projet'!$B$15,Paramètres!$A$1:$I$89,3,0)*0.475*44/12</f>
        <v>8.2006524576070756</v>
      </c>
      <c r="EW56" s="23">
        <f>EXP(-LN(2)/25)*EW55+(1-EXP(-LN(2)/25))/(LN(2)/25)*Calculateur!ER56*Calculateur!ET56*VLOOKUP('Données projet'!$B$15,Paramètres!$A$1:$I$89,3,0)*0.475*44/12</f>
        <v>0</v>
      </c>
      <c r="EX56" s="23">
        <f>EXP(-LN(2)/2)*EX55+(1-EXP(-LN(2)/2))/(LN(2)/2)*ER56*EU56*VLOOKUP('Données projet'!$B$15,Paramètres!$A$1:$I$89,3,0)*0.475*44/12</f>
        <v>0</v>
      </c>
      <c r="EY56" s="24">
        <f t="shared" si="21"/>
        <v>8.2006524576070756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9.375</v>
      </c>
      <c r="FE56" s="13">
        <f>IF('Données projet'!$A$218&gt;35,FE55+FD56-FM55,IF(A56&lt;'Données projet'!$A$218,$FB$205^A56,IF(A56='Données projet'!$A$218,'Données projet'!$B$218,FE55+FD56-FM55)))</f>
        <v>231.37499999999989</v>
      </c>
      <c r="FF56" s="18">
        <f>FE56*VLOOKUP('Données projet'!$B$16,Paramètres!$A$1:$I$89,3,0)*VLOOKUP('Données projet'!$B$16,Paramètres!$A$1:$I$89,5,0)</f>
        <v>223.78589999999988</v>
      </c>
      <c r="FG56" s="14">
        <f t="shared" si="47"/>
        <v>54.936913494205633</v>
      </c>
      <c r="FH56" s="22">
        <f t="shared" si="22"/>
        <v>485.44223350240787</v>
      </c>
      <c r="FI56" s="62">
        <f t="shared" si="23"/>
        <v>742.5176117089411</v>
      </c>
      <c r="FJ56" s="62">
        <f ca="1">AVERAGE(OFFSET($FI$3,0,0,'Données projet'!$E$16+1,1))-AVERAGE(OFFSET($H$3,0,0,'Données projet'!$E$16+1,1))</f>
        <v>369.69145521630799</v>
      </c>
      <c r="FK56" s="62">
        <f t="shared" si="48"/>
        <v>360.24112103688719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>
        <f>EXP(-LN(2)/35)*FQ55+(1-EXP(-LN(2)/35))/(LN(2)/35)*FM56*FN56*VLOOKUP('Données projet'!$B$16,Paramètres!$A$1:$I$89,3,0)*0.475*44/12</f>
        <v>10.817881965354015</v>
      </c>
      <c r="FR56" s="23">
        <f>EXP(-LN(2)/25)*FR55+(1-EXP(-LN(2)/25))/(LN(2)/25)*Calculateur!FM56*Calculateur!FO56*VLOOKUP('Données projet'!$B$16,Paramètres!$A$1:$I$89,3,0)*0.475*44/12</f>
        <v>0</v>
      </c>
      <c r="FS56" s="23">
        <f>EXP(-LN(2)/2)*FS55+(1-EXP(-LN(2)/2))/(LN(2)/2)*FM56*FP56*VLOOKUP('Données projet'!$B$16,Paramètres!$A$1:$I$89,3,0)*0.475*44/12</f>
        <v>0</v>
      </c>
      <c r="FT56" s="24">
        <f t="shared" si="24"/>
        <v>10.817881965354015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9.375</v>
      </c>
      <c r="FZ56" s="13">
        <f>IF('Données projet'!$A$244&gt;35,FZ55+FY56-GH55,IF(A56&lt;'Données projet'!$A$244,$FW$205^A56,IF(A56='Données projet'!$A$244,'Données projet'!$B$244,FZ55+FY56-GH55)))</f>
        <v>231.37499999999989</v>
      </c>
      <c r="GA56" s="18">
        <f>FZ56*VLOOKUP('Données projet'!$B$17,Paramètres!$A$1:$I$89,3,0)*VLOOKUP('Données projet'!$B$17,Paramètres!$A$1:$I$89,5,0)</f>
        <v>249.05204999999989</v>
      </c>
      <c r="GB56" s="14">
        <f t="shared" si="49"/>
        <v>60.382906767550274</v>
      </c>
      <c r="GC56" s="22">
        <f t="shared" si="25"/>
        <v>538.93254970348323</v>
      </c>
      <c r="GD56" s="62">
        <f t="shared" si="26"/>
        <v>796.00792791001641</v>
      </c>
      <c r="GE56" s="62">
        <f ca="1">AVERAGE(OFFSET($GD$3,0,0,'Données projet'!$E$17+1,1))-AVERAGE(OFFSET($H$3,0,0,'Données projet'!$E$17+1,1))</f>
        <v>405.06394904053946</v>
      </c>
      <c r="GF56" s="62">
        <f t="shared" si="50"/>
        <v>393.75247087518198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>
        <f>EXP(-LN(2)/35)*GL55+(1-EXP(-LN(2)/35))/(LN(2)/35)*GH56*GI56*VLOOKUP('Données projet'!$B$17,Paramètres!$A$1:$I$89,3,0)*0.475*44/12</f>
        <v>12.039255735635917</v>
      </c>
      <c r="GM56" s="23">
        <f>EXP(-LN(2)/25)*GM55+(1-EXP(-LN(2)/25))/(LN(2)/25)*Calculateur!GH56*Calculateur!GJ56*VLOOKUP('Données projet'!$B$17,Paramètres!$A$1:$I$89,3,0)*0.475*44/12</f>
        <v>0</v>
      </c>
      <c r="GN56" s="23">
        <f>EXP(-LN(2)/2)*GN55+(1-EXP(-LN(2)/2))/(LN(2)/2)*GH56*GK56*VLOOKUP('Données projet'!$B$17,Paramètres!$A$1:$I$89,3,0)*0.475*44/12</f>
        <v>0</v>
      </c>
      <c r="GO56" s="23">
        <f t="shared" si="27"/>
        <v>12.039255735635917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9.375</v>
      </c>
      <c r="GU56" s="13">
        <f>IF('Données projet'!$A$270&gt;35,GU55+GT56-HC55,IF(A56&lt;'Données projet'!$A$270,$GR$205^A56,IF(A56='Données projet'!$A$270,'Données projet'!$B$270,GU55+GT56-HC55)))</f>
        <v>231.37499999999989</v>
      </c>
      <c r="GV56" s="18">
        <f>GU56*VLOOKUP('Données projet'!$B$18,Paramètres!$A$1:$I$89,3,0)*VLOOKUP('Données projet'!$B$18,Paramètres!$A$1:$I$89,5,0)</f>
        <v>155.20634999999993</v>
      </c>
      <c r="GW56" s="14">
        <f t="shared" si="51"/>
        <v>39.759387594463078</v>
      </c>
      <c r="GX56" s="22">
        <f t="shared" si="28"/>
        <v>339.5653263103564</v>
      </c>
      <c r="GY56" s="62">
        <f t="shared" si="29"/>
        <v>596.64070451688963</v>
      </c>
      <c r="GZ56" s="62">
        <f ca="1">AVERAGE(OFFSET($GY$3,0,0,'Données projet'!$E$18+1,1))-AVERAGE(OFFSET($H$3,0,0,'Données projet'!$E$18+1,1))</f>
        <v>273.21861937609918</v>
      </c>
      <c r="HA56" s="62">
        <f t="shared" si="52"/>
        <v>268.83004886965318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>
        <f>EXP(-LN(2)/35)*HG55+(1-EXP(-LN(2)/35))/(LN(2)/35)*HC56*HD56*VLOOKUP('Données projet'!$B$18,Paramètres!$A$1:$I$89,3,0)*0.475*44/12</f>
        <v>9.2475442607058511</v>
      </c>
      <c r="HH56" s="23">
        <f>EXP(-LN(2)/25)*HH55+(1-EXP(-LN(2)/25))/(LN(2)/25)*Calculateur!HC56*Calculateur!HE56*VLOOKUP('Données projet'!$B$18,Paramètres!$A$1:$I$89,3,0)*0.475*44/12</f>
        <v>0</v>
      </c>
      <c r="HI56" s="23">
        <f>EXP(-LN(2)/2)*HI55+(1-EXP(-LN(2)/2))/(LN(2)/2)*HC56*HF56*VLOOKUP('Données projet'!$B$18,Paramètres!$A$1:$I$89,3,0)*0.475*44/12</f>
        <v>0</v>
      </c>
      <c r="HJ56" s="24">
        <f t="shared" si="30"/>
        <v>9.2475442607058511</v>
      </c>
    </row>
    <row r="57" spans="1:218" s="5" customFormat="1" x14ac:dyDescent="0.4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6.125</v>
      </c>
      <c r="N57" s="14">
        <f>IF('Données projet'!$A$36&gt;35,N56+M57-V56,IF(A57&lt;'Données projet'!$A$36,$K$205^A57,IF(A57='Données projet'!$A$36,'Données projet'!$B$36,N56+M57-V56)))</f>
        <v>110.25000000000006</v>
      </c>
      <c r="O57" s="14">
        <f>N57*VLOOKUP('Données projet'!$B$9,Paramètres!$A$1:$I$89,3,0)*VLOOKUP('Données projet'!$B$9,Paramètres!$A$1:$I$89,5,0)</f>
        <v>99.754200000000054</v>
      </c>
      <c r="P57" s="14">
        <f t="shared" si="33"/>
        <v>26.90343070306184</v>
      </c>
      <c r="Q57" s="22">
        <f t="shared" si="53"/>
        <v>220.59537347449944</v>
      </c>
      <c r="R57" s="62">
        <f t="shared" si="0"/>
        <v>478.2997461418388</v>
      </c>
      <c r="S57" s="62">
        <f ca="1">AVERAGE(OFFSET($R$3,0,0,'Données projet'!$E$9+1,1))-AVERAGE(OFFSET($H$3,0,0,'Données projet'!$E$9+1,1))</f>
        <v>432.80275651765203</v>
      </c>
      <c r="T57" s="62">
        <f t="shared" si="34"/>
        <v>203.89279893419919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0</v>
      </c>
      <c r="AA57" s="23">
        <f>EXP(-LN(2)/25)*AA56+(1-EXP(-LN(2)/25))/(LN(2)/25)*Calculateur!V57*Calculateur!X57*VLOOKUP('Données projet'!$B$9,Paramètres!$A$1:$I$89,3,0)*0.475*44/12</f>
        <v>0</v>
      </c>
      <c r="AB57" s="23">
        <f>EXP(-LN(2)/2)*AB56+(1-EXP(-LN(2)/2))/(LN(2)/2)*V57*Y57*VLOOKUP('Données projet'!$B$9,Paramètres!$A$1:$I$89,3,0)*0.475*44/12</f>
        <v>0</v>
      </c>
      <c r="AC57" s="24">
        <f t="shared" si="3"/>
        <v>0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17.2</v>
      </c>
      <c r="AI57" s="14">
        <f>IF('Données projet'!$A$62&gt;35,AI56+AH57-AQ56,IF(A57&lt;'Données projet'!$A$62,$AF$205^A57,IF(A57='Données projet'!$A$62,'Données projet'!$B$62,AI56+AH57-AQ56)))</f>
        <v>658.80000000000075</v>
      </c>
      <c r="AJ57" s="14">
        <f>AI57*VLOOKUP('Données projet'!$B$10,Paramètres!$A$1:$I$89,3,0)*VLOOKUP('Données projet'!$B$10,Paramètres!$A$1:$I$89,5,0)</f>
        <v>291.18960000000038</v>
      </c>
      <c r="AK57" s="14">
        <f t="shared" si="35"/>
        <v>69.32627325504869</v>
      </c>
      <c r="AL57" s="22">
        <f t="shared" si="4"/>
        <v>627.89847925254378</v>
      </c>
      <c r="AM57" s="62">
        <f t="shared" si="5"/>
        <v>885.60285191988305</v>
      </c>
      <c r="AN57" s="62">
        <f ca="1">AVERAGE(OFFSET($AM$3,0,0,'Données projet'!$E$10+1,1))-AVERAGE(OFFSET($H$3,0,0,'Données projet'!$E$10+1,1))</f>
        <v>413.08876898406481</v>
      </c>
      <c r="AO57" s="62">
        <f t="shared" si="36"/>
        <v>520.31320932826566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28.126802641822927</v>
      </c>
      <c r="AV57" s="23">
        <f>EXP(-LN(2)/25)*AV56+(1-EXP(-LN(2)/25))/(LN(2)/25)*Calculateur!AQ57*Calculateur!AS57*VLOOKUP('Données projet'!$B$10,Paramètres!$A$1:$I$89,3,0)*0.475*44/12</f>
        <v>23.830263538548891</v>
      </c>
      <c r="AW57" s="23">
        <f>EXP(-LN(2)/2)*AW56+(1-EXP(-LN(2)/2))/(LN(2)/2)*AQ57*AT57*VLOOKUP('Données projet'!$B$10,Paramètres!$A$1:$I$89,3,0)*0.475*44/12</f>
        <v>0.17801941657332723</v>
      </c>
      <c r="AX57" s="23">
        <f t="shared" si="6"/>
        <v>52.135085596945146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17.2</v>
      </c>
      <c r="BD57" s="13">
        <f>IF('Données projet'!$A$88&gt;35,BD56+BC57-BL56,IF(A57&lt;'Données projet'!$A$88,$BA$205^A57,IF(A57='Données projet'!$A$88,'Données projet'!$B$88,BD56+BC57-BL56)))</f>
        <v>658.80000000000075</v>
      </c>
      <c r="BE57" s="14">
        <f>BD57*VLOOKUP('Données projet'!$B$11,Paramètres!$A$1:$I$89,3,0)*VLOOKUP('Données projet'!$B$11,Paramètres!$A$1:$I$89,5,0)</f>
        <v>368.26920000000047</v>
      </c>
      <c r="BF57" s="14">
        <f t="shared" si="37"/>
        <v>85.313117246096908</v>
      </c>
      <c r="BG57" s="22">
        <f t="shared" si="7"/>
        <v>789.9892025369528</v>
      </c>
      <c r="BH57" s="62">
        <f t="shared" si="8"/>
        <v>1047.6935752042921</v>
      </c>
      <c r="BI57" s="62">
        <f ca="1">AVERAGE(OFFSET($BH$3,0,0,'Données projet'!$E$11+1,1))-AVERAGE(OFFSET($H$3,0,0,'Données projet'!$E$11+1,1))</f>
        <v>507.66185230065889</v>
      </c>
      <c r="BJ57" s="62">
        <f t="shared" si="38"/>
        <v>640.14375617778342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35.572132752893701</v>
      </c>
      <c r="BQ57" s="23">
        <f>EXP(-LN(2)/25)*BQ56+(1-EXP(-LN(2)/25))/(LN(2)/25)*Calculateur!BL57*Calculateur!BN57*VLOOKUP('Données projet'!$B$11,Paramètres!$A$1:$I$89,3,0)*0.475*44/12</f>
        <v>30.138274475223607</v>
      </c>
      <c r="BR57" s="23">
        <f>EXP(-LN(2)/2)*BR56+(1-EXP(-LN(2)/2))/(LN(2)/2)*BL57*BO57*VLOOKUP('Données projet'!$B$11,Paramètres!$A$1:$I$89,3,0)*0.475*44/12</f>
        <v>0.22514220331332577</v>
      </c>
      <c r="BS57" s="24">
        <f t="shared" si="9"/>
        <v>65.93554943143063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10.552147635000003</v>
      </c>
      <c r="BY57" s="13">
        <f>IF('Données projet'!$A$114&gt;35,BY56+BX57-CG56,IF(A57&lt;'Données projet'!$A$114,$BV$205^A57,IF(A57='Données projet'!$A$114,'Données projet'!$B$114,BY56+BX57-CG56)))</f>
        <v>230.74254119</v>
      </c>
      <c r="BZ57" s="14">
        <f>BY57*VLOOKUP('Données projet'!$B$12,Paramètres!$A$1:$I$89,3,0)*VLOOKUP('Données projet'!$B$12,Paramètres!$A$1:$I$89,5,0)</f>
        <v>107.98750927692001</v>
      </c>
      <c r="CA57" s="14">
        <f t="shared" si="39"/>
        <v>28.856317710815233</v>
      </c>
      <c r="CB57" s="22">
        <f t="shared" si="10"/>
        <v>238.33633200363886</v>
      </c>
      <c r="CC57" s="62">
        <f t="shared" si="11"/>
        <v>496.04070467097819</v>
      </c>
      <c r="CD57" s="62">
        <f ca="1">AVERAGE(OFFSET($CC$3,0,0,'Données projet'!$E$12+1,1))-AVERAGE(OFFSET($H$3,0,0,'Données projet'!$E$12+1,1))</f>
        <v>289.21044803824958</v>
      </c>
      <c r="CE57" s="62">
        <f t="shared" si="40"/>
        <v>196.11836398299445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>
        <f>EXP(-LN(2)/35)*CK56+(1-EXP(-LN(2)/35))/(LN(2)/35)*CG57*CH57*VLOOKUP('Données projet'!$B$12,Paramètres!$A$1:$I$89,3,0)*0.475*44/12</f>
        <v>0</v>
      </c>
      <c r="CL57" s="23">
        <f>EXP(-LN(2)/25)*CL56+(1-EXP(-LN(2)/25))/(LN(2)/25)*Calculateur!CG57*Calculateur!CI57*VLOOKUP('Données projet'!$B$12,Paramètres!$A$1:$I$89,3,0)*0.475*44/12</f>
        <v>13.808163412773792</v>
      </c>
      <c r="CM57" s="23">
        <f>EXP(-LN(2)/2)*CM56+(1-EXP(-LN(2)/2))/(LN(2)/2)*CG57*CJ57*VLOOKUP('Données projet'!$B$12,Paramètres!$A$1:$I$89,3,0)*0.475*44/12</f>
        <v>0</v>
      </c>
      <c r="CN57" s="24">
        <f t="shared" si="12"/>
        <v>13.808163412773792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-5.6843418860808015E-14</v>
      </c>
      <c r="CU57" s="18">
        <f>CT57*VLOOKUP('Données projet'!$B$13,Paramètres!$A$1:$I$89,3,0)*VLOOKUP('Données projet'!$B$13,Paramètres!$A$1:$I$89,5,0)</f>
        <v>-5.1431925385259088E-14</v>
      </c>
      <c r="CV57" s="14" t="e">
        <f t="shared" si="41"/>
        <v>#NUM!</v>
      </c>
      <c r="CW57" s="22" t="e">
        <f t="shared" si="13"/>
        <v>#NUM!</v>
      </c>
      <c r="CX57" s="62" t="e">
        <f t="shared" si="14"/>
        <v>#NUM!</v>
      </c>
      <c r="CY57" s="62">
        <f ca="1">AVERAGE(OFFSET($CX$3,0,0,'Données projet'!$E$13+1,1))-AVERAGE(OFFSET($H$3,0,0,'Données projet'!$E$13+1,1))</f>
        <v>376.68007030857598</v>
      </c>
      <c r="CZ57" s="62">
        <f t="shared" si="42"/>
        <v>532.90758914457626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>
        <f>EXP(-LN(2)/35)*DF56+(1-EXP(-LN(2)/35))/(LN(2)/35)*DB57*DC57*VLOOKUP('Données projet'!$B$13,Paramètres!$A$1:$I$89,3,0)*0.475*44/12</f>
        <v>78.337162722580288</v>
      </c>
      <c r="DG57" s="23">
        <f>EXP(-LN(2)/25)*DG56+(1-EXP(-LN(2)/25))/(LN(2)/25)*Calculateur!DB57*Calculateur!DD57*VLOOKUP('Données projet'!$B$13,Paramètres!$A$1:$I$89,3,0)*0.475*44/12</f>
        <v>6.734274979965873</v>
      </c>
      <c r="DH57" s="23">
        <f>EXP(-LN(2)/2)*DH56+(1-EXP(-LN(2)/2))/(LN(2)/2)*DB57*DE57*VLOOKUP('Données projet'!$B$13,Paramètres!$A$1:$I$89,3,0)*0.475*44/12</f>
        <v>0</v>
      </c>
      <c r="DI57" s="24">
        <f t="shared" si="15"/>
        <v>85.071437702546163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9.375</v>
      </c>
      <c r="DO57" s="13">
        <f>IF('Données projet'!$A$166&gt;35,DO56+DN57-DW56,IF(A57&lt;'Données projet'!$A$166,$DL$205^A57,IF(A57='Données projet'!$A$166,'Données projet'!$B$166,DO56+DN57-DW56)))</f>
        <v>240.74999999999989</v>
      </c>
      <c r="DP57" s="18">
        <f>DO57*VLOOKUP('Données projet'!$B$14,Paramètres!$A$1:$I$89,3,0)*VLOOKUP('Données projet'!$B$14,Paramètres!$A$1:$I$89,5,0)</f>
        <v>229.09769999999989</v>
      </c>
      <c r="DQ57" s="14">
        <f t="shared" si="43"/>
        <v>56.087538565119772</v>
      </c>
      <c r="DR57" s="22">
        <f t="shared" si="16"/>
        <v>496.69762383425001</v>
      </c>
      <c r="DS57" s="62">
        <f t="shared" si="17"/>
        <v>754.40199650158934</v>
      </c>
      <c r="DT57" s="62">
        <f ca="1">AVERAGE(OFFSET($DS$3,0,0,'Données projet'!$E$14+1,1))-AVERAGE(OFFSET($H$3,0,0,'Données projet'!$E$14+1,1))</f>
        <v>364.63161066507769</v>
      </c>
      <c r="DU57" s="62">
        <f t="shared" si="44"/>
        <v>355.44729904860708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>
        <f>EXP(-LN(2)/35)*EA56+(1-EXP(-LN(2)/35))/(LN(2)/35)*DW57*DX57*VLOOKUP('Données projet'!$B$14,Paramètres!$A$1:$I$89,3,0)*0.475*44/12</f>
        <v>10.434689416039738</v>
      </c>
      <c r="EB57" s="23">
        <f>EXP(-LN(2)/25)*EB56+(1-EXP(-LN(2)/25))/(LN(2)/25)*Calculateur!DW57*Calculateur!DY57*VLOOKUP('Données projet'!$B$14,Paramètres!$A$1:$I$89,3,0)*0.475*44/12</f>
        <v>0</v>
      </c>
      <c r="EC57" s="23">
        <f>EXP(-LN(2)/2)*EC56+(1-EXP(-LN(2)/2))/(LN(2)/2)*DW57*DZ57*VLOOKUP('Données projet'!$B$14,Paramètres!$A$1:$I$89,3,0)*0.475*44/12</f>
        <v>0</v>
      </c>
      <c r="ED57" s="24">
        <f t="shared" si="18"/>
        <v>10.434689416039738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9.375</v>
      </c>
      <c r="EJ57" s="13">
        <f>IF('Données projet'!$A$192&gt;35,EJ56+EI57-ER56,IF(A57&lt;'Données projet'!$A$192,$EG$205^A57,IF(A57='Données projet'!$A$192,'Données projet'!$B$192,EJ56+EI57-ER56)))</f>
        <v>240.74999999999989</v>
      </c>
      <c r="EK57" s="18">
        <f>EJ57*VLOOKUP('Données projet'!$B$15,Paramètres!$A$1:$I$89,3,0)*VLOOKUP('Données projet'!$B$15,Paramètres!$A$1:$I$89,5,0)</f>
        <v>176.51789999999991</v>
      </c>
      <c r="EL57" s="14">
        <f t="shared" si="45"/>
        <v>44.546604504393031</v>
      </c>
      <c r="EM57" s="22">
        <f t="shared" si="19"/>
        <v>385.02067867848433</v>
      </c>
      <c r="EN57" s="62">
        <f t="shared" si="20"/>
        <v>642.72505134582366</v>
      </c>
      <c r="EO57" s="62">
        <f ca="1">AVERAGE(OFFSET($EN$3,0,0,'Données projet'!$E$15+1,1))-AVERAGE(OFFSET($H$3,0,0,'Données projet'!$E$15+1,1))</f>
        <v>293.59366973965774</v>
      </c>
      <c r="EP57" s="62">
        <f t="shared" si="46"/>
        <v>288.13804536120426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>
        <f>EXP(-LN(2)/35)*EV56+(1-EXP(-LN(2)/35))/(LN(2)/35)*ER57*ES57*VLOOKUP('Données projet'!$B$15,Paramètres!$A$1:$I$89,3,0)*0.475*44/12</f>
        <v>8.0398426648175025</v>
      </c>
      <c r="EW57" s="23">
        <f>EXP(-LN(2)/25)*EW56+(1-EXP(-LN(2)/25))/(LN(2)/25)*Calculateur!ER57*Calculateur!ET57*VLOOKUP('Données projet'!$B$15,Paramètres!$A$1:$I$89,3,0)*0.475*44/12</f>
        <v>0</v>
      </c>
      <c r="EX57" s="23">
        <f>EXP(-LN(2)/2)*EX56+(1-EXP(-LN(2)/2))/(LN(2)/2)*ER57*EU57*VLOOKUP('Données projet'!$B$15,Paramètres!$A$1:$I$89,3,0)*0.475*44/12</f>
        <v>0</v>
      </c>
      <c r="EY57" s="24">
        <f t="shared" si="21"/>
        <v>8.0398426648175025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9.375</v>
      </c>
      <c r="FE57" s="13">
        <f>IF('Données projet'!$A$218&gt;35,FE56+FD57-FM56,IF(A57&lt;'Données projet'!$A$218,$FB$205^A57,IF(A57='Données projet'!$A$218,'Données projet'!$B$218,FE56+FD57-FM56)))</f>
        <v>240.74999999999989</v>
      </c>
      <c r="FF57" s="18">
        <f>FE57*VLOOKUP('Données projet'!$B$16,Paramètres!$A$1:$I$89,3,0)*VLOOKUP('Données projet'!$B$16,Paramètres!$A$1:$I$89,5,0)</f>
        <v>232.85339999999991</v>
      </c>
      <c r="FG57" s="14">
        <f t="shared" si="47"/>
        <v>56.899209892107415</v>
      </c>
      <c r="FH57" s="22">
        <f t="shared" si="22"/>
        <v>504.65246222875362</v>
      </c>
      <c r="FI57" s="62">
        <f t="shared" si="23"/>
        <v>762.35683489609301</v>
      </c>
      <c r="FJ57" s="62">
        <f ca="1">AVERAGE(OFFSET($FI$3,0,0,'Données projet'!$E$16+1,1))-AVERAGE(OFFSET($H$3,0,0,'Données projet'!$E$16+1,1))</f>
        <v>369.69145521630799</v>
      </c>
      <c r="FK57" s="62">
        <f t="shared" si="48"/>
        <v>360.24112103688719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>
        <f>EXP(-LN(2)/35)*FQ56+(1-EXP(-LN(2)/35))/(LN(2)/35)*FM57*FN57*VLOOKUP('Données projet'!$B$16,Paramètres!$A$1:$I$89,3,0)*0.475*44/12</f>
        <v>10.605749898269899</v>
      </c>
      <c r="FR57" s="23">
        <f>EXP(-LN(2)/25)*FR56+(1-EXP(-LN(2)/25))/(LN(2)/25)*Calculateur!FM57*Calculateur!FO57*VLOOKUP('Données projet'!$B$16,Paramètres!$A$1:$I$89,3,0)*0.475*44/12</f>
        <v>0</v>
      </c>
      <c r="FS57" s="23">
        <f>EXP(-LN(2)/2)*FS56+(1-EXP(-LN(2)/2))/(LN(2)/2)*FM57*FP57*VLOOKUP('Données projet'!$B$16,Paramètres!$A$1:$I$89,3,0)*0.475*44/12</f>
        <v>0</v>
      </c>
      <c r="FT57" s="24">
        <f t="shared" si="24"/>
        <v>10.605749898269899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9.375</v>
      </c>
      <c r="FZ57" s="13">
        <f>IF('Données projet'!$A$244&gt;35,FZ56+FY57-GH56,IF(A57&lt;'Données projet'!$A$244,$FW$205^A57,IF(A57='Données projet'!$A$244,'Données projet'!$B$244,FZ56+FY57-GH56)))</f>
        <v>240.74999999999989</v>
      </c>
      <c r="GA57" s="18">
        <f>FZ57*VLOOKUP('Données projet'!$B$17,Paramètres!$A$1:$I$89,3,0)*VLOOKUP('Données projet'!$B$17,Paramètres!$A$1:$I$89,5,0)</f>
        <v>259.1432999999999</v>
      </c>
      <c r="GB57" s="14">
        <f t="shared" si="49"/>
        <v>62.53972907350861</v>
      </c>
      <c r="GC57" s="22">
        <f t="shared" si="25"/>
        <v>560.264608969694</v>
      </c>
      <c r="GD57" s="62">
        <f t="shared" si="26"/>
        <v>817.96898163703327</v>
      </c>
      <c r="GE57" s="62">
        <f ca="1">AVERAGE(OFFSET($GD$3,0,0,'Données projet'!$E$17+1,1))-AVERAGE(OFFSET($H$3,0,0,'Données projet'!$E$17+1,1))</f>
        <v>405.06394904053946</v>
      </c>
      <c r="GF57" s="62">
        <f t="shared" si="50"/>
        <v>393.75247087518198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>
        <f>EXP(-LN(2)/35)*GL56+(1-EXP(-LN(2)/35))/(LN(2)/35)*GH57*GI57*VLOOKUP('Données projet'!$B$17,Paramètres!$A$1:$I$89,3,0)*0.475*44/12</f>
        <v>11.803173273881013</v>
      </c>
      <c r="GM57" s="23">
        <f>EXP(-LN(2)/25)*GM56+(1-EXP(-LN(2)/25))/(LN(2)/25)*Calculateur!GH57*Calculateur!GJ57*VLOOKUP('Données projet'!$B$17,Paramètres!$A$1:$I$89,3,0)*0.475*44/12</f>
        <v>0</v>
      </c>
      <c r="GN57" s="23">
        <f>EXP(-LN(2)/2)*GN56+(1-EXP(-LN(2)/2))/(LN(2)/2)*GH57*GK57*VLOOKUP('Données projet'!$B$17,Paramètres!$A$1:$I$89,3,0)*0.475*44/12</f>
        <v>0</v>
      </c>
      <c r="GO57" s="23">
        <f t="shared" si="27"/>
        <v>11.803173273881013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9.375</v>
      </c>
      <c r="GU57" s="13">
        <f>IF('Données projet'!$A$270&gt;35,GU56+GT57-HC56,IF(A57&lt;'Données projet'!$A$270,$GR$205^A57,IF(A57='Données projet'!$A$270,'Données projet'!$B$270,GU56+GT57-HC56)))</f>
        <v>240.74999999999989</v>
      </c>
      <c r="GV57" s="18">
        <f>GU57*VLOOKUP('Données projet'!$B$18,Paramètres!$A$1:$I$89,3,0)*VLOOKUP('Données projet'!$B$18,Paramètres!$A$1:$I$89,5,0)</f>
        <v>161.49509999999992</v>
      </c>
      <c r="GW57" s="14">
        <f t="shared" si="51"/>
        <v>41.179556622845517</v>
      </c>
      <c r="GX57" s="22">
        <f t="shared" si="28"/>
        <v>352.9916936181225</v>
      </c>
      <c r="GY57" s="62">
        <f t="shared" si="29"/>
        <v>610.69606628546182</v>
      </c>
      <c r="GZ57" s="62">
        <f ca="1">AVERAGE(OFFSET($GY$3,0,0,'Données projet'!$E$18+1,1))-AVERAGE(OFFSET($H$3,0,0,'Données projet'!$E$18+1,1))</f>
        <v>273.21861937609918</v>
      </c>
      <c r="HA57" s="62">
        <f t="shared" si="52"/>
        <v>268.83004886965318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>
        <f>EXP(-LN(2)/35)*HG56+(1-EXP(-LN(2)/35))/(LN(2)/35)*HC57*HD57*VLOOKUP('Données projet'!$B$18,Paramètres!$A$1:$I$89,3,0)*0.475*44/12</f>
        <v>9.06620555819846</v>
      </c>
      <c r="HH57" s="23">
        <f>EXP(-LN(2)/25)*HH56+(1-EXP(-LN(2)/25))/(LN(2)/25)*Calculateur!HC57*Calculateur!HE57*VLOOKUP('Données projet'!$B$18,Paramètres!$A$1:$I$89,3,0)*0.475*44/12</f>
        <v>0</v>
      </c>
      <c r="HI57" s="23">
        <f>EXP(-LN(2)/2)*HI56+(1-EXP(-LN(2)/2))/(LN(2)/2)*HC57*HF57*VLOOKUP('Données projet'!$B$18,Paramètres!$A$1:$I$89,3,0)*0.475*44/12</f>
        <v>0</v>
      </c>
      <c r="HJ57" s="24">
        <f t="shared" si="30"/>
        <v>9.06620555819846</v>
      </c>
    </row>
    <row r="58" spans="1:218" s="5" customFormat="1" x14ac:dyDescent="0.4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6.125</v>
      </c>
      <c r="N58" s="14">
        <f>IF('Données projet'!$A$36&gt;35,N57+M58-V57,IF(A58&lt;'Données projet'!$A$36,$K$205^A58,IF(A58='Données projet'!$A$36,'Données projet'!$B$36,N57+M58-V57)))</f>
        <v>116.37500000000006</v>
      </c>
      <c r="O58" s="14">
        <f>N58*VLOOKUP('Données projet'!$B$9,Paramètres!$A$1:$I$89,3,0)*VLOOKUP('Données projet'!$B$9,Paramètres!$A$1:$I$89,5,0)</f>
        <v>105.29610000000005</v>
      </c>
      <c r="P58" s="14">
        <f t="shared" si="33"/>
        <v>28.219905863751134</v>
      </c>
      <c r="Q58" s="22">
        <f t="shared" si="53"/>
        <v>232.54037687936662</v>
      </c>
      <c r="R58" s="62">
        <f t="shared" si="0"/>
        <v>490.86283235983797</v>
      </c>
      <c r="S58" s="62">
        <f ca="1">AVERAGE(OFFSET($R$3,0,0,'Données projet'!$E$9+1,1))-AVERAGE(OFFSET($H$3,0,0,'Données projet'!$E$9+1,1))</f>
        <v>432.80275651765203</v>
      </c>
      <c r="T58" s="62">
        <f t="shared" si="34"/>
        <v>203.89279893419919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0</v>
      </c>
      <c r="AA58" s="23">
        <f>EXP(-LN(2)/25)*AA57+(1-EXP(-LN(2)/25))/(LN(2)/25)*Calculateur!V58*Calculateur!X58*VLOOKUP('Données projet'!$B$9,Paramètres!$A$1:$I$89,3,0)*0.475*44/12</f>
        <v>0</v>
      </c>
      <c r="AB58" s="23">
        <f>EXP(-LN(2)/2)*AB57+(1-EXP(-LN(2)/2))/(LN(2)/2)*V58*Y58*VLOOKUP('Données projet'!$B$9,Paramètres!$A$1:$I$89,3,0)*0.475*44/12</f>
        <v>0</v>
      </c>
      <c r="AC58" s="24">
        <f t="shared" si="3"/>
        <v>0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>
        <f>VLOOKUP(A58,'Données projet'!$A$61:$I$81,2,0)</f>
        <v>676</v>
      </c>
      <c r="AG58" s="13">
        <f>VLOOKUP(A58,'Données projet'!$A$61:$I$81,9,0)</f>
        <v>17.2</v>
      </c>
      <c r="AH58" s="13">
        <f t="array" ref="AH58">INDEX(AG:AG,MIN(IF(ISNUMBER(AG58:AG254),ROW(AG58:AG254),"")))</f>
        <v>17.2</v>
      </c>
      <c r="AI58" s="14">
        <f>IF('Données projet'!$A$62&gt;35,AI57+AH58-AQ57,IF(A58&lt;'Données projet'!$A$62,$AF$205^A58,IF(A58='Données projet'!$A$62,'Données projet'!$B$62,AI57+AH58-AQ57)))</f>
        <v>676.0000000000008</v>
      </c>
      <c r="AJ58" s="14">
        <f>AI58*VLOOKUP('Données projet'!$B$10,Paramètres!$A$1:$I$89,3,0)*VLOOKUP('Données projet'!$B$10,Paramètres!$A$1:$I$89,5,0)</f>
        <v>298.79200000000037</v>
      </c>
      <c r="AK58" s="14">
        <f t="shared" si="35"/>
        <v>70.923160838725721</v>
      </c>
      <c r="AL58" s="22">
        <f t="shared" si="4"/>
        <v>643.92057179411461</v>
      </c>
      <c r="AM58" s="62">
        <f t="shared" si="5"/>
        <v>902.24302727458598</v>
      </c>
      <c r="AN58" s="62">
        <f ca="1">AVERAGE(OFFSET($AM$3,0,0,'Données projet'!$E$10+1,1))-AVERAGE(OFFSET($H$3,0,0,'Données projet'!$E$10+1,1))</f>
        <v>413.08876898406481</v>
      </c>
      <c r="AO58" s="62">
        <f t="shared" si="36"/>
        <v>520.31320932826566</v>
      </c>
      <c r="AP58" s="16">
        <f>IF(ISNA(VLOOKUP(A58,'Données projet'!$A$61:$I$81,3,0)),0,VLOOKUP(A58,'Données projet'!$A$61:$I$81,3,0))</f>
        <v>7</v>
      </c>
      <c r="AQ58" s="16">
        <f>IF(ISNA(VLOOKUP(A58,'Données projet'!$A$61:$I$81,4,0)),0,VLOOKUP(A58,'Données projet'!$A$61:$I$81,4,0))</f>
        <v>68</v>
      </c>
      <c r="AR58" s="17">
        <f>IF(ISNA(VLOOKUP(A58,'Données projet'!$A$61:$I$81,5,0)),0%,VLOOKUP(A58,'Données projet'!$A$61:$I$81,5,0)*VLOOKUP('Données projet'!$B$10,Paramètres!$A$1:$I$89,7,0))</f>
        <v>0.27500000000000002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38.539839047662383</v>
      </c>
      <c r="AV58" s="23">
        <f>EXP(-LN(2)/25)*AV57+(1-EXP(-LN(2)/25))/(LN(2)/25)*Calculateur!AQ58*Calculateur!AS58*VLOOKUP('Données projet'!$B$10,Paramètres!$A$1:$I$89,3,0)*0.475*44/12</f>
        <v>23.178623728908178</v>
      </c>
      <c r="AW58" s="23">
        <f>EXP(-LN(2)/2)*AW57+(1-EXP(-LN(2)/2))/(LN(2)/2)*AQ58*AT58*VLOOKUP('Données projet'!$B$10,Paramètres!$A$1:$I$89,3,0)*0.475*44/12</f>
        <v>0.12587873664187255</v>
      </c>
      <c r="AX58" s="23">
        <f t="shared" si="6"/>
        <v>61.844341513212434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676</v>
      </c>
      <c r="BB58" s="13">
        <f>VLOOKUP(A58,'Données projet'!$A$87:$I$107,9,0)</f>
        <v>17.2</v>
      </c>
      <c r="BC58" s="13">
        <f t="array" ref="BC58">INDEX(BB:BB,MIN(IF(ISNUMBER(BB58:BB254),ROW(BB58:BB254),"")))</f>
        <v>17.2</v>
      </c>
      <c r="BD58" s="13">
        <f>IF('Données projet'!$A$88&gt;35,BD57+BC58-BL57,IF(A58&lt;'Données projet'!$A$88,$BA$205^A58,IF(A58='Données projet'!$A$88,'Données projet'!$B$88,BD57+BC58-BL57)))</f>
        <v>676.0000000000008</v>
      </c>
      <c r="BE58" s="14">
        <f>BD58*VLOOKUP('Données projet'!$B$11,Paramètres!$A$1:$I$89,3,0)*VLOOKUP('Données projet'!$B$11,Paramètres!$A$1:$I$89,5,0)</f>
        <v>377.88400000000047</v>
      </c>
      <c r="BF58" s="14">
        <f t="shared" si="37"/>
        <v>87.278251837334267</v>
      </c>
      <c r="BG58" s="22">
        <f t="shared" si="7"/>
        <v>810.15758861669144</v>
      </c>
      <c r="BH58" s="62">
        <f t="shared" si="8"/>
        <v>1068.4800440971628</v>
      </c>
      <c r="BI58" s="62">
        <f ca="1">AVERAGE(OFFSET($BH$3,0,0,'Données projet'!$E$11+1,1))-AVERAGE(OFFSET($H$3,0,0,'Données projet'!$E$11+1,1))</f>
        <v>507.66185230065889</v>
      </c>
      <c r="BJ58" s="62">
        <f t="shared" si="38"/>
        <v>640.14375617778342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68</v>
      </c>
      <c r="BM58" s="17">
        <f>IF(ISNA(VLOOKUP(A58,'Données projet'!$A$87:$I$107,5,0)),0%,VLOOKUP(A58,'Données projet'!$A$87:$I$107,5,0)*VLOOKUP('Données projet'!$B$11,Paramètres!$A$1:$I$89,7,0))</f>
        <v>0.27500000000000002</v>
      </c>
      <c r="BN58" s="17">
        <f>IF(ISNA(VLOOKUP(A58,'Données projet'!$A$87:$I$107,6,0)),0%,VLOOKUP(A58,'Données projet'!$A$87:$I$107,6,0)*VLOOKUP('Données projet'!$B$11,Paramètres!$A$1:$I$89,7,0))</f>
        <v>0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48.741561148514194</v>
      </c>
      <c r="BQ58" s="23">
        <f>EXP(-LN(2)/25)*BQ57+(1-EXP(-LN(2)/25))/(LN(2)/25)*Calculateur!BL58*Calculateur!BN58*VLOOKUP('Données projet'!$B$11,Paramètres!$A$1:$I$89,3,0)*0.475*44/12</f>
        <v>29.314141774795644</v>
      </c>
      <c r="BR58" s="23">
        <f>EXP(-LN(2)/2)*BR57+(1-EXP(-LN(2)/2))/(LN(2)/2)*BL58*BO58*VLOOKUP('Données projet'!$B$11,Paramètres!$A$1:$I$89,3,0)*0.475*44/12</f>
        <v>0.15919957869413304</v>
      </c>
      <c r="BS58" s="24">
        <f t="shared" si="9"/>
        <v>78.214902502003966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10.552147635000003</v>
      </c>
      <c r="BY58" s="13">
        <f>IF('Données projet'!$A$114&gt;35,BY57+BX58-CG57,IF(A58&lt;'Données projet'!$A$114,$BV$205^A58,IF(A58='Données projet'!$A$114,'Données projet'!$B$114,BY57+BX58-CG57)))</f>
        <v>241.29468882500001</v>
      </c>
      <c r="BZ58" s="14">
        <f>BY58*VLOOKUP('Données projet'!$B$12,Paramètres!$A$1:$I$89,3,0)*VLOOKUP('Données projet'!$B$12,Paramètres!$A$1:$I$89,5,0)</f>
        <v>112.92591437010002</v>
      </c>
      <c r="CA58" s="14">
        <f t="shared" si="39"/>
        <v>30.019296043227961</v>
      </c>
      <c r="CB58" s="22">
        <f t="shared" si="10"/>
        <v>248.96290813654619</v>
      </c>
      <c r="CC58" s="62">
        <f t="shared" si="11"/>
        <v>507.28536361701754</v>
      </c>
      <c r="CD58" s="62">
        <f ca="1">AVERAGE(OFFSET($CC$3,0,0,'Données projet'!$E$12+1,1))-AVERAGE(OFFSET($H$3,0,0,'Données projet'!$E$12+1,1))</f>
        <v>289.21044803824958</v>
      </c>
      <c r="CE58" s="62">
        <f t="shared" si="40"/>
        <v>196.11836398299445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>
        <f>EXP(-LN(2)/35)*CK57+(1-EXP(-LN(2)/35))/(LN(2)/35)*CG58*CH58*VLOOKUP('Données projet'!$B$12,Paramètres!$A$1:$I$89,3,0)*0.475*44/12</f>
        <v>0</v>
      </c>
      <c r="CL58" s="23">
        <f>EXP(-LN(2)/25)*CL57+(1-EXP(-LN(2)/25))/(LN(2)/25)*Calculateur!CG58*Calculateur!CI58*VLOOKUP('Données projet'!$B$12,Paramètres!$A$1:$I$89,3,0)*0.475*44/12</f>
        <v>13.430578458111738</v>
      </c>
      <c r="CM58" s="23">
        <f>EXP(-LN(2)/2)*CM57+(1-EXP(-LN(2)/2))/(LN(2)/2)*CG58*CJ58*VLOOKUP('Données projet'!$B$12,Paramètres!$A$1:$I$89,3,0)*0.475*44/12</f>
        <v>0</v>
      </c>
      <c r="CN58" s="24">
        <f t="shared" si="12"/>
        <v>13.430578458111738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-5.6843418860808015E-14</v>
      </c>
      <c r="CU58" s="18">
        <f>CT58*VLOOKUP('Données projet'!$B$13,Paramètres!$A$1:$I$89,3,0)*VLOOKUP('Données projet'!$B$13,Paramètres!$A$1:$I$89,5,0)</f>
        <v>-5.1431925385259088E-14</v>
      </c>
      <c r="CV58" s="14" t="e">
        <f t="shared" si="41"/>
        <v>#NUM!</v>
      </c>
      <c r="CW58" s="22" t="e">
        <f t="shared" si="13"/>
        <v>#NUM!</v>
      </c>
      <c r="CX58" s="62" t="e">
        <f t="shared" si="14"/>
        <v>#NUM!</v>
      </c>
      <c r="CY58" s="62">
        <f ca="1">AVERAGE(OFFSET($CX$3,0,0,'Données projet'!$E$13+1,1))-AVERAGE(OFFSET($H$3,0,0,'Données projet'!$E$13+1,1))</f>
        <v>376.68007030857598</v>
      </c>
      <c r="CZ58" s="62">
        <f t="shared" si="42"/>
        <v>532.90758914457626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>
        <f>EXP(-LN(2)/35)*DF57+(1-EXP(-LN(2)/35))/(LN(2)/35)*DB58*DC58*VLOOKUP('Données projet'!$B$13,Paramètres!$A$1:$I$89,3,0)*0.475*44/12</f>
        <v>76.801018742541771</v>
      </c>
      <c r="DG58" s="23">
        <f>EXP(-LN(2)/25)*DG57+(1-EXP(-LN(2)/25))/(LN(2)/25)*Calculateur!DB58*Calculateur!DD58*VLOOKUP('Données projet'!$B$13,Paramètres!$A$1:$I$89,3,0)*0.475*44/12</f>
        <v>6.5501258764985764</v>
      </c>
      <c r="DH58" s="23">
        <f>EXP(-LN(2)/2)*DH57+(1-EXP(-LN(2)/2))/(LN(2)/2)*DB58*DE58*VLOOKUP('Données projet'!$B$13,Paramètres!$A$1:$I$89,3,0)*0.475*44/12</f>
        <v>0</v>
      </c>
      <c r="DI58" s="24">
        <f t="shared" si="15"/>
        <v>83.351144619040355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9.375</v>
      </c>
      <c r="DO58" s="13">
        <f>IF('Données projet'!$A$166&gt;35,DO57+DN58-DW57,IF(A58&lt;'Données projet'!$A$166,$DL$205^A58,IF(A58='Données projet'!$A$166,'Données projet'!$B$166,DO57+DN58-DW57)))</f>
        <v>250.12499999999989</v>
      </c>
      <c r="DP58" s="18">
        <f>DO58*VLOOKUP('Données projet'!$B$14,Paramètres!$A$1:$I$89,3,0)*VLOOKUP('Données projet'!$B$14,Paramètres!$A$1:$I$89,5,0)</f>
        <v>238.0189499999999</v>
      </c>
      <c r="DQ58" s="14">
        <f t="shared" si="43"/>
        <v>58.013092528410333</v>
      </c>
      <c r="DR58" s="22">
        <f t="shared" si="16"/>
        <v>515.58914073698111</v>
      </c>
      <c r="DS58" s="62">
        <f t="shared" si="17"/>
        <v>773.91159621745248</v>
      </c>
      <c r="DT58" s="62">
        <f ca="1">AVERAGE(OFFSET($DS$3,0,0,'Données projet'!$E$14+1,1))-AVERAGE(OFFSET($H$3,0,0,'Données projet'!$E$14+1,1))</f>
        <v>364.63161066507769</v>
      </c>
      <c r="DU58" s="62">
        <f t="shared" si="44"/>
        <v>355.44729904860708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>
        <f>EXP(-LN(2)/35)*EA57+(1-EXP(-LN(2)/35))/(LN(2)/35)*DW58*DX58*VLOOKUP('Données projet'!$B$14,Paramètres!$A$1:$I$89,3,0)*0.475*44/12</f>
        <v>10.230071521123298</v>
      </c>
      <c r="EB58" s="23">
        <f>EXP(-LN(2)/25)*EB57+(1-EXP(-LN(2)/25))/(LN(2)/25)*Calculateur!DW58*Calculateur!DY58*VLOOKUP('Données projet'!$B$14,Paramètres!$A$1:$I$89,3,0)*0.475*44/12</f>
        <v>0</v>
      </c>
      <c r="EC58" s="23">
        <f>EXP(-LN(2)/2)*EC57+(1-EXP(-LN(2)/2))/(LN(2)/2)*DW58*DZ58*VLOOKUP('Données projet'!$B$14,Paramètres!$A$1:$I$89,3,0)*0.475*44/12</f>
        <v>0</v>
      </c>
      <c r="ED58" s="24">
        <f t="shared" si="18"/>
        <v>10.230071521123298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9.375</v>
      </c>
      <c r="EJ58" s="13">
        <f>IF('Données projet'!$A$192&gt;35,EJ57+EI58-ER57,IF(A58&lt;'Données projet'!$A$192,$EG$205^A58,IF(A58='Données projet'!$A$192,'Données projet'!$B$192,EJ57+EI58-ER57)))</f>
        <v>250.12499999999989</v>
      </c>
      <c r="EK58" s="18">
        <f>EJ58*VLOOKUP('Données projet'!$B$15,Paramètres!$A$1:$I$89,3,0)*VLOOKUP('Données projet'!$B$15,Paramètres!$A$1:$I$89,5,0)</f>
        <v>183.39164999999991</v>
      </c>
      <c r="EL58" s="14">
        <f t="shared" si="45"/>
        <v>46.075944051982219</v>
      </c>
      <c r="EM58" s="22">
        <f t="shared" si="19"/>
        <v>399.65605964053549</v>
      </c>
      <c r="EN58" s="62">
        <f t="shared" si="20"/>
        <v>657.97851512100692</v>
      </c>
      <c r="EO58" s="62">
        <f ca="1">AVERAGE(OFFSET($EN$3,0,0,'Données projet'!$E$15+1,1))-AVERAGE(OFFSET($H$3,0,0,'Données projet'!$E$15+1,1))</f>
        <v>293.59366973965774</v>
      </c>
      <c r="EP58" s="62">
        <f t="shared" si="46"/>
        <v>288.13804536120426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>
        <f>EXP(-LN(2)/35)*EV57+(1-EXP(-LN(2)/35))/(LN(2)/35)*ER58*ES58*VLOOKUP('Données projet'!$B$15,Paramètres!$A$1:$I$89,3,0)*0.475*44/12</f>
        <v>7.8821862539802448</v>
      </c>
      <c r="EW58" s="23">
        <f>EXP(-LN(2)/25)*EW57+(1-EXP(-LN(2)/25))/(LN(2)/25)*Calculateur!ER58*Calculateur!ET58*VLOOKUP('Données projet'!$B$15,Paramètres!$A$1:$I$89,3,0)*0.475*44/12</f>
        <v>0</v>
      </c>
      <c r="EX58" s="23">
        <f>EXP(-LN(2)/2)*EX57+(1-EXP(-LN(2)/2))/(LN(2)/2)*ER58*EU58*VLOOKUP('Données projet'!$B$15,Paramètres!$A$1:$I$89,3,0)*0.475*44/12</f>
        <v>0</v>
      </c>
      <c r="EY58" s="24">
        <f t="shared" si="21"/>
        <v>7.8821862539802448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9.375</v>
      </c>
      <c r="FE58" s="13">
        <f>IF('Données projet'!$A$218&gt;35,FE57+FD58-FM57,IF(A58&lt;'Données projet'!$A$218,$FB$205^A58,IF(A58='Données projet'!$A$218,'Données projet'!$B$218,FE57+FD58-FM57)))</f>
        <v>250.12499999999989</v>
      </c>
      <c r="FF58" s="18">
        <f>FE58*VLOOKUP('Données projet'!$B$16,Paramètres!$A$1:$I$89,3,0)*VLOOKUP('Données projet'!$B$16,Paramètres!$A$1:$I$89,5,0)</f>
        <v>241.9208999999999</v>
      </c>
      <c r="FG58" s="14">
        <f t="shared" si="47"/>
        <v>58.852629527177442</v>
      </c>
      <c r="FH58" s="22">
        <f t="shared" si="22"/>
        <v>523.84723059316718</v>
      </c>
      <c r="FI58" s="62">
        <f t="shared" si="23"/>
        <v>782.16968607363856</v>
      </c>
      <c r="FJ58" s="62">
        <f ca="1">AVERAGE(OFFSET($FI$3,0,0,'Données projet'!$E$16+1,1))-AVERAGE(OFFSET($H$3,0,0,'Données projet'!$E$16+1,1))</f>
        <v>369.69145521630799</v>
      </c>
      <c r="FK58" s="62">
        <f t="shared" si="48"/>
        <v>360.24112103688719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>
        <f>EXP(-LN(2)/35)*FQ57+(1-EXP(-LN(2)/35))/(LN(2)/35)*FM58*FN58*VLOOKUP('Données projet'!$B$16,Paramètres!$A$1:$I$89,3,0)*0.475*44/12</f>
        <v>10.397777611633517</v>
      </c>
      <c r="FR58" s="23">
        <f>EXP(-LN(2)/25)*FR57+(1-EXP(-LN(2)/25))/(LN(2)/25)*Calculateur!FM58*Calculateur!FO58*VLOOKUP('Données projet'!$B$16,Paramètres!$A$1:$I$89,3,0)*0.475*44/12</f>
        <v>0</v>
      </c>
      <c r="FS58" s="23">
        <f>EXP(-LN(2)/2)*FS57+(1-EXP(-LN(2)/2))/(LN(2)/2)*FM58*FP58*VLOOKUP('Données projet'!$B$16,Paramètres!$A$1:$I$89,3,0)*0.475*44/12</f>
        <v>0</v>
      </c>
      <c r="FT58" s="24">
        <f t="shared" si="24"/>
        <v>10.397777611633517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9.375</v>
      </c>
      <c r="FZ58" s="13">
        <f>IF('Données projet'!$A$244&gt;35,FZ57+FY58-GH57,IF(A58&lt;'Données projet'!$A$244,$FW$205^A58,IF(A58='Données projet'!$A$244,'Données projet'!$B$244,FZ57+FY58-GH57)))</f>
        <v>250.12499999999989</v>
      </c>
      <c r="GA58" s="18">
        <f>FZ58*VLOOKUP('Données projet'!$B$17,Paramètres!$A$1:$I$89,3,0)*VLOOKUP('Données projet'!$B$17,Paramètres!$A$1:$I$89,5,0)</f>
        <v>269.2345499999999</v>
      </c>
      <c r="GB58" s="14">
        <f t="shared" si="49"/>
        <v>64.686794647455955</v>
      </c>
      <c r="GC58" s="22">
        <f t="shared" si="25"/>
        <v>581.5796752609856</v>
      </c>
      <c r="GD58" s="62">
        <f t="shared" si="26"/>
        <v>839.90213074145697</v>
      </c>
      <c r="GE58" s="62">
        <f ca="1">AVERAGE(OFFSET($GD$3,0,0,'Données projet'!$E$17+1,1))-AVERAGE(OFFSET($H$3,0,0,'Données projet'!$E$17+1,1))</f>
        <v>405.06394904053946</v>
      </c>
      <c r="GF58" s="62">
        <f t="shared" si="50"/>
        <v>393.75247087518198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>
        <f>EXP(-LN(2)/35)*GL57+(1-EXP(-LN(2)/35))/(LN(2)/35)*GH58*GI58*VLOOKUP('Données projet'!$B$17,Paramètres!$A$1:$I$89,3,0)*0.475*44/12</f>
        <v>11.571720245205039</v>
      </c>
      <c r="GM58" s="23">
        <f>EXP(-LN(2)/25)*GM57+(1-EXP(-LN(2)/25))/(LN(2)/25)*Calculateur!GH58*Calculateur!GJ58*VLOOKUP('Données projet'!$B$17,Paramètres!$A$1:$I$89,3,0)*0.475*44/12</f>
        <v>0</v>
      </c>
      <c r="GN58" s="23">
        <f>EXP(-LN(2)/2)*GN57+(1-EXP(-LN(2)/2))/(LN(2)/2)*GH58*GK58*VLOOKUP('Données projet'!$B$17,Paramètres!$A$1:$I$89,3,0)*0.475*44/12</f>
        <v>0</v>
      </c>
      <c r="GO58" s="23">
        <f t="shared" si="27"/>
        <v>11.571720245205039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9.375</v>
      </c>
      <c r="GU58" s="13">
        <f>IF('Données projet'!$A$270&gt;35,GU57+GT58-HC57,IF(A58&lt;'Données projet'!$A$270,$GR$205^A58,IF(A58='Données projet'!$A$270,'Données projet'!$B$270,GU57+GT58-HC57)))</f>
        <v>250.12499999999989</v>
      </c>
      <c r="GV58" s="18">
        <f>GU58*VLOOKUP('Données projet'!$B$18,Paramètres!$A$1:$I$89,3,0)*VLOOKUP('Données projet'!$B$18,Paramètres!$A$1:$I$89,5,0)</f>
        <v>167.78384999999992</v>
      </c>
      <c r="GW58" s="14">
        <f t="shared" si="51"/>
        <v>42.593301288598774</v>
      </c>
      <c r="GX58" s="22">
        <f t="shared" si="28"/>
        <v>366.40687182764276</v>
      </c>
      <c r="GY58" s="62">
        <f t="shared" si="29"/>
        <v>624.72932730811408</v>
      </c>
      <c r="GZ58" s="62">
        <f ca="1">AVERAGE(OFFSET($GY$3,0,0,'Données projet'!$E$18+1,1))-AVERAGE(OFFSET($H$3,0,0,'Données projet'!$E$18+1,1))</f>
        <v>273.21861937609918</v>
      </c>
      <c r="HA58" s="62">
        <f t="shared" si="52"/>
        <v>268.83004886965318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>
        <f>EXP(-LN(2)/35)*HG57+(1-EXP(-LN(2)/35))/(LN(2)/35)*HC58*HD58*VLOOKUP('Données projet'!$B$18,Paramètres!$A$1:$I$89,3,0)*0.475*44/12</f>
        <v>8.888422797041553</v>
      </c>
      <c r="HH58" s="23">
        <f>EXP(-LN(2)/25)*HH57+(1-EXP(-LN(2)/25))/(LN(2)/25)*Calculateur!HC58*Calculateur!HE58*VLOOKUP('Données projet'!$B$18,Paramètres!$A$1:$I$89,3,0)*0.475*44/12</f>
        <v>0</v>
      </c>
      <c r="HI58" s="23">
        <f>EXP(-LN(2)/2)*HI57+(1-EXP(-LN(2)/2))/(LN(2)/2)*HC58*HF58*VLOOKUP('Données projet'!$B$18,Paramètres!$A$1:$I$89,3,0)*0.475*44/12</f>
        <v>0</v>
      </c>
      <c r="HJ58" s="24">
        <f t="shared" si="30"/>
        <v>8.888422797041553</v>
      </c>
    </row>
    <row r="59" spans="1:218" s="5" customFormat="1" x14ac:dyDescent="0.4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6.125</v>
      </c>
      <c r="N59" s="14">
        <f>IF('Données projet'!$A$36&gt;35,N58+M59-V58,IF(A59&lt;'Données projet'!$A$36,$K$205^A59,IF(A59='Données projet'!$A$36,'Données projet'!$B$36,N58+M59-V58)))</f>
        <v>122.50000000000006</v>
      </c>
      <c r="O59" s="14">
        <f>N59*VLOOKUP('Données projet'!$B$9,Paramètres!$A$1:$I$89,3,0)*VLOOKUP('Données projet'!$B$9,Paramètres!$A$1:$I$89,5,0)</f>
        <v>110.83800000000005</v>
      </c>
      <c r="P59" s="14">
        <f t="shared" si="33"/>
        <v>29.528336615603067</v>
      </c>
      <c r="Q59" s="22">
        <f t="shared" si="53"/>
        <v>244.47136960550881</v>
      </c>
      <c r="R59" s="62">
        <f t="shared" si="0"/>
        <v>503.40118554413056</v>
      </c>
      <c r="S59" s="62">
        <f ca="1">AVERAGE(OFFSET($R$3,0,0,'Données projet'!$E$9+1,1))-AVERAGE(OFFSET($H$3,0,0,'Données projet'!$E$9+1,1))</f>
        <v>432.80275651765203</v>
      </c>
      <c r="T59" s="62">
        <f t="shared" si="34"/>
        <v>203.89279893419919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0</v>
      </c>
      <c r="AA59" s="23">
        <f>EXP(-LN(2)/25)*AA58+(1-EXP(-LN(2)/25))/(LN(2)/25)*Calculateur!V59*Calculateur!X59*VLOOKUP('Données projet'!$B$9,Paramètres!$A$1:$I$89,3,0)*0.475*44/12</f>
        <v>0</v>
      </c>
      <c r="AB59" s="23">
        <f>EXP(-LN(2)/2)*AB58+(1-EXP(-LN(2)/2))/(LN(2)/2)*V59*Y59*VLOOKUP('Données projet'!$B$9,Paramètres!$A$1:$I$89,3,0)*0.475*44/12</f>
        <v>0</v>
      </c>
      <c r="AC59" s="24">
        <f t="shared" si="3"/>
        <v>0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15.8</v>
      </c>
      <c r="AI59" s="14">
        <f>IF('Données projet'!$A$62&gt;35,AI58+AH59-AQ58,IF(A59&lt;'Données projet'!$A$62,$AF$205^A59,IF(A59='Données projet'!$A$62,'Données projet'!$B$62,AI58+AH59-AQ58)))</f>
        <v>623.80000000000075</v>
      </c>
      <c r="AJ59" s="14">
        <f>AI59*VLOOKUP('Données projet'!$B$10,Paramètres!$A$1:$I$89,3,0)*VLOOKUP('Données projet'!$B$10,Paramètres!$A$1:$I$89,5,0)</f>
        <v>275.71960000000036</v>
      </c>
      <c r="AK59" s="14">
        <f t="shared" si="35"/>
        <v>66.061627890427104</v>
      </c>
      <c r="AL59" s="22">
        <f t="shared" si="4"/>
        <v>595.26897190916111</v>
      </c>
      <c r="AM59" s="62">
        <f t="shared" si="5"/>
        <v>854.1987878477828</v>
      </c>
      <c r="AN59" s="62">
        <f ca="1">AVERAGE(OFFSET($AM$3,0,0,'Données projet'!$E$10+1,1))-AVERAGE(OFFSET($H$3,0,0,'Données projet'!$E$10+1,1))</f>
        <v>413.08876898406481</v>
      </c>
      <c r="AO59" s="62">
        <f t="shared" si="36"/>
        <v>520.31320932826566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37.784096310918422</v>
      </c>
      <c r="AV59" s="23">
        <f>EXP(-LN(2)/25)*AV58+(1-EXP(-LN(2)/25))/(LN(2)/25)*Calculateur!AQ59*Calculateur!AS59*VLOOKUP('Données projet'!$B$10,Paramètres!$A$1:$I$89,3,0)*0.475*44/12</f>
        <v>22.544803044130337</v>
      </c>
      <c r="AW59" s="23">
        <f>EXP(-LN(2)/2)*AW58+(1-EXP(-LN(2)/2))/(LN(2)/2)*AQ59*AT59*VLOOKUP('Données projet'!$B$10,Paramètres!$A$1:$I$89,3,0)*0.475*44/12</f>
        <v>8.9009708286663616E-2</v>
      </c>
      <c r="AX59" s="23">
        <f t="shared" si="6"/>
        <v>60.417909063335422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15.8</v>
      </c>
      <c r="BD59" s="13">
        <f>IF('Données projet'!$A$88&gt;35,BD58+BC59-BL58,IF(A59&lt;'Données projet'!$A$88,$BA$205^A59,IF(A59='Données projet'!$A$88,'Données projet'!$B$88,BD58+BC59-BL58)))</f>
        <v>623.80000000000075</v>
      </c>
      <c r="BE59" s="14">
        <f>BD59*VLOOKUP('Données projet'!$B$11,Paramètres!$A$1:$I$89,3,0)*VLOOKUP('Données projet'!$B$11,Paramètres!$A$1:$I$89,5,0)</f>
        <v>348.70420000000041</v>
      </c>
      <c r="BF59" s="14">
        <f t="shared" si="37"/>
        <v>81.29563498891217</v>
      </c>
      <c r="BG59" s="22">
        <f t="shared" si="7"/>
        <v>748.91637927235604</v>
      </c>
      <c r="BH59" s="62">
        <f t="shared" si="8"/>
        <v>1007.8461952109778</v>
      </c>
      <c r="BI59" s="62">
        <f ca="1">AVERAGE(OFFSET($BH$3,0,0,'Données projet'!$E$11+1,1))-AVERAGE(OFFSET($H$3,0,0,'Données projet'!$E$11+1,1))</f>
        <v>507.66185230065889</v>
      </c>
      <c r="BJ59" s="62">
        <f t="shared" si="38"/>
        <v>640.14375617778342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47.785768863808592</v>
      </c>
      <c r="BQ59" s="23">
        <f>EXP(-LN(2)/25)*BQ58+(1-EXP(-LN(2)/25))/(LN(2)/25)*Calculateur!BL59*Calculateur!BN59*VLOOKUP('Données projet'!$B$11,Paramètres!$A$1:$I$89,3,0)*0.475*44/12</f>
        <v>28.51254502640014</v>
      </c>
      <c r="BR59" s="23">
        <f>EXP(-LN(2)/2)*BR58+(1-EXP(-LN(2)/2))/(LN(2)/2)*BL59*BO59*VLOOKUP('Données projet'!$B$11,Paramètres!$A$1:$I$89,3,0)*0.475*44/12</f>
        <v>0.11257110165666288</v>
      </c>
      <c r="BS59" s="24">
        <f t="shared" si="9"/>
        <v>76.410884991865402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10.552147635000003</v>
      </c>
      <c r="BY59" s="13">
        <f>IF('Données projet'!$A$114&gt;35,BY58+BX59-CG58,IF(A59&lt;'Données projet'!$A$114,$BV$205^A59,IF(A59='Données projet'!$A$114,'Données projet'!$B$114,BY58+BX59-CG58)))</f>
        <v>251.84683646000002</v>
      </c>
      <c r="BZ59" s="14">
        <f>BY59*VLOOKUP('Données projet'!$B$12,Paramètres!$A$1:$I$89,3,0)*VLOOKUP('Données projet'!$B$12,Paramètres!$A$1:$I$89,5,0)</f>
        <v>117.86431946328</v>
      </c>
      <c r="CA59" s="14">
        <f t="shared" si="39"/>
        <v>31.176367483781462</v>
      </c>
      <c r="CB59" s="22">
        <f t="shared" si="10"/>
        <v>259.57919643279871</v>
      </c>
      <c r="CC59" s="62">
        <f t="shared" si="11"/>
        <v>518.50901237142045</v>
      </c>
      <c r="CD59" s="62">
        <f ca="1">AVERAGE(OFFSET($CC$3,0,0,'Données projet'!$E$12+1,1))-AVERAGE(OFFSET($H$3,0,0,'Données projet'!$E$12+1,1))</f>
        <v>289.21044803824958</v>
      </c>
      <c r="CE59" s="62">
        <f t="shared" si="40"/>
        <v>196.11836398299445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>
        <f>EXP(-LN(2)/35)*CK58+(1-EXP(-LN(2)/35))/(LN(2)/35)*CG59*CH59*VLOOKUP('Données projet'!$B$12,Paramètres!$A$1:$I$89,3,0)*0.475*44/12</f>
        <v>0</v>
      </c>
      <c r="CL59" s="23">
        <f>EXP(-LN(2)/25)*CL58+(1-EXP(-LN(2)/25))/(LN(2)/25)*Calculateur!CG59*Calculateur!CI59*VLOOKUP('Données projet'!$B$12,Paramètres!$A$1:$I$89,3,0)*0.475*44/12</f>
        <v>13.063318583891247</v>
      </c>
      <c r="CM59" s="23">
        <f>EXP(-LN(2)/2)*CM58+(1-EXP(-LN(2)/2))/(LN(2)/2)*CG59*CJ59*VLOOKUP('Données projet'!$B$12,Paramètres!$A$1:$I$89,3,0)*0.475*44/12</f>
        <v>0</v>
      </c>
      <c r="CN59" s="24">
        <f t="shared" si="12"/>
        <v>13.063318583891247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-5.6843418860808015E-14</v>
      </c>
      <c r="CU59" s="18">
        <f>CT59*VLOOKUP('Données projet'!$B$13,Paramètres!$A$1:$I$89,3,0)*VLOOKUP('Données projet'!$B$13,Paramètres!$A$1:$I$89,5,0)</f>
        <v>-5.1431925385259088E-14</v>
      </c>
      <c r="CV59" s="14" t="e">
        <f t="shared" si="41"/>
        <v>#NUM!</v>
      </c>
      <c r="CW59" s="22" t="e">
        <f t="shared" si="13"/>
        <v>#NUM!</v>
      </c>
      <c r="CX59" s="62" t="e">
        <f t="shared" si="14"/>
        <v>#NUM!</v>
      </c>
      <c r="CY59" s="62">
        <f ca="1">AVERAGE(OFFSET($CX$3,0,0,'Données projet'!$E$13+1,1))-AVERAGE(OFFSET($H$3,0,0,'Données projet'!$E$13+1,1))</f>
        <v>376.68007030857598</v>
      </c>
      <c r="CZ59" s="62">
        <f t="shared" si="42"/>
        <v>532.90758914457626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>
        <f>EXP(-LN(2)/35)*DF58+(1-EXP(-LN(2)/35))/(LN(2)/35)*DB59*DC59*VLOOKUP('Données projet'!$B$13,Paramètres!$A$1:$I$89,3,0)*0.475*44/12</f>
        <v>75.294997608996496</v>
      </c>
      <c r="DG59" s="23">
        <f>EXP(-LN(2)/25)*DG58+(1-EXP(-LN(2)/25))/(LN(2)/25)*Calculateur!DB59*Calculateur!DD59*VLOOKUP('Données projet'!$B$13,Paramètres!$A$1:$I$89,3,0)*0.475*44/12</f>
        <v>6.3710123399495737</v>
      </c>
      <c r="DH59" s="23">
        <f>EXP(-LN(2)/2)*DH58+(1-EXP(-LN(2)/2))/(LN(2)/2)*DB59*DE59*VLOOKUP('Données projet'!$B$13,Paramètres!$A$1:$I$89,3,0)*0.475*44/12</f>
        <v>0</v>
      </c>
      <c r="DI59" s="24">
        <f t="shared" si="15"/>
        <v>81.666009948946069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9.375</v>
      </c>
      <c r="DO59" s="13">
        <f>IF('Données projet'!$A$166&gt;35,DO58+DN59-DW58,IF(A59&lt;'Données projet'!$A$166,$DL$205^A59,IF(A59='Données projet'!$A$166,'Données projet'!$B$166,DO58+DN59-DW58)))</f>
        <v>259.49999999999989</v>
      </c>
      <c r="DP59" s="18">
        <f>DO59*VLOOKUP('Données projet'!$B$14,Paramètres!$A$1:$I$89,3,0)*VLOOKUP('Données projet'!$B$14,Paramètres!$A$1:$I$89,5,0)</f>
        <v>246.94019999999989</v>
      </c>
      <c r="DQ59" s="14">
        <f t="shared" si="43"/>
        <v>59.93026187451116</v>
      </c>
      <c r="DR59" s="22">
        <f t="shared" si="16"/>
        <v>534.46605443144006</v>
      </c>
      <c r="DS59" s="62">
        <f t="shared" si="17"/>
        <v>793.39587037006186</v>
      </c>
      <c r="DT59" s="62">
        <f ca="1">AVERAGE(OFFSET($DS$3,0,0,'Données projet'!$E$14+1,1))-AVERAGE(OFFSET($H$3,0,0,'Données projet'!$E$14+1,1))</f>
        <v>364.63161066507769</v>
      </c>
      <c r="DU59" s="62">
        <f t="shared" si="44"/>
        <v>355.44729904860708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>
        <f>EXP(-LN(2)/35)*EA58+(1-EXP(-LN(2)/35))/(LN(2)/35)*DW59*DX59*VLOOKUP('Données projet'!$B$14,Paramètres!$A$1:$I$89,3,0)*0.475*44/12</f>
        <v>10.029466058321576</v>
      </c>
      <c r="EB59" s="23">
        <f>EXP(-LN(2)/25)*EB58+(1-EXP(-LN(2)/25))/(LN(2)/25)*Calculateur!DW59*Calculateur!DY59*VLOOKUP('Données projet'!$B$14,Paramètres!$A$1:$I$89,3,0)*0.475*44/12</f>
        <v>0</v>
      </c>
      <c r="EC59" s="23">
        <f>EXP(-LN(2)/2)*EC58+(1-EXP(-LN(2)/2))/(LN(2)/2)*DW59*DZ59*VLOOKUP('Données projet'!$B$14,Paramètres!$A$1:$I$89,3,0)*0.475*44/12</f>
        <v>0</v>
      </c>
      <c r="ED59" s="24">
        <f t="shared" si="18"/>
        <v>10.029466058321576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9.375</v>
      </c>
      <c r="EJ59" s="13">
        <f>IF('Données projet'!$A$192&gt;35,EJ58+EI59-ER58,IF(A59&lt;'Données projet'!$A$192,$EG$205^A59,IF(A59='Données projet'!$A$192,'Données projet'!$B$192,EJ58+EI59-ER58)))</f>
        <v>259.49999999999989</v>
      </c>
      <c r="EK59" s="18">
        <f>EJ59*VLOOKUP('Données projet'!$B$15,Paramètres!$A$1:$I$89,3,0)*VLOOKUP('Données projet'!$B$15,Paramètres!$A$1:$I$89,5,0)</f>
        <v>190.26539999999991</v>
      </c>
      <c r="EL59" s="14">
        <f t="shared" si="45"/>
        <v>47.598624255349371</v>
      </c>
      <c r="EM59" s="22">
        <f t="shared" si="19"/>
        <v>414.27984224473329</v>
      </c>
      <c r="EN59" s="62">
        <f t="shared" si="20"/>
        <v>673.20965818335503</v>
      </c>
      <c r="EO59" s="62">
        <f ca="1">AVERAGE(OFFSET($EN$3,0,0,'Données projet'!$E$15+1,1))-AVERAGE(OFFSET($H$3,0,0,'Données projet'!$E$15+1,1))</f>
        <v>293.59366973965774</v>
      </c>
      <c r="EP59" s="62">
        <f t="shared" si="46"/>
        <v>288.13804536120426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>
        <f>EXP(-LN(2)/35)*EV58+(1-EXP(-LN(2)/35))/(LN(2)/35)*ER59*ES59*VLOOKUP('Données projet'!$B$15,Paramètres!$A$1:$I$89,3,0)*0.475*44/12</f>
        <v>7.7276213891985899</v>
      </c>
      <c r="EW59" s="23">
        <f>EXP(-LN(2)/25)*EW58+(1-EXP(-LN(2)/25))/(LN(2)/25)*Calculateur!ER59*Calculateur!ET59*VLOOKUP('Données projet'!$B$15,Paramètres!$A$1:$I$89,3,0)*0.475*44/12</f>
        <v>0</v>
      </c>
      <c r="EX59" s="23">
        <f>EXP(-LN(2)/2)*EX58+(1-EXP(-LN(2)/2))/(LN(2)/2)*ER59*EU59*VLOOKUP('Données projet'!$B$15,Paramètres!$A$1:$I$89,3,0)*0.475*44/12</f>
        <v>0</v>
      </c>
      <c r="EY59" s="24">
        <f t="shared" si="21"/>
        <v>7.7276213891985899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9.375</v>
      </c>
      <c r="FE59" s="13">
        <f>IF('Données projet'!$A$218&gt;35,FE58+FD59-FM58,IF(A59&lt;'Données projet'!$A$218,$FB$205^A59,IF(A59='Données projet'!$A$218,'Données projet'!$B$218,FE58+FD59-FM58)))</f>
        <v>259.49999999999989</v>
      </c>
      <c r="FF59" s="18">
        <f>FE59*VLOOKUP('Données projet'!$B$16,Paramètres!$A$1:$I$89,3,0)*VLOOKUP('Données projet'!$B$16,Paramètres!$A$1:$I$89,5,0)</f>
        <v>250.9883999999999</v>
      </c>
      <c r="FG59" s="14">
        <f t="shared" si="47"/>
        <v>60.797543206993325</v>
      </c>
      <c r="FH59" s="22">
        <f t="shared" si="22"/>
        <v>543.02718441884645</v>
      </c>
      <c r="FI59" s="62">
        <f t="shared" si="23"/>
        <v>801.95700035746813</v>
      </c>
      <c r="FJ59" s="62">
        <f ca="1">AVERAGE(OFFSET($FI$3,0,0,'Données projet'!$E$16+1,1))-AVERAGE(OFFSET($H$3,0,0,'Données projet'!$E$16+1,1))</f>
        <v>369.69145521630799</v>
      </c>
      <c r="FK59" s="62">
        <f t="shared" si="48"/>
        <v>360.24112103688719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>
        <f>EXP(-LN(2)/35)*FQ58+(1-EXP(-LN(2)/35))/(LN(2)/35)*FM59*FN59*VLOOKUP('Données projet'!$B$16,Paramètres!$A$1:$I$89,3,0)*0.475*44/12</f>
        <v>10.193883534687505</v>
      </c>
      <c r="FR59" s="23">
        <f>EXP(-LN(2)/25)*FR58+(1-EXP(-LN(2)/25))/(LN(2)/25)*Calculateur!FM59*Calculateur!FO59*VLOOKUP('Données projet'!$B$16,Paramètres!$A$1:$I$89,3,0)*0.475*44/12</f>
        <v>0</v>
      </c>
      <c r="FS59" s="23">
        <f>EXP(-LN(2)/2)*FS58+(1-EXP(-LN(2)/2))/(LN(2)/2)*FM59*FP59*VLOOKUP('Données projet'!$B$16,Paramètres!$A$1:$I$89,3,0)*0.475*44/12</f>
        <v>0</v>
      </c>
      <c r="FT59" s="24">
        <f t="shared" si="24"/>
        <v>10.193883534687505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9.375</v>
      </c>
      <c r="FZ59" s="13">
        <f>IF('Données projet'!$A$244&gt;35,FZ58+FY59-GH58,IF(A59&lt;'Données projet'!$A$244,$FW$205^A59,IF(A59='Données projet'!$A$244,'Données projet'!$B$244,FZ58+FY59-GH58)))</f>
        <v>259.49999999999989</v>
      </c>
      <c r="GA59" s="18">
        <f>FZ59*VLOOKUP('Données projet'!$B$17,Paramètres!$A$1:$I$89,3,0)*VLOOKUP('Données projet'!$B$17,Paramètres!$A$1:$I$89,5,0)</f>
        <v>279.3257999999999</v>
      </c>
      <c r="GB59" s="14">
        <f t="shared" si="49"/>
        <v>66.824511055780306</v>
      </c>
      <c r="GC59" s="22">
        <f t="shared" si="25"/>
        <v>602.87845842215052</v>
      </c>
      <c r="GD59" s="62">
        <f t="shared" si="26"/>
        <v>861.8082743607722</v>
      </c>
      <c r="GE59" s="62">
        <f ca="1">AVERAGE(OFFSET($GD$3,0,0,'Données projet'!$E$17+1,1))-AVERAGE(OFFSET($H$3,0,0,'Données projet'!$E$17+1,1))</f>
        <v>405.06394904053946</v>
      </c>
      <c r="GF59" s="62">
        <f t="shared" si="50"/>
        <v>393.75247087518198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>
        <f>EXP(-LN(2)/35)*GL58+(1-EXP(-LN(2)/35))/(LN(2)/35)*GH59*GI59*VLOOKUP('Données projet'!$B$17,Paramètres!$A$1:$I$89,3,0)*0.475*44/12</f>
        <v>11.344805869248994</v>
      </c>
      <c r="GM59" s="23">
        <f>EXP(-LN(2)/25)*GM58+(1-EXP(-LN(2)/25))/(LN(2)/25)*Calculateur!GH59*Calculateur!GJ59*VLOOKUP('Données projet'!$B$17,Paramètres!$A$1:$I$89,3,0)*0.475*44/12</f>
        <v>0</v>
      </c>
      <c r="GN59" s="23">
        <f>EXP(-LN(2)/2)*GN58+(1-EXP(-LN(2)/2))/(LN(2)/2)*GH59*GK59*VLOOKUP('Données projet'!$B$17,Paramètres!$A$1:$I$89,3,0)*0.475*44/12</f>
        <v>0</v>
      </c>
      <c r="GO59" s="23">
        <f t="shared" si="27"/>
        <v>11.344805869248994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9.375</v>
      </c>
      <c r="GU59" s="13">
        <f>IF('Données projet'!$A$270&gt;35,GU58+GT59-HC58,IF(A59&lt;'Données projet'!$A$270,$GR$205^A59,IF(A59='Données projet'!$A$270,'Données projet'!$B$270,GU58+GT59-HC58)))</f>
        <v>259.49999999999989</v>
      </c>
      <c r="GV59" s="18">
        <f>GU59*VLOOKUP('Données projet'!$B$18,Paramètres!$A$1:$I$89,3,0)*VLOOKUP('Données projet'!$B$18,Paramètres!$A$1:$I$89,5,0)</f>
        <v>174.07259999999994</v>
      </c>
      <c r="GW59" s="14">
        <f t="shared" si="51"/>
        <v>44.000889955583666</v>
      </c>
      <c r="GX59" s="22">
        <f t="shared" si="28"/>
        <v>379.81132833930809</v>
      </c>
      <c r="GY59" s="62">
        <f t="shared" si="29"/>
        <v>638.74114427792983</v>
      </c>
      <c r="GZ59" s="62">
        <f ca="1">AVERAGE(OFFSET($GY$3,0,0,'Données projet'!$E$18+1,1))-AVERAGE(OFFSET($H$3,0,0,'Données projet'!$E$18+1,1))</f>
        <v>273.21861937609918</v>
      </c>
      <c r="HA59" s="62">
        <f t="shared" si="52"/>
        <v>268.83004886965318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>
        <f>EXP(-LN(2)/35)*HG58+(1-EXP(-LN(2)/35))/(LN(2)/35)*HC59*HD59*VLOOKUP('Données projet'!$B$18,Paramètres!$A$1:$I$89,3,0)*0.475*44/12</f>
        <v>8.7141262473941552</v>
      </c>
      <c r="HH59" s="23">
        <f>EXP(-LN(2)/25)*HH58+(1-EXP(-LN(2)/25))/(LN(2)/25)*Calculateur!HC59*Calculateur!HE59*VLOOKUP('Données projet'!$B$18,Paramètres!$A$1:$I$89,3,0)*0.475*44/12</f>
        <v>0</v>
      </c>
      <c r="HI59" s="23">
        <f>EXP(-LN(2)/2)*HI58+(1-EXP(-LN(2)/2))/(LN(2)/2)*HC59*HF59*VLOOKUP('Données projet'!$B$18,Paramètres!$A$1:$I$89,3,0)*0.475*44/12</f>
        <v>0</v>
      </c>
      <c r="HJ59" s="24">
        <f t="shared" si="30"/>
        <v>8.7141262473941552</v>
      </c>
    </row>
    <row r="60" spans="1:218" s="5" customFormat="1" x14ac:dyDescent="0.4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6.125</v>
      </c>
      <c r="N60" s="14">
        <f>IF('Données projet'!$A$36&gt;35,N59+M60-V59,IF(A60&lt;'Données projet'!$A$36,$K$205^A60,IF(A60='Données projet'!$A$36,'Données projet'!$B$36,N59+M60-V59)))</f>
        <v>128.62500000000006</v>
      </c>
      <c r="O60" s="14">
        <f>N60*VLOOKUP('Données projet'!$B$9,Paramètres!$A$1:$I$89,3,0)*VLOOKUP('Données projet'!$B$9,Paramètres!$A$1:$I$89,5,0)</f>
        <v>116.37990000000006</v>
      </c>
      <c r="P60" s="14">
        <f t="shared" si="33"/>
        <v>30.829171075775971</v>
      </c>
      <c r="Q60" s="22">
        <f t="shared" si="53"/>
        <v>256.38913212364326</v>
      </c>
      <c r="R60" s="62">
        <f t="shared" si="0"/>
        <v>515.91577217432098</v>
      </c>
      <c r="S60" s="62">
        <f ca="1">AVERAGE(OFFSET($R$3,0,0,'Données projet'!$E$9+1,1))-AVERAGE(OFFSET($H$3,0,0,'Données projet'!$E$9+1,1))</f>
        <v>432.80275651765203</v>
      </c>
      <c r="T60" s="62">
        <f t="shared" si="34"/>
        <v>203.89279893419919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0</v>
      </c>
      <c r="AA60" s="23">
        <f>EXP(-LN(2)/25)*AA59+(1-EXP(-LN(2)/25))/(LN(2)/25)*Calculateur!V60*Calculateur!X60*VLOOKUP('Données projet'!$B$9,Paramètres!$A$1:$I$89,3,0)*0.475*44/12</f>
        <v>0</v>
      </c>
      <c r="AB60" s="23">
        <f>EXP(-LN(2)/2)*AB59+(1-EXP(-LN(2)/2))/(LN(2)/2)*V60*Y60*VLOOKUP('Données projet'!$B$9,Paramètres!$A$1:$I$89,3,0)*0.475*44/12</f>
        <v>0</v>
      </c>
      <c r="AC60" s="24">
        <f t="shared" si="3"/>
        <v>0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15.8</v>
      </c>
      <c r="AI60" s="14">
        <f>IF('Données projet'!$A$62&gt;35,AI59+AH60-AQ59,IF(A60&lt;'Données projet'!$A$62,$AF$205^A60,IF(A60='Données projet'!$A$62,'Données projet'!$B$62,AI59+AH60-AQ59)))</f>
        <v>639.6000000000007</v>
      </c>
      <c r="AJ60" s="14">
        <f>AI60*VLOOKUP('Données projet'!$B$10,Paramètres!$A$1:$I$89,3,0)*VLOOKUP('Données projet'!$B$10,Paramètres!$A$1:$I$89,5,0)</f>
        <v>282.70320000000032</v>
      </c>
      <c r="AK60" s="14">
        <f t="shared" si="35"/>
        <v>67.537952914823904</v>
      </c>
      <c r="AL60" s="22">
        <f t="shared" si="4"/>
        <v>610.00334132665228</v>
      </c>
      <c r="AM60" s="62">
        <f t="shared" si="5"/>
        <v>869.52998137732993</v>
      </c>
      <c r="AN60" s="62">
        <f ca="1">AVERAGE(OFFSET($AM$3,0,0,'Données projet'!$E$10+1,1))-AVERAGE(OFFSET($H$3,0,0,'Données projet'!$E$10+1,1))</f>
        <v>413.08876898406481</v>
      </c>
      <c r="AO60" s="62">
        <f t="shared" si="36"/>
        <v>520.31320932826566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37.043173228284452</v>
      </c>
      <c r="AV60" s="23">
        <f>EXP(-LN(2)/25)*AV59+(1-EXP(-LN(2)/25))/(LN(2)/25)*Calculateur!AQ60*Calculateur!AS60*VLOOKUP('Données projet'!$B$10,Paramètres!$A$1:$I$89,3,0)*0.475*44/12</f>
        <v>21.928314219308927</v>
      </c>
      <c r="AW60" s="23">
        <f>EXP(-LN(2)/2)*AW59+(1-EXP(-LN(2)/2))/(LN(2)/2)*AQ60*AT60*VLOOKUP('Données projet'!$B$10,Paramètres!$A$1:$I$89,3,0)*0.475*44/12</f>
        <v>6.2939368320936273E-2</v>
      </c>
      <c r="AX60" s="23">
        <f t="shared" si="6"/>
        <v>59.034426815914308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15.8</v>
      </c>
      <c r="BD60" s="13">
        <f>IF('Données projet'!$A$88&gt;35,BD59+BC60-BL59,IF(A60&lt;'Données projet'!$A$88,$BA$205^A60,IF(A60='Données projet'!$A$88,'Données projet'!$B$88,BD59+BC60-BL59)))</f>
        <v>639.6000000000007</v>
      </c>
      <c r="BE60" s="14">
        <f>BD60*VLOOKUP('Données projet'!$B$11,Paramètres!$A$1:$I$89,3,0)*VLOOKUP('Données projet'!$B$11,Paramètres!$A$1:$I$89,5,0)</f>
        <v>357.53640000000041</v>
      </c>
      <c r="BF60" s="14">
        <f t="shared" si="37"/>
        <v>83.112404937534052</v>
      </c>
      <c r="BG60" s="22">
        <f t="shared" si="7"/>
        <v>767.46333526620583</v>
      </c>
      <c r="BH60" s="62">
        <f t="shared" si="8"/>
        <v>1026.9899753168836</v>
      </c>
      <c r="BI60" s="62">
        <f ca="1">AVERAGE(OFFSET($BH$3,0,0,'Données projet'!$E$11+1,1))-AVERAGE(OFFSET($H$3,0,0,'Données projet'!$E$11+1,1))</f>
        <v>507.66185230065889</v>
      </c>
      <c r="BJ60" s="62">
        <f t="shared" si="38"/>
        <v>640.14375617778342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46.848719082830343</v>
      </c>
      <c r="BQ60" s="23">
        <f>EXP(-LN(2)/25)*BQ59+(1-EXP(-LN(2)/25))/(LN(2)/25)*Calculateur!BL60*Calculateur!BN60*VLOOKUP('Données projet'!$B$11,Paramètres!$A$1:$I$89,3,0)*0.475*44/12</f>
        <v>27.732867983243651</v>
      </c>
      <c r="BR60" s="23">
        <f>EXP(-LN(2)/2)*BR59+(1-EXP(-LN(2)/2))/(LN(2)/2)*BL60*BO60*VLOOKUP('Données projet'!$B$11,Paramètres!$A$1:$I$89,3,0)*0.475*44/12</f>
        <v>7.9599789347066519E-2</v>
      </c>
      <c r="BS60" s="24">
        <f t="shared" si="9"/>
        <v>74.661186855421064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10.552147635000003</v>
      </c>
      <c r="BY60" s="13">
        <f>IF('Données projet'!$A$114&gt;35,BY59+BX60-CG59,IF(A60&lt;'Données projet'!$A$114,$BV$205^A60,IF(A60='Données projet'!$A$114,'Données projet'!$B$114,BY59+BX60-CG59)))</f>
        <v>262.398984095</v>
      </c>
      <c r="BZ60" s="14">
        <f>BY60*VLOOKUP('Données projet'!$B$12,Paramètres!$A$1:$I$89,3,0)*VLOOKUP('Données projet'!$B$12,Paramètres!$A$1:$I$89,5,0)</f>
        <v>122.80272455646001</v>
      </c>
      <c r="CA60" s="14">
        <f t="shared" si="39"/>
        <v>32.327807825877073</v>
      </c>
      <c r="CB60" s="22">
        <f t="shared" si="10"/>
        <v>270.18567723257041</v>
      </c>
      <c r="CC60" s="62">
        <f t="shared" si="11"/>
        <v>529.71231728324813</v>
      </c>
      <c r="CD60" s="62">
        <f ca="1">AVERAGE(OFFSET($CC$3,0,0,'Données projet'!$E$12+1,1))-AVERAGE(OFFSET($H$3,0,0,'Données projet'!$E$12+1,1))</f>
        <v>289.21044803824958</v>
      </c>
      <c r="CE60" s="62">
        <f t="shared" si="40"/>
        <v>196.11836398299445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>
        <f>EXP(-LN(2)/35)*CK59+(1-EXP(-LN(2)/35))/(LN(2)/35)*CG60*CH60*VLOOKUP('Données projet'!$B$12,Paramètres!$A$1:$I$89,3,0)*0.475*44/12</f>
        <v>0</v>
      </c>
      <c r="CL60" s="23">
        <f>EXP(-LN(2)/25)*CL59+(1-EXP(-LN(2)/25))/(LN(2)/25)*Calculateur!CG60*Calculateur!CI60*VLOOKUP('Données projet'!$B$12,Paramètres!$A$1:$I$89,3,0)*0.475*44/12</f>
        <v>12.706101450244674</v>
      </c>
      <c r="CM60" s="23">
        <f>EXP(-LN(2)/2)*CM59+(1-EXP(-LN(2)/2))/(LN(2)/2)*CG60*CJ60*VLOOKUP('Données projet'!$B$12,Paramètres!$A$1:$I$89,3,0)*0.475*44/12</f>
        <v>0</v>
      </c>
      <c r="CN60" s="24">
        <f t="shared" si="12"/>
        <v>12.706101450244674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-5.6843418860808015E-14</v>
      </c>
      <c r="CU60" s="18">
        <f>CT60*VLOOKUP('Données projet'!$B$13,Paramètres!$A$1:$I$89,3,0)*VLOOKUP('Données projet'!$B$13,Paramètres!$A$1:$I$89,5,0)</f>
        <v>-5.1431925385259088E-14</v>
      </c>
      <c r="CV60" s="14" t="e">
        <f t="shared" si="41"/>
        <v>#NUM!</v>
      </c>
      <c r="CW60" s="22" t="e">
        <f t="shared" si="13"/>
        <v>#NUM!</v>
      </c>
      <c r="CX60" s="62" t="e">
        <f t="shared" si="14"/>
        <v>#NUM!</v>
      </c>
      <c r="CY60" s="62">
        <f ca="1">AVERAGE(OFFSET($CX$3,0,0,'Données projet'!$E$13+1,1))-AVERAGE(OFFSET($H$3,0,0,'Données projet'!$E$13+1,1))</f>
        <v>376.68007030857598</v>
      </c>
      <c r="CZ60" s="62">
        <f t="shared" si="42"/>
        <v>532.90758914457626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>
        <f>EXP(-LN(2)/35)*DF59+(1-EXP(-LN(2)/35))/(LN(2)/35)*DB60*DC60*VLOOKUP('Données projet'!$B$13,Paramètres!$A$1:$I$89,3,0)*0.475*44/12</f>
        <v>73.81850863129786</v>
      </c>
      <c r="DG60" s="23">
        <f>EXP(-LN(2)/25)*DG59+(1-EXP(-LN(2)/25))/(LN(2)/25)*Calculateur!DB60*Calculateur!DD60*VLOOKUP('Données projet'!$B$13,Paramètres!$A$1:$I$89,3,0)*0.475*44/12</f>
        <v>6.1967966724766752</v>
      </c>
      <c r="DH60" s="23">
        <f>EXP(-LN(2)/2)*DH59+(1-EXP(-LN(2)/2))/(LN(2)/2)*DB60*DE60*VLOOKUP('Données projet'!$B$13,Paramètres!$A$1:$I$89,3,0)*0.475*44/12</f>
        <v>0</v>
      </c>
      <c r="DI60" s="24">
        <f t="shared" si="15"/>
        <v>80.015305303774539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9.375</v>
      </c>
      <c r="DO60" s="13">
        <f>IF('Données projet'!$A$166&gt;35,DO59+DN60-DW59,IF(A60&lt;'Données projet'!$A$166,$DL$205^A60,IF(A60='Données projet'!$A$166,'Données projet'!$B$166,DO59+DN60-DW59)))</f>
        <v>268.87499999999989</v>
      </c>
      <c r="DP60" s="18">
        <f>DO60*VLOOKUP('Données projet'!$B$14,Paramètres!$A$1:$I$89,3,0)*VLOOKUP('Données projet'!$B$14,Paramètres!$A$1:$I$89,5,0)</f>
        <v>255.86144999999991</v>
      </c>
      <c r="DQ60" s="14">
        <f t="shared" si="43"/>
        <v>61.839384214233355</v>
      </c>
      <c r="DR60" s="22">
        <f t="shared" si="16"/>
        <v>553.32895292312298</v>
      </c>
      <c r="DS60" s="62">
        <f t="shared" si="17"/>
        <v>812.85559297380064</v>
      </c>
      <c r="DT60" s="62">
        <f ca="1">AVERAGE(OFFSET($DS$3,0,0,'Données projet'!$E$14+1,1))-AVERAGE(OFFSET($H$3,0,0,'Données projet'!$E$14+1,1))</f>
        <v>364.63161066507769</v>
      </c>
      <c r="DU60" s="62">
        <f t="shared" si="44"/>
        <v>355.44729904860708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>
        <f>EXP(-LN(2)/35)*EA59+(1-EXP(-LN(2)/35))/(LN(2)/35)*DW60*DX60*VLOOKUP('Données projet'!$B$14,Paramètres!$A$1:$I$89,3,0)*0.475*44/12</f>
        <v>9.8327943462881464</v>
      </c>
      <c r="EB60" s="23">
        <f>EXP(-LN(2)/25)*EB59+(1-EXP(-LN(2)/25))/(LN(2)/25)*Calculateur!DW60*Calculateur!DY60*VLOOKUP('Données projet'!$B$14,Paramètres!$A$1:$I$89,3,0)*0.475*44/12</f>
        <v>0</v>
      </c>
      <c r="EC60" s="23">
        <f>EXP(-LN(2)/2)*EC59+(1-EXP(-LN(2)/2))/(LN(2)/2)*DW60*DZ60*VLOOKUP('Données projet'!$B$14,Paramètres!$A$1:$I$89,3,0)*0.475*44/12</f>
        <v>0</v>
      </c>
      <c r="ED60" s="24">
        <f t="shared" si="18"/>
        <v>9.8327943462881464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9.375</v>
      </c>
      <c r="EJ60" s="13">
        <f>IF('Données projet'!$A$192&gt;35,EJ59+EI60-ER59,IF(A60&lt;'Données projet'!$A$192,$EG$205^A60,IF(A60='Données projet'!$A$192,'Données projet'!$B$192,EJ59+EI60-ER59)))</f>
        <v>268.87499999999989</v>
      </c>
      <c r="EK60" s="18">
        <f>EJ60*VLOOKUP('Données projet'!$B$15,Paramètres!$A$1:$I$89,3,0)*VLOOKUP('Données projet'!$B$15,Paramètres!$A$1:$I$89,5,0)</f>
        <v>197.13914999999989</v>
      </c>
      <c r="EL60" s="14">
        <f t="shared" si="45"/>
        <v>49.11491325632533</v>
      </c>
      <c r="EM60" s="22">
        <f t="shared" si="19"/>
        <v>428.89249350476643</v>
      </c>
      <c r="EN60" s="62">
        <f t="shared" si="20"/>
        <v>688.4191335554442</v>
      </c>
      <c r="EO60" s="62">
        <f ca="1">AVERAGE(OFFSET($EN$3,0,0,'Données projet'!$E$15+1,1))-AVERAGE(OFFSET($H$3,0,0,'Données projet'!$E$15+1,1))</f>
        <v>293.59366973965774</v>
      </c>
      <c r="EP60" s="62">
        <f t="shared" si="46"/>
        <v>288.13804536120426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>
        <f>EXP(-LN(2)/35)*EV59+(1-EXP(-LN(2)/35))/(LN(2)/35)*ER60*ES60*VLOOKUP('Données projet'!$B$15,Paramètres!$A$1:$I$89,3,0)*0.475*44/12</f>
        <v>7.5760874471400452</v>
      </c>
      <c r="EW60" s="23">
        <f>EXP(-LN(2)/25)*EW59+(1-EXP(-LN(2)/25))/(LN(2)/25)*Calculateur!ER60*Calculateur!ET60*VLOOKUP('Données projet'!$B$15,Paramètres!$A$1:$I$89,3,0)*0.475*44/12</f>
        <v>0</v>
      </c>
      <c r="EX60" s="23">
        <f>EXP(-LN(2)/2)*EX59+(1-EXP(-LN(2)/2))/(LN(2)/2)*ER60*EU60*VLOOKUP('Données projet'!$B$15,Paramètres!$A$1:$I$89,3,0)*0.475*44/12</f>
        <v>0</v>
      </c>
      <c r="EY60" s="24">
        <f t="shared" si="21"/>
        <v>7.5760874471400452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9.375</v>
      </c>
      <c r="FE60" s="13">
        <f>IF('Données projet'!$A$218&gt;35,FE59+FD60-FM59,IF(A60&lt;'Données projet'!$A$218,$FB$205^A60,IF(A60='Données projet'!$A$218,'Données projet'!$B$218,FE59+FD60-FM59)))</f>
        <v>268.87499999999989</v>
      </c>
      <c r="FF60" s="18">
        <f>FE60*VLOOKUP('Données projet'!$B$16,Paramètres!$A$1:$I$89,3,0)*VLOOKUP('Données projet'!$B$16,Paramètres!$A$1:$I$89,5,0)</f>
        <v>260.05589999999989</v>
      </c>
      <c r="FG60" s="14">
        <f t="shared" si="47"/>
        <v>62.734293428104266</v>
      </c>
      <c r="FH60" s="22">
        <f t="shared" si="22"/>
        <v>562.19292022061472</v>
      </c>
      <c r="FI60" s="62">
        <f t="shared" si="23"/>
        <v>821.71956027129249</v>
      </c>
      <c r="FJ60" s="62">
        <f ca="1">AVERAGE(OFFSET($FI$3,0,0,'Données projet'!$E$16+1,1))-AVERAGE(OFFSET($H$3,0,0,'Données projet'!$E$16+1,1))</f>
        <v>369.69145521630799</v>
      </c>
      <c r="FK60" s="62">
        <f t="shared" si="48"/>
        <v>360.24112103688719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>
        <f>EXP(-LN(2)/35)*FQ59+(1-EXP(-LN(2)/35))/(LN(2)/35)*FM60*FN60*VLOOKUP('Données projet'!$B$16,Paramètres!$A$1:$I$89,3,0)*0.475*44/12</f>
        <v>9.9939876962272969</v>
      </c>
      <c r="FR60" s="23">
        <f>EXP(-LN(2)/25)*FR59+(1-EXP(-LN(2)/25))/(LN(2)/25)*Calculateur!FM60*Calculateur!FO60*VLOOKUP('Données projet'!$B$16,Paramètres!$A$1:$I$89,3,0)*0.475*44/12</f>
        <v>0</v>
      </c>
      <c r="FS60" s="23">
        <f>EXP(-LN(2)/2)*FS59+(1-EXP(-LN(2)/2))/(LN(2)/2)*FM60*FP60*VLOOKUP('Données projet'!$B$16,Paramètres!$A$1:$I$89,3,0)*0.475*44/12</f>
        <v>0</v>
      </c>
      <c r="FT60" s="24">
        <f t="shared" si="24"/>
        <v>9.9939876962272969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9.375</v>
      </c>
      <c r="FZ60" s="13">
        <f>IF('Données projet'!$A$244&gt;35,FZ59+FY60-GH59,IF(A60&lt;'Données projet'!$A$244,$FW$205^A60,IF(A60='Données projet'!$A$244,'Données projet'!$B$244,FZ59+FY60-GH59)))</f>
        <v>268.87499999999989</v>
      </c>
      <c r="GA60" s="18">
        <f>FZ60*VLOOKUP('Données projet'!$B$17,Paramètres!$A$1:$I$89,3,0)*VLOOKUP('Données projet'!$B$17,Paramètres!$A$1:$I$89,5,0)</f>
        <v>289.41704999999985</v>
      </c>
      <c r="GB60" s="14">
        <f t="shared" si="49"/>
        <v>68.953254747318525</v>
      </c>
      <c r="GC60" s="22">
        <f t="shared" si="25"/>
        <v>624.16161410157952</v>
      </c>
      <c r="GD60" s="62">
        <f t="shared" si="26"/>
        <v>883.68825415225729</v>
      </c>
      <c r="GE60" s="62">
        <f ca="1">AVERAGE(OFFSET($GD$3,0,0,'Données projet'!$E$17+1,1))-AVERAGE(OFFSET($H$3,0,0,'Données projet'!$E$17+1,1))</f>
        <v>405.06394904053946</v>
      </c>
      <c r="GF60" s="62">
        <f t="shared" si="50"/>
        <v>393.75247087518198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>
        <f>EXP(-LN(2)/35)*GL59+(1-EXP(-LN(2)/35))/(LN(2)/35)*GH60*GI60*VLOOKUP('Données projet'!$B$17,Paramètres!$A$1:$I$89,3,0)*0.475*44/12</f>
        <v>11.122341145801343</v>
      </c>
      <c r="GM60" s="23">
        <f>EXP(-LN(2)/25)*GM59+(1-EXP(-LN(2)/25))/(LN(2)/25)*Calculateur!GH60*Calculateur!GJ60*VLOOKUP('Données projet'!$B$17,Paramètres!$A$1:$I$89,3,0)*0.475*44/12</f>
        <v>0</v>
      </c>
      <c r="GN60" s="23">
        <f>EXP(-LN(2)/2)*GN59+(1-EXP(-LN(2)/2))/(LN(2)/2)*GH60*GK60*VLOOKUP('Données projet'!$B$17,Paramètres!$A$1:$I$89,3,0)*0.475*44/12</f>
        <v>0</v>
      </c>
      <c r="GO60" s="23">
        <f t="shared" si="27"/>
        <v>11.122341145801343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9.375</v>
      </c>
      <c r="GU60" s="13">
        <f>IF('Données projet'!$A$270&gt;35,GU59+GT60-HC59,IF(A60&lt;'Données projet'!$A$270,$GR$205^A60,IF(A60='Données projet'!$A$270,'Données projet'!$B$270,GU59+GT60-HC59)))</f>
        <v>268.87499999999989</v>
      </c>
      <c r="GV60" s="18">
        <f>GU60*VLOOKUP('Données projet'!$B$18,Paramètres!$A$1:$I$89,3,0)*VLOOKUP('Données projet'!$B$18,Paramètres!$A$1:$I$89,5,0)</f>
        <v>180.36134999999993</v>
      </c>
      <c r="GW60" s="14">
        <f t="shared" si="51"/>
        <v>45.402570498174285</v>
      </c>
      <c r="GX60" s="22">
        <f t="shared" si="28"/>
        <v>393.20549486765344</v>
      </c>
      <c r="GY60" s="62">
        <f t="shared" si="29"/>
        <v>652.73213491833121</v>
      </c>
      <c r="GZ60" s="62">
        <f ca="1">AVERAGE(OFFSET($GY$3,0,0,'Données projet'!$E$18+1,1))-AVERAGE(OFFSET($H$3,0,0,'Données projet'!$E$18+1,1))</f>
        <v>273.21861937609918</v>
      </c>
      <c r="HA60" s="62">
        <f t="shared" si="52"/>
        <v>268.83004886965318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>
        <f>EXP(-LN(2)/35)*HG59+(1-EXP(-LN(2)/35))/(LN(2)/35)*HC60*HD60*VLOOKUP('Données projet'!$B$18,Paramètres!$A$1:$I$89,3,0)*0.475*44/12</f>
        <v>8.5432475467749445</v>
      </c>
      <c r="HH60" s="23">
        <f>EXP(-LN(2)/25)*HH59+(1-EXP(-LN(2)/25))/(LN(2)/25)*Calculateur!HC60*Calculateur!HE60*VLOOKUP('Données projet'!$B$18,Paramètres!$A$1:$I$89,3,0)*0.475*44/12</f>
        <v>0</v>
      </c>
      <c r="HI60" s="23">
        <f>EXP(-LN(2)/2)*HI59+(1-EXP(-LN(2)/2))/(LN(2)/2)*HC60*HF60*VLOOKUP('Données projet'!$B$18,Paramètres!$A$1:$I$89,3,0)*0.475*44/12</f>
        <v>0</v>
      </c>
      <c r="HJ60" s="24">
        <f t="shared" si="30"/>
        <v>8.5432475467749445</v>
      </c>
    </row>
    <row r="61" spans="1:218" s="5" customFormat="1" x14ac:dyDescent="0.4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 t="e">
        <f>VLOOKUP(A61,'Données projet'!$A$35:$I$55,2,0)</f>
        <v>#N/A</v>
      </c>
      <c r="L61" s="13" t="e">
        <f>VLOOKUP(A61,'Données projet'!$A$35:$I$55,9,0)</f>
        <v>#N/A</v>
      </c>
      <c r="M61" s="13">
        <f t="array" ref="M61">INDEX(L:L,MIN(IF(ISNUMBER(L61:L257),ROW(L61:L257),"")))</f>
        <v>6.125</v>
      </c>
      <c r="N61" s="14">
        <f>IF('Données projet'!$A$36&gt;35,N60+M61-V60,IF(A61&lt;'Données projet'!$A$36,$K$205^A61,IF(A61='Données projet'!$A$36,'Données projet'!$B$36,N60+M61-V60)))</f>
        <v>134.75000000000006</v>
      </c>
      <c r="O61" s="14">
        <f>N61*VLOOKUP('Données projet'!$B$9,Paramètres!$A$1:$I$89,3,0)*VLOOKUP('Données projet'!$B$9,Paramètres!$A$1:$I$89,5,0)</f>
        <v>121.92180000000005</v>
      </c>
      <c r="P61" s="14">
        <f t="shared" si="33"/>
        <v>32.122812272066035</v>
      </c>
      <c r="Q61" s="22">
        <f t="shared" si="53"/>
        <v>268.29436637384839</v>
      </c>
      <c r="R61" s="62">
        <f t="shared" si="0"/>
        <v>528.40747697253687</v>
      </c>
      <c r="S61" s="62">
        <f ca="1">AVERAGE(OFFSET($R$3,0,0,'Données projet'!$E$9+1,1))-AVERAGE(OFFSET($H$3,0,0,'Données projet'!$E$9+1,1))</f>
        <v>432.80275651765203</v>
      </c>
      <c r="T61" s="62">
        <f t="shared" si="34"/>
        <v>203.89279893419919</v>
      </c>
      <c r="U61" s="16">
        <f>IF(ISNA(VLOOKUP(A61,'Données projet'!$A$35:$I$55,3,0)),0,VLOOKUP(A61,'Données projet'!$A$35:$I$55,3,0))</f>
        <v>0</v>
      </c>
      <c r="V61" s="16">
        <f>IF(ISNA(VLOOKUP(A61,'Données projet'!$A$35:$I$55,4,0)),0,VLOOKUP(A61,'Données projet'!$A$35:$I$55,4,0))</f>
        <v>0</v>
      </c>
      <c r="W61" s="17">
        <f>IF(ISNA(VLOOKUP(A61,'Données projet'!$A$35:$I$55,5,0)),0%,VLOOKUP(A61,'Données projet'!$A$35:$I$55,5,0)*VLOOKUP('Données projet'!$B$9,Paramètres!$A$1:$I$89,7,0))</f>
        <v>0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</v>
      </c>
      <c r="Z61" s="23">
        <f>EXP(-LN(2)/35)*Z60+(1-EXP(-LN(2)/35))/(LN(2)/35)*V61*W61*VLOOKUP('Données projet'!$B$9,Paramètres!$A$1:$I$89,3,0)*0.475*44/12</f>
        <v>0</v>
      </c>
      <c r="AA61" s="23">
        <f>EXP(-LN(2)/25)*AA60+(1-EXP(-LN(2)/25))/(LN(2)/25)*Calculateur!V61*Calculateur!X61*VLOOKUP('Données projet'!$B$9,Paramètres!$A$1:$I$89,3,0)*0.475*44/12</f>
        <v>0</v>
      </c>
      <c r="AB61" s="23">
        <f>EXP(-LN(2)/2)*AB60+(1-EXP(-LN(2)/2))/(LN(2)/2)*V61*Y61*VLOOKUP('Données projet'!$B$9,Paramètres!$A$1:$I$89,3,0)*0.475*44/12</f>
        <v>0</v>
      </c>
      <c r="AC61" s="24">
        <f t="shared" si="3"/>
        <v>0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15.8</v>
      </c>
      <c r="AI61" s="14">
        <f>IF('Données projet'!$A$62&gt;35,AI60+AH61-AQ60,IF(A61&lt;'Données projet'!$A$62,$AF$205^A61,IF(A61='Données projet'!$A$62,'Données projet'!$B$62,AI60+AH61-AQ60)))</f>
        <v>655.40000000000066</v>
      </c>
      <c r="AJ61" s="14">
        <f>AI61*VLOOKUP('Données projet'!$B$10,Paramètres!$A$1:$I$89,3,0)*VLOOKUP('Données projet'!$B$10,Paramètres!$A$1:$I$89,5,0)</f>
        <v>289.68680000000035</v>
      </c>
      <c r="AK61" s="14">
        <f t="shared" si="35"/>
        <v>69.01003852320288</v>
      </c>
      <c r="AL61" s="22">
        <f t="shared" si="4"/>
        <v>624.73032709457891</v>
      </c>
      <c r="AM61" s="62">
        <f t="shared" si="5"/>
        <v>884.84343769326733</v>
      </c>
      <c r="AN61" s="62">
        <f ca="1">AVERAGE(OFFSET($AM$3,0,0,'Données projet'!$E$10+1,1))-AVERAGE(OFFSET($H$3,0,0,'Données projet'!$E$10+1,1))</f>
        <v>413.08876898406481</v>
      </c>
      <c r="AO61" s="62">
        <f t="shared" si="36"/>
        <v>520.31320932826566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36.31677919538248</v>
      </c>
      <c r="AV61" s="23">
        <f>EXP(-LN(2)/25)*AV60+(1-EXP(-LN(2)/25))/(LN(2)/25)*Calculateur!AQ61*Calculateur!AS61*VLOOKUP('Données projet'!$B$10,Paramètres!$A$1:$I$89,3,0)*0.475*44/12</f>
        <v>21.328683313821998</v>
      </c>
      <c r="AW61" s="23">
        <f>EXP(-LN(2)/2)*AW60+(1-EXP(-LN(2)/2))/(LN(2)/2)*AQ61*AT61*VLOOKUP('Données projet'!$B$10,Paramètres!$A$1:$I$89,3,0)*0.475*44/12</f>
        <v>4.4504854143331808E-2</v>
      </c>
      <c r="AX61" s="23">
        <f t="shared" si="6"/>
        <v>57.689967363347812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15.8</v>
      </c>
      <c r="BD61" s="13">
        <f>IF('Données projet'!$A$88&gt;35,BD60+BC61-BL60,IF(A61&lt;'Données projet'!$A$88,$BA$205^A61,IF(A61='Données projet'!$A$88,'Données projet'!$B$88,BD60+BC61-BL60)))</f>
        <v>655.40000000000066</v>
      </c>
      <c r="BE61" s="14">
        <f>BD61*VLOOKUP('Données projet'!$B$11,Paramètres!$A$1:$I$89,3,0)*VLOOKUP('Données projet'!$B$11,Paramètres!$A$1:$I$89,5,0)</f>
        <v>366.36860000000041</v>
      </c>
      <c r="BF61" s="14">
        <f t="shared" si="37"/>
        <v>84.923957848244939</v>
      </c>
      <c r="BG61" s="22">
        <f t="shared" si="7"/>
        <v>786.00120491902726</v>
      </c>
      <c r="BH61" s="62">
        <f t="shared" si="8"/>
        <v>1046.1143155177156</v>
      </c>
      <c r="BI61" s="62">
        <f ca="1">AVERAGE(OFFSET($BH$3,0,0,'Données projet'!$E$11+1,1))-AVERAGE(OFFSET($H$3,0,0,'Données projet'!$E$11+1,1))</f>
        <v>507.66185230065889</v>
      </c>
      <c r="BJ61" s="62">
        <f t="shared" si="38"/>
        <v>640.14375617778342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45.930044276513144</v>
      </c>
      <c r="BQ61" s="23">
        <f>EXP(-LN(2)/25)*BQ60+(1-EXP(-LN(2)/25))/(LN(2)/25)*Calculateur!BL61*Calculateur!BN61*VLOOKUP('Données projet'!$B$11,Paramètres!$A$1:$I$89,3,0)*0.475*44/12</f>
        <v>26.974511249833711</v>
      </c>
      <c r="BR61" s="23">
        <f>EXP(-LN(2)/2)*BR60+(1-EXP(-LN(2)/2))/(LN(2)/2)*BL61*BO61*VLOOKUP('Données projet'!$B$11,Paramètres!$A$1:$I$89,3,0)*0.475*44/12</f>
        <v>5.6285550828331442E-2</v>
      </c>
      <c r="BS61" s="24">
        <f t="shared" si="9"/>
        <v>72.960841077175189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10.552147635000003</v>
      </c>
      <c r="BY61" s="13">
        <f>IF('Données projet'!$A$114&gt;35,BY60+BX61-CG60,IF(A61&lt;'Données projet'!$A$114,$BV$205^A61,IF(A61='Données projet'!$A$114,'Données projet'!$B$114,BY60+BX61-CG60)))</f>
        <v>272.95113172999999</v>
      </c>
      <c r="BZ61" s="14">
        <f>BY61*VLOOKUP('Données projet'!$B$12,Paramètres!$A$1:$I$89,3,0)*VLOOKUP('Données projet'!$B$12,Paramètres!$A$1:$I$89,5,0)</f>
        <v>127.74112964964</v>
      </c>
      <c r="CA61" s="14">
        <f t="shared" si="39"/>
        <v>33.473869425864343</v>
      </c>
      <c r="CB61" s="22">
        <f t="shared" si="10"/>
        <v>280.78279005650342</v>
      </c>
      <c r="CC61" s="62">
        <f t="shared" si="11"/>
        <v>540.89590065519178</v>
      </c>
      <c r="CD61" s="62">
        <f ca="1">AVERAGE(OFFSET($CC$3,0,0,'Données projet'!$E$12+1,1))-AVERAGE(OFFSET($H$3,0,0,'Données projet'!$E$12+1,1))</f>
        <v>289.21044803824958</v>
      </c>
      <c r="CE61" s="62">
        <f t="shared" si="40"/>
        <v>196.11836398299445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>
        <f>EXP(-LN(2)/35)*CK60+(1-EXP(-LN(2)/35))/(LN(2)/35)*CG61*CH61*VLOOKUP('Données projet'!$B$12,Paramètres!$A$1:$I$89,3,0)*0.475*44/12</f>
        <v>0</v>
      </c>
      <c r="CL61" s="23">
        <f>EXP(-LN(2)/25)*CL60+(1-EXP(-LN(2)/25))/(LN(2)/25)*Calculateur!CG61*Calculateur!CI61*VLOOKUP('Données projet'!$B$12,Paramètres!$A$1:$I$89,3,0)*0.475*44/12</f>
        <v>12.358652437902899</v>
      </c>
      <c r="CM61" s="23">
        <f>EXP(-LN(2)/2)*CM60+(1-EXP(-LN(2)/2))/(LN(2)/2)*CG61*CJ61*VLOOKUP('Données projet'!$B$12,Paramètres!$A$1:$I$89,3,0)*0.475*44/12</f>
        <v>0</v>
      </c>
      <c r="CN61" s="24">
        <f t="shared" si="12"/>
        <v>12.358652437902899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-5.6843418860808015E-14</v>
      </c>
      <c r="CU61" s="18">
        <f>CT61*VLOOKUP('Données projet'!$B$13,Paramètres!$A$1:$I$89,3,0)*VLOOKUP('Données projet'!$B$13,Paramètres!$A$1:$I$89,5,0)</f>
        <v>-5.1431925385259088E-14</v>
      </c>
      <c r="CV61" s="14" t="e">
        <f t="shared" si="41"/>
        <v>#NUM!</v>
      </c>
      <c r="CW61" s="22" t="e">
        <f t="shared" si="13"/>
        <v>#NUM!</v>
      </c>
      <c r="CX61" s="62" t="e">
        <f t="shared" si="14"/>
        <v>#NUM!</v>
      </c>
      <c r="CY61" s="62">
        <f ca="1">AVERAGE(OFFSET($CX$3,0,0,'Données projet'!$E$13+1,1))-AVERAGE(OFFSET($H$3,0,0,'Données projet'!$E$13+1,1))</f>
        <v>376.68007030857598</v>
      </c>
      <c r="CZ61" s="62">
        <f t="shared" si="42"/>
        <v>532.90758914457626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>
        <f>EXP(-LN(2)/35)*DF60+(1-EXP(-LN(2)/35))/(LN(2)/35)*DB61*DC61*VLOOKUP('Données projet'!$B$13,Paramètres!$A$1:$I$89,3,0)*0.475*44/12</f>
        <v>72.370972701882536</v>
      </c>
      <c r="DG61" s="23">
        <f>EXP(-LN(2)/25)*DG60+(1-EXP(-LN(2)/25))/(LN(2)/25)*Calculateur!DB61*Calculateur!DD61*VLOOKUP('Données projet'!$B$13,Paramètres!$A$1:$I$89,3,0)*0.475*44/12</f>
        <v>6.0273449415924265</v>
      </c>
      <c r="DH61" s="23">
        <f>EXP(-LN(2)/2)*DH60+(1-EXP(-LN(2)/2))/(LN(2)/2)*DB61*DE61*VLOOKUP('Données projet'!$B$13,Paramètres!$A$1:$I$89,3,0)*0.475*44/12</f>
        <v>0</v>
      </c>
      <c r="DI61" s="24">
        <f t="shared" si="15"/>
        <v>78.398317643474968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9.375</v>
      </c>
      <c r="DO61" s="13">
        <f>IF('Données projet'!$A$166&gt;35,DO60+DN61-DW60,IF(A61&lt;'Données projet'!$A$166,$DL$205^A61,IF(A61='Données projet'!$A$166,'Données projet'!$B$166,DO60+DN61-DW60)))</f>
        <v>278.24999999999989</v>
      </c>
      <c r="DP61" s="18">
        <f>DO61*VLOOKUP('Données projet'!$B$14,Paramètres!$A$1:$I$89,3,0)*VLOOKUP('Données projet'!$B$14,Paramètres!$A$1:$I$89,5,0)</f>
        <v>264.78269999999992</v>
      </c>
      <c r="DQ61" s="14">
        <f t="shared" si="43"/>
        <v>63.740772280011214</v>
      </c>
      <c r="DR61" s="22">
        <f t="shared" si="16"/>
        <v>572.17838088768599</v>
      </c>
      <c r="DS61" s="62">
        <f t="shared" si="17"/>
        <v>832.29149148637441</v>
      </c>
      <c r="DT61" s="62">
        <f ca="1">AVERAGE(OFFSET($DS$3,0,0,'Données projet'!$E$14+1,1))-AVERAGE(OFFSET($H$3,0,0,'Données projet'!$E$14+1,1))</f>
        <v>364.63161066507769</v>
      </c>
      <c r="DU61" s="62">
        <f t="shared" si="44"/>
        <v>355.44729904860708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>
        <f>EXP(-LN(2)/35)*EA60+(1-EXP(-LN(2)/35))/(LN(2)/35)*DW61*DX61*VLOOKUP('Données projet'!$B$14,Paramètres!$A$1:$I$89,3,0)*0.475*44/12</f>
        <v>9.6399792465697924</v>
      </c>
      <c r="EB61" s="23">
        <f>EXP(-LN(2)/25)*EB60+(1-EXP(-LN(2)/25))/(LN(2)/25)*Calculateur!DW61*Calculateur!DY61*VLOOKUP('Données projet'!$B$14,Paramètres!$A$1:$I$89,3,0)*0.475*44/12</f>
        <v>0</v>
      </c>
      <c r="EC61" s="23">
        <f>EXP(-LN(2)/2)*EC60+(1-EXP(-LN(2)/2))/(LN(2)/2)*DW61*DZ61*VLOOKUP('Données projet'!$B$14,Paramètres!$A$1:$I$89,3,0)*0.475*44/12</f>
        <v>0</v>
      </c>
      <c r="ED61" s="24">
        <f t="shared" si="18"/>
        <v>9.6399792465697924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9.375</v>
      </c>
      <c r="EJ61" s="13">
        <f>IF('Données projet'!$A$192&gt;35,EJ60+EI61-ER60,IF(A61&lt;'Données projet'!$A$192,$EG$205^A61,IF(A61='Données projet'!$A$192,'Données projet'!$B$192,EJ60+EI61-ER60)))</f>
        <v>278.24999999999989</v>
      </c>
      <c r="EK61" s="18">
        <f>EJ61*VLOOKUP('Données projet'!$B$15,Paramètres!$A$1:$I$89,3,0)*VLOOKUP('Données projet'!$B$15,Paramètres!$A$1:$I$89,5,0)</f>
        <v>204.01289999999992</v>
      </c>
      <c r="EL61" s="14">
        <f t="shared" si="45"/>
        <v>50.62505943749958</v>
      </c>
      <c r="EM61" s="22">
        <f t="shared" si="19"/>
        <v>443.49444602031161</v>
      </c>
      <c r="EN61" s="62">
        <f t="shared" si="20"/>
        <v>703.60755661899998</v>
      </c>
      <c r="EO61" s="62">
        <f ca="1">AVERAGE(OFFSET($EN$3,0,0,'Données projet'!$E$15+1,1))-AVERAGE(OFFSET($H$3,0,0,'Données projet'!$E$15+1,1))</f>
        <v>293.59366973965774</v>
      </c>
      <c r="EP61" s="62">
        <f t="shared" si="46"/>
        <v>288.13804536120426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>
        <f>EXP(-LN(2)/35)*EV60+(1-EXP(-LN(2)/35))/(LN(2)/35)*ER61*ES61*VLOOKUP('Données projet'!$B$15,Paramètres!$A$1:$I$89,3,0)*0.475*44/12</f>
        <v>7.4275249932586904</v>
      </c>
      <c r="EW61" s="23">
        <f>EXP(-LN(2)/25)*EW60+(1-EXP(-LN(2)/25))/(LN(2)/25)*Calculateur!ER61*Calculateur!ET61*VLOOKUP('Données projet'!$B$15,Paramètres!$A$1:$I$89,3,0)*0.475*44/12</f>
        <v>0</v>
      </c>
      <c r="EX61" s="23">
        <f>EXP(-LN(2)/2)*EX60+(1-EXP(-LN(2)/2))/(LN(2)/2)*ER61*EU61*VLOOKUP('Données projet'!$B$15,Paramètres!$A$1:$I$89,3,0)*0.475*44/12</f>
        <v>0</v>
      </c>
      <c r="EY61" s="24">
        <f t="shared" si="21"/>
        <v>7.4275249932586904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9.375</v>
      </c>
      <c r="FE61" s="13">
        <f>IF('Données projet'!$A$218&gt;35,FE60+FD61-FM60,IF(A61&lt;'Données projet'!$A$218,$FB$205^A61,IF(A61='Données projet'!$A$218,'Données projet'!$B$218,FE60+FD61-FM60)))</f>
        <v>278.24999999999989</v>
      </c>
      <c r="FF61" s="18">
        <f>FE61*VLOOKUP('Données projet'!$B$16,Paramètres!$A$1:$I$89,3,0)*VLOOKUP('Données projet'!$B$16,Paramètres!$A$1:$I$89,5,0)</f>
        <v>269.12339999999989</v>
      </c>
      <c r="FG61" s="14">
        <f t="shared" si="47"/>
        <v>64.663197448654799</v>
      </c>
      <c r="FH61" s="22">
        <f t="shared" si="22"/>
        <v>581.34499055640697</v>
      </c>
      <c r="FI61" s="62">
        <f t="shared" si="23"/>
        <v>841.45810115509539</v>
      </c>
      <c r="FJ61" s="62">
        <f ca="1">AVERAGE(OFFSET($FI$3,0,0,'Données projet'!$E$16+1,1))-AVERAGE(OFFSET($H$3,0,0,'Données projet'!$E$16+1,1))</f>
        <v>369.69145521630799</v>
      </c>
      <c r="FK61" s="62">
        <f t="shared" si="48"/>
        <v>360.24112103688719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>
        <f>EXP(-LN(2)/35)*FQ60+(1-EXP(-LN(2)/35))/(LN(2)/35)*FM61*FN61*VLOOKUP('Données projet'!$B$16,Paramètres!$A$1:$I$89,3,0)*0.475*44/12</f>
        <v>9.7980116932348711</v>
      </c>
      <c r="FR61" s="23">
        <f>EXP(-LN(2)/25)*FR60+(1-EXP(-LN(2)/25))/(LN(2)/25)*Calculateur!FM61*Calculateur!FO61*VLOOKUP('Données projet'!$B$16,Paramètres!$A$1:$I$89,3,0)*0.475*44/12</f>
        <v>0</v>
      </c>
      <c r="FS61" s="23">
        <f>EXP(-LN(2)/2)*FS60+(1-EXP(-LN(2)/2))/(LN(2)/2)*FM61*FP61*VLOOKUP('Données projet'!$B$16,Paramètres!$A$1:$I$89,3,0)*0.475*44/12</f>
        <v>0</v>
      </c>
      <c r="FT61" s="24">
        <f t="shared" si="24"/>
        <v>9.7980116932348711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9.375</v>
      </c>
      <c r="FZ61" s="13">
        <f>IF('Données projet'!$A$244&gt;35,FZ60+FY61-GH60,IF(A61&lt;'Données projet'!$A$244,$FW$205^A61,IF(A61='Données projet'!$A$244,'Données projet'!$B$244,FZ60+FY61-GH60)))</f>
        <v>278.24999999999989</v>
      </c>
      <c r="GA61" s="18">
        <f>FZ61*VLOOKUP('Données projet'!$B$17,Paramètres!$A$1:$I$89,3,0)*VLOOKUP('Données projet'!$B$17,Paramètres!$A$1:$I$89,5,0)</f>
        <v>299.50829999999985</v>
      </c>
      <c r="GB61" s="14">
        <f t="shared" si="49"/>
        <v>71.073374430575583</v>
      </c>
      <c r="GC61" s="22">
        <f t="shared" si="25"/>
        <v>645.4297496332523</v>
      </c>
      <c r="GD61" s="62">
        <f t="shared" si="26"/>
        <v>905.54286023194072</v>
      </c>
      <c r="GE61" s="62">
        <f ca="1">AVERAGE(OFFSET($GD$3,0,0,'Données projet'!$E$17+1,1))-AVERAGE(OFFSET($H$3,0,0,'Données projet'!$E$17+1,1))</f>
        <v>405.06394904053946</v>
      </c>
      <c r="GF61" s="62">
        <f t="shared" si="50"/>
        <v>393.75247087518198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>
        <f>EXP(-LN(2)/35)*GL60+(1-EXP(-LN(2)/35))/(LN(2)/35)*GH61*GI61*VLOOKUP('Données projet'!$B$17,Paramètres!$A$1:$I$89,3,0)*0.475*44/12</f>
        <v>10.904238819890418</v>
      </c>
      <c r="GM61" s="23">
        <f>EXP(-LN(2)/25)*GM60+(1-EXP(-LN(2)/25))/(LN(2)/25)*Calculateur!GH61*Calculateur!GJ61*VLOOKUP('Données projet'!$B$17,Paramètres!$A$1:$I$89,3,0)*0.475*44/12</f>
        <v>0</v>
      </c>
      <c r="GN61" s="23">
        <f>EXP(-LN(2)/2)*GN60+(1-EXP(-LN(2)/2))/(LN(2)/2)*GH61*GK61*VLOOKUP('Données projet'!$B$17,Paramètres!$A$1:$I$89,3,0)*0.475*44/12</f>
        <v>0</v>
      </c>
      <c r="GO61" s="23">
        <f t="shared" si="27"/>
        <v>10.904238819890418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9.375</v>
      </c>
      <c r="GU61" s="13">
        <f>IF('Données projet'!$A$270&gt;35,GU60+GT61-HC60,IF(A61&lt;'Données projet'!$A$270,$GR$205^A61,IF(A61='Données projet'!$A$270,'Données projet'!$B$270,GU60+GT61-HC60)))</f>
        <v>278.24999999999989</v>
      </c>
      <c r="GV61" s="18">
        <f>GU61*VLOOKUP('Données projet'!$B$18,Paramètres!$A$1:$I$89,3,0)*VLOOKUP('Données projet'!$B$18,Paramètres!$A$1:$I$89,5,0)</f>
        <v>186.65009999999992</v>
      </c>
      <c r="GW61" s="14">
        <f t="shared" si="51"/>
        <v>46.798572525002349</v>
      </c>
      <c r="GX61" s="22">
        <f t="shared" si="28"/>
        <v>406.58977131437899</v>
      </c>
      <c r="GY61" s="62">
        <f t="shared" si="29"/>
        <v>666.70288191306736</v>
      </c>
      <c r="GZ61" s="62">
        <f ca="1">AVERAGE(OFFSET($GY$3,0,0,'Données projet'!$E$18+1,1))-AVERAGE(OFFSET($H$3,0,0,'Données projet'!$E$18+1,1))</f>
        <v>273.21861937609918</v>
      </c>
      <c r="HA61" s="62">
        <f t="shared" si="52"/>
        <v>268.83004886965318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>
        <f>EXP(-LN(2)/35)*HG60+(1-EXP(-LN(2)/35))/(LN(2)/35)*HC61*HD61*VLOOKUP('Données projet'!$B$18,Paramètres!$A$1:$I$89,3,0)*0.475*44/12</f>
        <v>8.3757196732491614</v>
      </c>
      <c r="HH61" s="23">
        <f>EXP(-LN(2)/25)*HH60+(1-EXP(-LN(2)/25))/(LN(2)/25)*Calculateur!HC61*Calculateur!HE61*VLOOKUP('Données projet'!$B$18,Paramètres!$A$1:$I$89,3,0)*0.475*44/12</f>
        <v>0</v>
      </c>
      <c r="HI61" s="23">
        <f>EXP(-LN(2)/2)*HI60+(1-EXP(-LN(2)/2))/(LN(2)/2)*HC61*HF61*VLOOKUP('Données projet'!$B$18,Paramètres!$A$1:$I$89,3,0)*0.475*44/12</f>
        <v>0</v>
      </c>
      <c r="HJ61" s="24">
        <f t="shared" si="30"/>
        <v>8.3757196732491614</v>
      </c>
    </row>
    <row r="62" spans="1:218" s="5" customFormat="1" x14ac:dyDescent="0.4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6.125</v>
      </c>
      <c r="N62" s="14">
        <f>IF('Données projet'!$A$36&gt;35,N61+M62-V61,IF(A62&lt;'Données projet'!$A$36,$K$205^A62,IF(A62='Données projet'!$A$36,'Données projet'!$B$36,N61+M62-V61)))</f>
        <v>140.87500000000006</v>
      </c>
      <c r="O62" s="14">
        <f>N62*VLOOKUP('Données projet'!$B$9,Paramètres!$A$1:$I$89,3,0)*VLOOKUP('Données projet'!$B$9,Paramètres!$A$1:$I$89,5,0)</f>
        <v>127.46370000000005</v>
      </c>
      <c r="P62" s="14">
        <f t="shared" si="33"/>
        <v>33.409624522319149</v>
      </c>
      <c r="Q62" s="22">
        <f t="shared" si="53"/>
        <v>280.1877068763726</v>
      </c>
      <c r="R62" s="62">
        <f t="shared" si="0"/>
        <v>540.87711407021538</v>
      </c>
      <c r="S62" s="62">
        <f ca="1">AVERAGE(OFFSET($R$3,0,0,'Données projet'!$E$9+1,1))-AVERAGE(OFFSET($H$3,0,0,'Données projet'!$E$9+1,1))</f>
        <v>432.80275651765203</v>
      </c>
      <c r="T62" s="62">
        <f t="shared" si="34"/>
        <v>203.89279893419919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0</v>
      </c>
      <c r="AA62" s="23">
        <f>EXP(-LN(2)/25)*AA61+(1-EXP(-LN(2)/25))/(LN(2)/25)*Calculateur!V62*Calculateur!X62*VLOOKUP('Données projet'!$B$9,Paramètres!$A$1:$I$89,3,0)*0.475*44/12</f>
        <v>0</v>
      </c>
      <c r="AB62" s="23">
        <f>EXP(-LN(2)/2)*AB61+(1-EXP(-LN(2)/2))/(LN(2)/2)*V62*Y62*VLOOKUP('Données projet'!$B$9,Paramètres!$A$1:$I$89,3,0)*0.475*44/12</f>
        <v>0</v>
      </c>
      <c r="AC62" s="24">
        <f t="shared" si="3"/>
        <v>0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15.8</v>
      </c>
      <c r="AI62" s="14">
        <f>IF('Données projet'!$A$62&gt;35,AI61+AH62-AQ61,IF(A62&lt;'Données projet'!$A$62,$AF$205^A62,IF(A62='Données projet'!$A$62,'Données projet'!$B$62,AI61+AH62-AQ61)))</f>
        <v>671.20000000000061</v>
      </c>
      <c r="AJ62" s="14">
        <f>AI62*VLOOKUP('Données projet'!$B$10,Paramètres!$A$1:$I$89,3,0)*VLOOKUP('Données projet'!$B$10,Paramètres!$A$1:$I$89,5,0)</f>
        <v>296.67040000000031</v>
      </c>
      <c r="AK62" s="14">
        <f t="shared" si="35"/>
        <v>70.477998675551206</v>
      </c>
      <c r="AL62" s="22">
        <f t="shared" si="4"/>
        <v>639.45012769325217</v>
      </c>
      <c r="AM62" s="62">
        <f t="shared" si="5"/>
        <v>900.1395348870949</v>
      </c>
      <c r="AN62" s="62">
        <f ca="1">AVERAGE(OFFSET($AM$3,0,0,'Données projet'!$E$10+1,1))-AVERAGE(OFFSET($H$3,0,0,'Données projet'!$E$10+1,1))</f>
        <v>413.08876898406481</v>
      </c>
      <c r="AO62" s="62">
        <f t="shared" si="36"/>
        <v>520.31320932826566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35.604629306409102</v>
      </c>
      <c r="AV62" s="23">
        <f>EXP(-LN(2)/25)*AV61+(1-EXP(-LN(2)/25))/(LN(2)/25)*Calculateur!AQ62*Calculateur!AS62*VLOOKUP('Données projet'!$B$10,Paramètres!$A$1:$I$89,3,0)*0.475*44/12</f>
        <v>20.745449346978827</v>
      </c>
      <c r="AW62" s="23">
        <f>EXP(-LN(2)/2)*AW61+(1-EXP(-LN(2)/2))/(LN(2)/2)*AQ62*AT62*VLOOKUP('Données projet'!$B$10,Paramètres!$A$1:$I$89,3,0)*0.475*44/12</f>
        <v>3.1469684160468137E-2</v>
      </c>
      <c r="AX62" s="23">
        <f t="shared" si="6"/>
        <v>56.381548337548395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15.8</v>
      </c>
      <c r="BD62" s="13">
        <f>IF('Données projet'!$A$88&gt;35,BD61+BC62-BL61,IF(A62&lt;'Données projet'!$A$88,$BA$205^A62,IF(A62='Données projet'!$A$88,'Données projet'!$B$88,BD61+BC62-BL61)))</f>
        <v>671.20000000000061</v>
      </c>
      <c r="BE62" s="14">
        <f>BD62*VLOOKUP('Données projet'!$B$11,Paramètres!$A$1:$I$89,3,0)*VLOOKUP('Données projet'!$B$11,Paramètres!$A$1:$I$89,5,0)</f>
        <v>375.20080000000036</v>
      </c>
      <c r="BF62" s="14">
        <f t="shared" si="37"/>
        <v>86.730433960542967</v>
      </c>
      <c r="BG62" s="22">
        <f t="shared" si="7"/>
        <v>804.53023248127954</v>
      </c>
      <c r="BH62" s="62">
        <f t="shared" si="8"/>
        <v>1065.2196396751224</v>
      </c>
      <c r="BI62" s="62">
        <f ca="1">AVERAGE(OFFSET($BH$3,0,0,'Données projet'!$E$11+1,1))-AVERAGE(OFFSET($H$3,0,0,'Données projet'!$E$11+1,1))</f>
        <v>507.66185230065889</v>
      </c>
      <c r="BJ62" s="62">
        <f t="shared" si="38"/>
        <v>640.14375617778342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45.029384122811521</v>
      </c>
      <c r="BQ62" s="23">
        <f>EXP(-LN(2)/25)*BQ61+(1-EXP(-LN(2)/25))/(LN(2)/25)*Calculateur!BL62*Calculateur!BN62*VLOOKUP('Données projet'!$B$11,Paramètres!$A$1:$I$89,3,0)*0.475*44/12</f>
        <v>26.236891821179114</v>
      </c>
      <c r="BR62" s="23">
        <f>EXP(-LN(2)/2)*BR61+(1-EXP(-LN(2)/2))/(LN(2)/2)*BL62*BO62*VLOOKUP('Données projet'!$B$11,Paramètres!$A$1:$I$89,3,0)*0.475*44/12</f>
        <v>3.9799894673533259E-2</v>
      </c>
      <c r="BS62" s="24">
        <f t="shared" si="9"/>
        <v>71.306075838664171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10.552147635000003</v>
      </c>
      <c r="BY62" s="13">
        <f>IF('Données projet'!$A$114&gt;35,BY61+BX62-CG61,IF(A62&lt;'Données projet'!$A$114,$BV$205^A62,IF(A62='Données projet'!$A$114,'Données projet'!$B$114,BY61+BX62-CG61)))</f>
        <v>283.50327936499997</v>
      </c>
      <c r="BZ62" s="14">
        <f>BY62*VLOOKUP('Données projet'!$B$12,Paramètres!$A$1:$I$89,3,0)*VLOOKUP('Données projet'!$B$12,Paramètres!$A$1:$I$89,5,0)</f>
        <v>132.67953474281998</v>
      </c>
      <c r="CA62" s="14">
        <f t="shared" si="39"/>
        <v>34.614784023252795</v>
      </c>
      <c r="CB62" s="22">
        <f t="shared" si="10"/>
        <v>291.37093851757669</v>
      </c>
      <c r="CC62" s="62">
        <f t="shared" si="11"/>
        <v>552.06034571141947</v>
      </c>
      <c r="CD62" s="62">
        <f ca="1">AVERAGE(OFFSET($CC$3,0,0,'Données projet'!$E$12+1,1))-AVERAGE(OFFSET($H$3,0,0,'Données projet'!$E$12+1,1))</f>
        <v>289.21044803824958</v>
      </c>
      <c r="CE62" s="62">
        <f t="shared" si="40"/>
        <v>196.11836398299445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>
        <f>EXP(-LN(2)/35)*CK61+(1-EXP(-LN(2)/35))/(LN(2)/35)*CG62*CH62*VLOOKUP('Données projet'!$B$12,Paramètres!$A$1:$I$89,3,0)*0.475*44/12</f>
        <v>0</v>
      </c>
      <c r="CL62" s="23">
        <f>EXP(-LN(2)/25)*CL61+(1-EXP(-LN(2)/25))/(LN(2)/25)*Calculateur!CG62*Calculateur!CI62*VLOOKUP('Données projet'!$B$12,Paramètres!$A$1:$I$89,3,0)*0.475*44/12</f>
        <v>12.020704437075159</v>
      </c>
      <c r="CM62" s="23">
        <f>EXP(-LN(2)/2)*CM61+(1-EXP(-LN(2)/2))/(LN(2)/2)*CG62*CJ62*VLOOKUP('Données projet'!$B$12,Paramètres!$A$1:$I$89,3,0)*0.475*44/12</f>
        <v>0</v>
      </c>
      <c r="CN62" s="24">
        <f t="shared" si="12"/>
        <v>12.020704437075159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-5.6843418860808015E-14</v>
      </c>
      <c r="CU62" s="18">
        <f>CT62*VLOOKUP('Données projet'!$B$13,Paramètres!$A$1:$I$89,3,0)*VLOOKUP('Données projet'!$B$13,Paramètres!$A$1:$I$89,5,0)</f>
        <v>-5.1431925385259088E-14</v>
      </c>
      <c r="CV62" s="14" t="e">
        <f t="shared" si="41"/>
        <v>#NUM!</v>
      </c>
      <c r="CW62" s="22" t="e">
        <f t="shared" si="13"/>
        <v>#NUM!</v>
      </c>
      <c r="CX62" s="62" t="e">
        <f t="shared" si="14"/>
        <v>#NUM!</v>
      </c>
      <c r="CY62" s="62">
        <f ca="1">AVERAGE(OFFSET($CX$3,0,0,'Données projet'!$E$13+1,1))-AVERAGE(OFFSET($H$3,0,0,'Données projet'!$E$13+1,1))</f>
        <v>376.68007030857598</v>
      </c>
      <c r="CZ62" s="62">
        <f t="shared" si="42"/>
        <v>532.90758914457626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>
        <f>EXP(-LN(2)/35)*DF61+(1-EXP(-LN(2)/35))/(LN(2)/35)*DB62*DC62*VLOOKUP('Données projet'!$B$13,Paramètres!$A$1:$I$89,3,0)*0.475*44/12</f>
        <v>70.951822069133314</v>
      </c>
      <c r="DG62" s="23">
        <f>EXP(-LN(2)/25)*DG61+(1-EXP(-LN(2)/25))/(LN(2)/25)*Calculateur!DB62*Calculateur!DD62*VLOOKUP('Données projet'!$B$13,Paramètres!$A$1:$I$89,3,0)*0.475*44/12</f>
        <v>5.8625268772002865</v>
      </c>
      <c r="DH62" s="23">
        <f>EXP(-LN(2)/2)*DH61+(1-EXP(-LN(2)/2))/(LN(2)/2)*DB62*DE62*VLOOKUP('Données projet'!$B$13,Paramètres!$A$1:$I$89,3,0)*0.475*44/12</f>
        <v>0</v>
      </c>
      <c r="DI62" s="24">
        <f t="shared" si="15"/>
        <v>76.814348946333595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9.375</v>
      </c>
      <c r="DO62" s="13">
        <f>IF('Données projet'!$A$166&gt;35,DO61+DN62-DW61,IF(A62&lt;'Données projet'!$A$166,$DL$205^A62,IF(A62='Données projet'!$A$166,'Données projet'!$B$166,DO61+DN62-DW61)))</f>
        <v>287.62499999999989</v>
      </c>
      <c r="DP62" s="18">
        <f>DO62*VLOOKUP('Données projet'!$B$14,Paramètres!$A$1:$I$89,3,0)*VLOOKUP('Données projet'!$B$14,Paramètres!$A$1:$I$89,5,0)</f>
        <v>273.70394999999991</v>
      </c>
      <c r="DQ62" s="14">
        <f t="shared" si="43"/>
        <v>65.634716535035281</v>
      </c>
      <c r="DR62" s="22">
        <f t="shared" si="16"/>
        <v>591.01484421518637</v>
      </c>
      <c r="DS62" s="62">
        <f t="shared" si="17"/>
        <v>851.70425140902921</v>
      </c>
      <c r="DT62" s="62">
        <f ca="1">AVERAGE(OFFSET($DS$3,0,0,'Données projet'!$E$14+1,1))-AVERAGE(OFFSET($H$3,0,0,'Données projet'!$E$14+1,1))</f>
        <v>364.63161066507769</v>
      </c>
      <c r="DU62" s="62">
        <f t="shared" si="44"/>
        <v>355.44729904860708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>
        <f>EXP(-LN(2)/35)*EA61+(1-EXP(-LN(2)/35))/(LN(2)/35)*DW62*DX62*VLOOKUP('Données projet'!$B$14,Paramètres!$A$1:$I$89,3,0)*0.475*44/12</f>
        <v>9.4509451333513166</v>
      </c>
      <c r="EB62" s="23">
        <f>EXP(-LN(2)/25)*EB61+(1-EXP(-LN(2)/25))/(LN(2)/25)*Calculateur!DW62*Calculateur!DY62*VLOOKUP('Données projet'!$B$14,Paramètres!$A$1:$I$89,3,0)*0.475*44/12</f>
        <v>0</v>
      </c>
      <c r="EC62" s="23">
        <f>EXP(-LN(2)/2)*EC61+(1-EXP(-LN(2)/2))/(LN(2)/2)*DW62*DZ62*VLOOKUP('Données projet'!$B$14,Paramètres!$A$1:$I$89,3,0)*0.475*44/12</f>
        <v>0</v>
      </c>
      <c r="ED62" s="24">
        <f t="shared" si="18"/>
        <v>9.4509451333513166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9.375</v>
      </c>
      <c r="EJ62" s="13">
        <f>IF('Données projet'!$A$192&gt;35,EJ61+EI62-ER61,IF(A62&lt;'Données projet'!$A$192,$EG$205^A62,IF(A62='Données projet'!$A$192,'Données projet'!$B$192,EJ61+EI62-ER61)))</f>
        <v>287.62499999999989</v>
      </c>
      <c r="EK62" s="18">
        <f>EJ62*VLOOKUP('Données projet'!$B$15,Paramètres!$A$1:$I$89,3,0)*VLOOKUP('Données projet'!$B$15,Paramètres!$A$1:$I$89,5,0)</f>
        <v>210.88664999999992</v>
      </c>
      <c r="EL62" s="14">
        <f t="shared" si="45"/>
        <v>52.129293494481225</v>
      </c>
      <c r="EM62" s="22">
        <f t="shared" si="19"/>
        <v>458.08610158622128</v>
      </c>
      <c r="EN62" s="62">
        <f t="shared" si="20"/>
        <v>718.775508780064</v>
      </c>
      <c r="EO62" s="62">
        <f ca="1">AVERAGE(OFFSET($EN$3,0,0,'Données projet'!$E$15+1,1))-AVERAGE(OFFSET($H$3,0,0,'Données projet'!$E$15+1,1))</f>
        <v>293.59366973965774</v>
      </c>
      <c r="EP62" s="62">
        <f t="shared" si="46"/>
        <v>288.13804536120426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>
        <f>EXP(-LN(2)/35)*EV61+(1-EXP(-LN(2)/35))/(LN(2)/35)*ER62*ES62*VLOOKUP('Données projet'!$B$15,Paramètres!$A$1:$I$89,3,0)*0.475*44/12</f>
        <v>7.2818757584837988</v>
      </c>
      <c r="EW62" s="23">
        <f>EXP(-LN(2)/25)*EW61+(1-EXP(-LN(2)/25))/(LN(2)/25)*Calculateur!ER62*Calculateur!ET62*VLOOKUP('Données projet'!$B$15,Paramètres!$A$1:$I$89,3,0)*0.475*44/12</f>
        <v>0</v>
      </c>
      <c r="EX62" s="23">
        <f>EXP(-LN(2)/2)*EX61+(1-EXP(-LN(2)/2))/(LN(2)/2)*ER62*EU62*VLOOKUP('Données projet'!$B$15,Paramètres!$A$1:$I$89,3,0)*0.475*44/12</f>
        <v>0</v>
      </c>
      <c r="EY62" s="24">
        <f t="shared" si="21"/>
        <v>7.2818757584837988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9.375</v>
      </c>
      <c r="FE62" s="13">
        <f>IF('Données projet'!$A$218&gt;35,FE61+FD62-FM61,IF(A62&lt;'Données projet'!$A$218,$FB$205^A62,IF(A62='Données projet'!$A$218,'Données projet'!$B$218,FE61+FD62-FM61)))</f>
        <v>287.62499999999989</v>
      </c>
      <c r="FF62" s="18">
        <f>FE62*VLOOKUP('Données projet'!$B$16,Paramètres!$A$1:$I$89,3,0)*VLOOKUP('Données projet'!$B$16,Paramètres!$A$1:$I$89,5,0)</f>
        <v>278.19089999999989</v>
      </c>
      <c r="FG62" s="14">
        <f t="shared" si="47"/>
        <v>66.584549935276186</v>
      </c>
      <c r="FH62" s="22">
        <f t="shared" si="22"/>
        <v>600.48390863727252</v>
      </c>
      <c r="FI62" s="62">
        <f t="shared" si="23"/>
        <v>861.17331583111536</v>
      </c>
      <c r="FJ62" s="62">
        <f ca="1">AVERAGE(OFFSET($FI$3,0,0,'Données projet'!$E$16+1,1))-AVERAGE(OFFSET($H$3,0,0,'Données projet'!$E$16+1,1))</f>
        <v>369.69145521630799</v>
      </c>
      <c r="FK62" s="62">
        <f t="shared" si="48"/>
        <v>360.24112103688719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>
        <f>EXP(-LN(2)/35)*FQ61+(1-EXP(-LN(2)/35))/(LN(2)/35)*FM62*FN62*VLOOKUP('Données projet'!$B$16,Paramètres!$A$1:$I$89,3,0)*0.475*44/12</f>
        <v>9.6058786601275674</v>
      </c>
      <c r="FR62" s="23">
        <f>EXP(-LN(2)/25)*FR61+(1-EXP(-LN(2)/25))/(LN(2)/25)*Calculateur!FM62*Calculateur!FO62*VLOOKUP('Données projet'!$B$16,Paramètres!$A$1:$I$89,3,0)*0.475*44/12</f>
        <v>0</v>
      </c>
      <c r="FS62" s="23">
        <f>EXP(-LN(2)/2)*FS61+(1-EXP(-LN(2)/2))/(LN(2)/2)*FM62*FP62*VLOOKUP('Données projet'!$B$16,Paramètres!$A$1:$I$89,3,0)*0.475*44/12</f>
        <v>0</v>
      </c>
      <c r="FT62" s="24">
        <f t="shared" si="24"/>
        <v>9.6058786601275674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9.375</v>
      </c>
      <c r="FZ62" s="13">
        <f>IF('Données projet'!$A$244&gt;35,FZ61+FY62-GH61,IF(A62&lt;'Données projet'!$A$244,$FW$205^A62,IF(A62='Données projet'!$A$244,'Données projet'!$B$244,FZ61+FY62-GH61)))</f>
        <v>287.62499999999989</v>
      </c>
      <c r="GA62" s="18">
        <f>FZ62*VLOOKUP('Données projet'!$B$17,Paramètres!$A$1:$I$89,3,0)*VLOOKUP('Données projet'!$B$17,Paramètres!$A$1:$I$89,5,0)</f>
        <v>309.59954999999985</v>
      </c>
      <c r="GB62" s="14">
        <f t="shared" si="49"/>
        <v>73.185193983006329</v>
      </c>
      <c r="GC62" s="22">
        <f t="shared" si="25"/>
        <v>666.68342910373576</v>
      </c>
      <c r="GD62" s="62">
        <f t="shared" si="26"/>
        <v>927.37283629757849</v>
      </c>
      <c r="GE62" s="62">
        <f ca="1">AVERAGE(OFFSET($GD$3,0,0,'Données projet'!$E$17+1,1))-AVERAGE(OFFSET($H$3,0,0,'Données projet'!$E$17+1,1))</f>
        <v>405.06394904053946</v>
      </c>
      <c r="GF62" s="62">
        <f t="shared" si="50"/>
        <v>393.75247087518198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>
        <f>EXP(-LN(2)/35)*GL61+(1-EXP(-LN(2)/35))/(LN(2)/35)*GH62*GI62*VLOOKUP('Données projet'!$B$17,Paramètres!$A$1:$I$89,3,0)*0.475*44/12</f>
        <v>10.690413347561323</v>
      </c>
      <c r="GM62" s="23">
        <f>EXP(-LN(2)/25)*GM61+(1-EXP(-LN(2)/25))/(LN(2)/25)*Calculateur!GH62*Calculateur!GJ62*VLOOKUP('Données projet'!$B$17,Paramètres!$A$1:$I$89,3,0)*0.475*44/12</f>
        <v>0</v>
      </c>
      <c r="GN62" s="23">
        <f>EXP(-LN(2)/2)*GN61+(1-EXP(-LN(2)/2))/(LN(2)/2)*GH62*GK62*VLOOKUP('Données projet'!$B$17,Paramètres!$A$1:$I$89,3,0)*0.475*44/12</f>
        <v>0</v>
      </c>
      <c r="GO62" s="23">
        <f t="shared" si="27"/>
        <v>10.690413347561323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9.375</v>
      </c>
      <c r="GU62" s="13">
        <f>IF('Données projet'!$A$270&gt;35,GU61+GT62-HC61,IF(A62&lt;'Données projet'!$A$270,$GR$205^A62,IF(A62='Données projet'!$A$270,'Données projet'!$B$270,GU61+GT62-HC61)))</f>
        <v>287.62499999999989</v>
      </c>
      <c r="GV62" s="18">
        <f>GU62*VLOOKUP('Données projet'!$B$18,Paramètres!$A$1:$I$89,3,0)*VLOOKUP('Données projet'!$B$18,Paramètres!$A$1:$I$89,5,0)</f>
        <v>192.93884999999992</v>
      </c>
      <c r="GW62" s="14">
        <f t="shared" si="51"/>
        <v>48.18910929458665</v>
      </c>
      <c r="GX62" s="22">
        <f t="shared" si="28"/>
        <v>419.96452910473823</v>
      </c>
      <c r="GY62" s="62">
        <f t="shared" si="29"/>
        <v>680.65393629858102</v>
      </c>
      <c r="GZ62" s="62">
        <f ca="1">AVERAGE(OFFSET($GY$3,0,0,'Données projet'!$E$18+1,1))-AVERAGE(OFFSET($H$3,0,0,'Données projet'!$E$18+1,1))</f>
        <v>273.21861937609918</v>
      </c>
      <c r="HA62" s="62">
        <f t="shared" si="52"/>
        <v>268.83004886965318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>
        <f>EXP(-LN(2)/35)*HG61+(1-EXP(-LN(2)/35))/(LN(2)/35)*HC62*HD62*VLOOKUP('Données projet'!$B$18,Paramètres!$A$1:$I$89,3,0)*0.475*44/12</f>
        <v>8.2114769191413046</v>
      </c>
      <c r="HH62" s="23">
        <f>EXP(-LN(2)/25)*HH61+(1-EXP(-LN(2)/25))/(LN(2)/25)*Calculateur!HC62*Calculateur!HE62*VLOOKUP('Données projet'!$B$18,Paramètres!$A$1:$I$89,3,0)*0.475*44/12</f>
        <v>0</v>
      </c>
      <c r="HI62" s="23">
        <f>EXP(-LN(2)/2)*HI61+(1-EXP(-LN(2)/2))/(LN(2)/2)*HC62*HF62*VLOOKUP('Données projet'!$B$18,Paramètres!$A$1:$I$89,3,0)*0.475*44/12</f>
        <v>0</v>
      </c>
      <c r="HJ62" s="24">
        <f t="shared" si="30"/>
        <v>8.2114769191413046</v>
      </c>
    </row>
    <row r="63" spans="1:218" s="5" customFormat="1" x14ac:dyDescent="0.4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>
        <f>VLOOKUP(A63,'Données projet'!$A$35:$I$55,2,0)</f>
        <v>147</v>
      </c>
      <c r="L63" s="13">
        <f>VLOOKUP(A63,'Données projet'!$A$35:$I$55,9,0)</f>
        <v>6.125</v>
      </c>
      <c r="M63" s="13">
        <f t="array" ref="M63">INDEX(L:L,MIN(IF(ISNUMBER(L63:L259),ROW(L63:L259),"")))</f>
        <v>6.125</v>
      </c>
      <c r="N63" s="14">
        <f>IF('Données projet'!$A$36&gt;35,N62+M63-V62,IF(A63&lt;'Données projet'!$A$36,$K$205^A63,IF(A63='Données projet'!$A$36,'Données projet'!$B$36,N62+M63-V62)))</f>
        <v>147.00000000000006</v>
      </c>
      <c r="O63" s="14">
        <f>N63*VLOOKUP('Données projet'!$B$9,Paramètres!$A$1:$I$89,3,0)*VLOOKUP('Données projet'!$B$9,Paramètres!$A$1:$I$89,5,0)</f>
        <v>133.00560000000004</v>
      </c>
      <c r="P63" s="14">
        <f t="shared" si="33"/>
        <v>34.689938673073549</v>
      </c>
      <c r="Q63" s="22">
        <f t="shared" si="53"/>
        <v>292.06972985560316</v>
      </c>
      <c r="R63" s="62">
        <f t="shared" si="0"/>
        <v>553.32543618708064</v>
      </c>
      <c r="S63" s="62">
        <f ca="1">AVERAGE(OFFSET($R$3,0,0,'Données projet'!$E$9+1,1))-AVERAGE(OFFSET($H$3,0,0,'Données projet'!$E$9+1,1))</f>
        <v>432.80275651765203</v>
      </c>
      <c r="T63" s="62">
        <f t="shared" si="34"/>
        <v>203.89279893419919</v>
      </c>
      <c r="U63" s="16">
        <f>IF(ISNA(VLOOKUP(A63,'Données projet'!$A$35:$I$55,3,0)),0,VLOOKUP(A63,'Données projet'!$A$35:$I$55,3,0))</f>
        <v>2</v>
      </c>
      <c r="V63" s="16">
        <f>IF(ISNA(VLOOKUP(A63,'Données projet'!$A$35:$I$55,4,0)),0,VLOOKUP(A63,'Données projet'!$A$35:$I$55,4,0))</f>
        <v>30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0</v>
      </c>
      <c r="AA63" s="23">
        <f>EXP(-LN(2)/25)*AA62+(1-EXP(-LN(2)/25))/(LN(2)/25)*Calculateur!V63*Calculateur!X63*VLOOKUP('Données projet'!$B$9,Paramètres!$A$1:$I$89,3,0)*0.475*44/12</f>
        <v>0</v>
      </c>
      <c r="AB63" s="23">
        <f>EXP(-LN(2)/2)*AB62+(1-EXP(-LN(2)/2))/(LN(2)/2)*V63*Y63*VLOOKUP('Données projet'!$B$9,Paramètres!$A$1:$I$89,3,0)*0.475*44/12</f>
        <v>0</v>
      </c>
      <c r="AC63" s="24">
        <f t="shared" si="3"/>
        <v>0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687</v>
      </c>
      <c r="AG63" s="13">
        <f>VLOOKUP(A63,'Données projet'!$A$61:$I$81,9,0)</f>
        <v>15.8</v>
      </c>
      <c r="AH63" s="13">
        <f t="array" ref="AH63">INDEX(AG:AG,MIN(IF(ISNUMBER(AG63:AG259),ROW(AG63:AG259),"")))</f>
        <v>15.8</v>
      </c>
      <c r="AI63" s="14">
        <f>IF('Données projet'!$A$62&gt;35,AI62+AH63-AQ62,IF(A63&lt;'Données projet'!$A$62,$AF$205^A63,IF(A63='Données projet'!$A$62,'Données projet'!$B$62,AI62+AH63-AQ62)))</f>
        <v>687.00000000000057</v>
      </c>
      <c r="AJ63" s="14">
        <f>AI63*VLOOKUP('Données projet'!$B$10,Paramètres!$A$1:$I$89,3,0)*VLOOKUP('Données projet'!$B$10,Paramètres!$A$1:$I$89,5,0)</f>
        <v>303.65400000000028</v>
      </c>
      <c r="AK63" s="14">
        <f t="shared" si="35"/>
        <v>71.941941660574969</v>
      </c>
      <c r="AL63" s="22">
        <f t="shared" si="4"/>
        <v>654.16293172550183</v>
      </c>
      <c r="AM63" s="62">
        <f t="shared" si="5"/>
        <v>915.41863805697926</v>
      </c>
      <c r="AN63" s="62">
        <f ca="1">AVERAGE(OFFSET($AM$3,0,0,'Données projet'!$E$10+1,1))-AVERAGE(OFFSET($H$3,0,0,'Données projet'!$E$10+1,1))</f>
        <v>413.08876898406481</v>
      </c>
      <c r="AO63" s="62">
        <f t="shared" si="36"/>
        <v>520.31320932826566</v>
      </c>
      <c r="AP63" s="16">
        <f>IF(ISNA(VLOOKUP(A63,'Données projet'!$A$61:$I$81,3,0)),0,VLOOKUP(A63,'Données projet'!$A$61:$I$81,3,0))</f>
        <v>8</v>
      </c>
      <c r="AQ63" s="16">
        <f>IF(ISNA(VLOOKUP(A63,'Données projet'!$A$61:$I$81,4,0)),0,VLOOKUP(A63,'Données projet'!$A$61:$I$81,4,0))</f>
        <v>61</v>
      </c>
      <c r="AR63" s="17">
        <f>IF(ISNA(VLOOKUP(A63,'Données projet'!$A$61:$I$81,5,0)),0%,VLOOKUP(A63,'Données projet'!$A$61:$I$81,5,0)*VLOOKUP('Données projet'!$B$10,Paramètres!$A$1:$I$89,7,0))</f>
        <v>0.27500000000000002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</v>
      </c>
      <c r="AU63" s="23">
        <f>EXP(-LN(2)/35)*AU62+(1-EXP(-LN(2)/35))/(LN(2)/35)*AQ63*AR63*VLOOKUP('Données projet'!$B$10,Paramètres!$A$1:$I$89,3,0)*0.475*44/12</f>
        <v>44.742322725469194</v>
      </c>
      <c r="AV63" s="23">
        <f>EXP(-LN(2)/25)*AV62+(1-EXP(-LN(2)/25))/(LN(2)/25)*Calculateur!AQ63*Calculateur!AS63*VLOOKUP('Données projet'!$B$10,Paramètres!$A$1:$I$89,3,0)*0.475*44/12</f>
        <v>20.178163943629922</v>
      </c>
      <c r="AW63" s="23">
        <f>EXP(-LN(2)/2)*AW62+(1-EXP(-LN(2)/2))/(LN(2)/2)*AQ63*AT63*VLOOKUP('Données projet'!$B$10,Paramètres!$A$1:$I$89,3,0)*0.475*44/12</f>
        <v>2.2252427071665904E-2</v>
      </c>
      <c r="AX63" s="23">
        <f t="shared" si="6"/>
        <v>64.942739096170783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687</v>
      </c>
      <c r="BB63" s="13">
        <f>VLOOKUP(A63,'Données projet'!$A$87:$I$107,9,0)</f>
        <v>15.8</v>
      </c>
      <c r="BC63" s="13">
        <f t="array" ref="BC63">INDEX(BB:BB,MIN(IF(ISNUMBER(BB63:BB259),ROW(BB63:BB259),"")))</f>
        <v>15.8</v>
      </c>
      <c r="BD63" s="13">
        <f>IF('Données projet'!$A$88&gt;35,BD62+BC63-BL62,IF(A63&lt;'Données projet'!$A$88,$BA$205^A63,IF(A63='Données projet'!$A$88,'Données projet'!$B$88,BD62+BC63-BL62)))</f>
        <v>687.00000000000057</v>
      </c>
      <c r="BE63" s="14">
        <f>BD63*VLOOKUP('Données projet'!$B$11,Paramètres!$A$1:$I$89,3,0)*VLOOKUP('Données projet'!$B$11,Paramètres!$A$1:$I$89,5,0)</f>
        <v>384.03300000000036</v>
      </c>
      <c r="BF63" s="14">
        <f t="shared" si="37"/>
        <v>88.531966534830573</v>
      </c>
      <c r="BG63" s="22">
        <f t="shared" si="7"/>
        <v>823.05065004816379</v>
      </c>
      <c r="BH63" s="62">
        <f t="shared" si="8"/>
        <v>1084.3063563796413</v>
      </c>
      <c r="BI63" s="62">
        <f ca="1">AVERAGE(OFFSET($BH$3,0,0,'Données projet'!$E$11+1,1))-AVERAGE(OFFSET($H$3,0,0,'Données projet'!$E$11+1,1))</f>
        <v>507.66185230065889</v>
      </c>
      <c r="BJ63" s="62">
        <f t="shared" si="38"/>
        <v>640.14375617778342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61</v>
      </c>
      <c r="BM63" s="17">
        <f>IF(ISNA(VLOOKUP(A63,'Données projet'!$A$87:$I$107,5,0)),0%,VLOOKUP(A63,'Données projet'!$A$87:$I$107,5,0)*VLOOKUP('Données projet'!$B$11,Paramètres!$A$1:$I$89,7,0))</f>
        <v>0.27500000000000002</v>
      </c>
      <c r="BN63" s="17">
        <f>IF(ISNA(VLOOKUP(A63,'Données projet'!$A$87:$I$107,6,0)),0%,VLOOKUP(A63,'Données projet'!$A$87:$I$107,6,0)*VLOOKUP('Données projet'!$B$11,Paramètres!$A$1:$I$89,7,0))</f>
        <v>0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56.585878741034584</v>
      </c>
      <c r="BQ63" s="23">
        <f>EXP(-LN(2)/25)*BQ62+(1-EXP(-LN(2)/25))/(LN(2)/25)*Calculateur!BL63*Calculateur!BN63*VLOOKUP('Données projet'!$B$11,Paramètres!$A$1:$I$89,3,0)*0.475*44/12</f>
        <v>25.519442634590796</v>
      </c>
      <c r="BR63" s="23">
        <f>EXP(-LN(2)/2)*BR62+(1-EXP(-LN(2)/2))/(LN(2)/2)*BL63*BO63*VLOOKUP('Données projet'!$B$11,Paramètres!$A$1:$I$89,3,0)*0.475*44/12</f>
        <v>2.8142775414165721E-2</v>
      </c>
      <c r="BS63" s="24">
        <f t="shared" si="9"/>
        <v>82.133464151039547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>
        <f>VLOOKUP(A63,'Données projet'!$A$113:$I$133,2,0)</f>
        <v>294.05542700000001</v>
      </c>
      <c r="BW63" s="13">
        <f>VLOOKUP(A63,'Données projet'!$A$113:$I$133,9,0)</f>
        <v>10.552147635000003</v>
      </c>
      <c r="BX63" s="13">
        <f t="array" ref="BX63">INDEX(BW:BW,MIN(IF(ISNUMBER(BW63:BW259),ROW(BW63:BW259),"")))</f>
        <v>10.552147635000003</v>
      </c>
      <c r="BY63" s="13">
        <f>IF('Données projet'!$A$114&gt;35,BY62+BX63-CG62,IF(A63&lt;'Données projet'!$A$114,$BV$205^A63,IF(A63='Données projet'!$A$114,'Données projet'!$B$114,BY62+BX63-CG62)))</f>
        <v>294.05542699999995</v>
      </c>
      <c r="BZ63" s="14">
        <f>BY63*VLOOKUP('Données projet'!$B$12,Paramètres!$A$1:$I$89,3,0)*VLOOKUP('Données projet'!$B$12,Paramètres!$A$1:$I$89,5,0)</f>
        <v>137.61793983599998</v>
      </c>
      <c r="CA63" s="14">
        <f t="shared" si="39"/>
        <v>35.750765129240357</v>
      </c>
      <c r="CB63" s="22">
        <f t="shared" si="10"/>
        <v>301.9504944811269</v>
      </c>
      <c r="CC63" s="62">
        <f t="shared" si="11"/>
        <v>563.20620081260438</v>
      </c>
      <c r="CD63" s="62">
        <f ca="1">AVERAGE(OFFSET($CC$3,0,0,'Données projet'!$E$12+1,1))-AVERAGE(OFFSET($H$3,0,0,'Données projet'!$E$12+1,1))</f>
        <v>289.21044803824958</v>
      </c>
      <c r="CE63" s="62">
        <f t="shared" si="40"/>
        <v>196.11836398299445</v>
      </c>
      <c r="CF63" s="16">
        <f>IF(ISNA(VLOOKUP(A63,'Données projet'!$A$113:$I$133,3,0)),0,VLOOKUP(A63,'Données projet'!$A$113:$I$133,3,0))</f>
        <v>5</v>
      </c>
      <c r="CG63" s="16">
        <f>IF(ISNA(VLOOKUP(A63,'Données projet'!$A$113:$I$133,4,0)),0,VLOOKUP(A63,'Données projet'!$A$113:$I$133,4,0))</f>
        <v>58.811085390000002</v>
      </c>
      <c r="CH63" s="17">
        <f>IF(ISNA(VLOOKUP(A63,'Données projet'!$A$113:$I$133,5,0)),0%,VLOOKUP(A63,'Données projet'!$A$113:$I$133,5,0)*VLOOKUP('Données projet'!$B$12,Paramètres!$A$1:$I$89,7,0))</f>
        <v>0.27500000000000002</v>
      </c>
      <c r="CI63" s="17">
        <f>IF(ISNA(VLOOKUP(A63,'Données projet'!$A$113:$I$133,6,0)),0%,VLOOKUP(A63,'Données projet'!$A$113:$I$133,6,0)*VLOOKUP('Données projet'!$B$12,Paramètres!$A$1:$I$89,7,0))</f>
        <v>0.27500000000000002</v>
      </c>
      <c r="CJ63" s="17">
        <f>IF(ISNA(VLOOKUP(A63,'Données projet'!$A$113:$I$133,7,0)),0%,VLOOKUP(A63,'Données projet'!$A$113:$I$133,7,0))</f>
        <v>0</v>
      </c>
      <c r="CK63" s="23">
        <f>EXP(-LN(2)/35)*CK62+(1-EXP(-LN(2)/35))/(LN(2)/35)*CG63*CH63*VLOOKUP('Données projet'!$B$12,Paramètres!$A$1:$I$89,3,0)*0.475*44/12</f>
        <v>10.040748706241724</v>
      </c>
      <c r="CL63" s="23">
        <f>EXP(-LN(2)/25)*CL62+(1-EXP(-LN(2)/25))/(LN(2)/25)*Calculateur!CG63*Calculateur!CI63*VLOOKUP('Données projet'!$B$12,Paramètres!$A$1:$I$89,3,0)*0.475*44/12</f>
        <v>21.69321209486202</v>
      </c>
      <c r="CM63" s="23">
        <f>EXP(-LN(2)/2)*CM62+(1-EXP(-LN(2)/2))/(LN(2)/2)*CG63*CJ63*VLOOKUP('Données projet'!$B$12,Paramètres!$A$1:$I$89,3,0)*0.475*44/12</f>
        <v>0</v>
      </c>
      <c r="CN63" s="24">
        <f t="shared" si="12"/>
        <v>31.733960801103741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-5.6843418860808015E-14</v>
      </c>
      <c r="CU63" s="18">
        <f>CT63*VLOOKUP('Données projet'!$B$13,Paramètres!$A$1:$I$89,3,0)*VLOOKUP('Données projet'!$B$13,Paramètres!$A$1:$I$89,5,0)</f>
        <v>-5.1431925385259088E-14</v>
      </c>
      <c r="CV63" s="14" t="e">
        <f t="shared" si="41"/>
        <v>#NUM!</v>
      </c>
      <c r="CW63" s="22" t="e">
        <f t="shared" si="13"/>
        <v>#NUM!</v>
      </c>
      <c r="CX63" s="62" t="e">
        <f t="shared" si="14"/>
        <v>#NUM!</v>
      </c>
      <c r="CY63" s="62">
        <f ca="1">AVERAGE(OFFSET($CX$3,0,0,'Données projet'!$E$13+1,1))-AVERAGE(OFFSET($H$3,0,0,'Données projet'!$E$13+1,1))</f>
        <v>376.68007030857598</v>
      </c>
      <c r="CZ63" s="62">
        <f t="shared" si="42"/>
        <v>532.90758914457626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>
        <f>EXP(-LN(2)/35)*DF62+(1-EXP(-LN(2)/35))/(LN(2)/35)*DB63*DC63*VLOOKUP('Données projet'!$B$13,Paramètres!$A$1:$I$89,3,0)*0.475*44/12</f>
        <v>69.560500114695884</v>
      </c>
      <c r="DG63" s="23">
        <f>EXP(-LN(2)/25)*DG62+(1-EXP(-LN(2)/25))/(LN(2)/25)*Calculateur!DB63*Calculateur!DD63*VLOOKUP('Données projet'!$B$13,Paramètres!$A$1:$I$89,3,0)*0.475*44/12</f>
        <v>5.7022157714463555</v>
      </c>
      <c r="DH63" s="23">
        <f>EXP(-LN(2)/2)*DH62+(1-EXP(-LN(2)/2))/(LN(2)/2)*DB63*DE63*VLOOKUP('Données projet'!$B$13,Paramètres!$A$1:$I$89,3,0)*0.475*44/12</f>
        <v>0</v>
      </c>
      <c r="DI63" s="24">
        <f t="shared" si="15"/>
        <v>75.262715886142246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>
        <f>VLOOKUP(A63,'Données projet'!$A$165:$I$185,2,0)</f>
        <v>297</v>
      </c>
      <c r="DM63" s="13">
        <f>VLOOKUP(A63,'Données projet'!$A$165:$I$185,9,0)</f>
        <v>9.375</v>
      </c>
      <c r="DN63" s="13">
        <f t="array" ref="DN63">INDEX(DM:DM,MIN(IF(ISNUMBER(DM63:DM259),ROW(DM63:DM259),"")))</f>
        <v>9.375</v>
      </c>
      <c r="DO63" s="13">
        <f>IF('Données projet'!$A$166&gt;35,DO62+DN63-DW62,IF(A63&lt;'Données projet'!$A$166,$DL$205^A63,IF(A63='Données projet'!$A$166,'Données projet'!$B$166,DO62+DN63-DW62)))</f>
        <v>296.99999999999989</v>
      </c>
      <c r="DP63" s="18">
        <f>DO63*VLOOKUP('Données projet'!$B$14,Paramètres!$A$1:$I$89,3,0)*VLOOKUP('Données projet'!$B$14,Paramètres!$A$1:$I$89,5,0)</f>
        <v>282.62519999999989</v>
      </c>
      <c r="DQ63" s="14">
        <f t="shared" si="43"/>
        <v>67.521487432655874</v>
      </c>
      <c r="DR63" s="22">
        <f t="shared" si="16"/>
        <v>609.83881394520881</v>
      </c>
      <c r="DS63" s="62">
        <f t="shared" si="17"/>
        <v>871.09452027668635</v>
      </c>
      <c r="DT63" s="62">
        <f ca="1">AVERAGE(OFFSET($DS$3,0,0,'Données projet'!$E$14+1,1))-AVERAGE(OFFSET($H$3,0,0,'Données projet'!$E$14+1,1))</f>
        <v>364.63161066507769</v>
      </c>
      <c r="DU63" s="62">
        <f t="shared" si="44"/>
        <v>355.44729904860708</v>
      </c>
      <c r="DV63" s="16">
        <f>IF(ISNA(VLOOKUP(A63,'Données projet'!$A$165:$I$185,3,0)),0,VLOOKUP(A63,'Données projet'!$A$165:$I$185,3,0))</f>
        <v>8</v>
      </c>
      <c r="DW63" s="16">
        <f>IF(ISNA(VLOOKUP(A63,'Données projet'!$A$165:$I$185,4,0)),0,VLOOKUP(A63,'Données projet'!$A$165:$I$185,4,0))</f>
        <v>47</v>
      </c>
      <c r="DX63" s="17">
        <f>IF(ISNA(VLOOKUP(A63,'Données projet'!$A$165:$I$185,5,0)),0%,VLOOKUP(A63,'Données projet'!$A$165:$I$185,5,0)*VLOOKUP('Données projet'!$B$14,Paramètres!$A$1:$I$89,7,0))</f>
        <v>0.215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>
        <f>EXP(-LN(2)/35)*EA62+(1-EXP(-LN(2)/35))/(LN(2)/35)*DW63*DX63*VLOOKUP('Données projet'!$B$14,Paramètres!$A$1:$I$89,3,0)*0.475*44/12</f>
        <v>19.895730384811358</v>
      </c>
      <c r="EB63" s="23">
        <f>EXP(-LN(2)/25)*EB62+(1-EXP(-LN(2)/25))/(LN(2)/25)*Calculateur!DW63*Calculateur!DY63*VLOOKUP('Données projet'!$B$14,Paramètres!$A$1:$I$89,3,0)*0.475*44/12</f>
        <v>0</v>
      </c>
      <c r="EC63" s="23">
        <f>EXP(-LN(2)/2)*EC62+(1-EXP(-LN(2)/2))/(LN(2)/2)*DW63*DZ63*VLOOKUP('Données projet'!$B$14,Paramètres!$A$1:$I$89,3,0)*0.475*44/12</f>
        <v>0</v>
      </c>
      <c r="ED63" s="24">
        <f t="shared" si="18"/>
        <v>19.895730384811358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>
        <f>VLOOKUP(A63,'Données projet'!$A$191:$I$211,2,0)</f>
        <v>297</v>
      </c>
      <c r="EH63" s="13">
        <f>VLOOKUP(A63,'Données projet'!$A$191:$I$211,9,0)</f>
        <v>9.375</v>
      </c>
      <c r="EI63" s="13">
        <f t="array" ref="EI63">INDEX(EH:EH,MIN(IF(ISNUMBER(EH63:EH259),ROW(EH63:EH259),"")))</f>
        <v>9.375</v>
      </c>
      <c r="EJ63" s="13">
        <f>IF('Données projet'!$A$192&gt;35,EJ62+EI63-ER62,IF(A63&lt;'Données projet'!$A$192,$EG$205^A63,IF(A63='Données projet'!$A$192,'Données projet'!$B$192,EJ62+EI63-ER62)))</f>
        <v>296.99999999999989</v>
      </c>
      <c r="EK63" s="18">
        <f>EJ63*VLOOKUP('Données projet'!$B$15,Paramètres!$A$1:$I$89,3,0)*VLOOKUP('Données projet'!$B$15,Paramètres!$A$1:$I$89,5,0)</f>
        <v>217.76039999999992</v>
      </c>
      <c r="EL63" s="14">
        <f t="shared" si="45"/>
        <v>53.627830230392995</v>
      </c>
      <c r="EM63" s="22">
        <f t="shared" si="19"/>
        <v>472.66783431793436</v>
      </c>
      <c r="EN63" s="62">
        <f t="shared" si="20"/>
        <v>733.92354064941185</v>
      </c>
      <c r="EO63" s="62">
        <f ca="1">AVERAGE(OFFSET($EN$3,0,0,'Données projet'!$E$15+1,1))-AVERAGE(OFFSET($H$3,0,0,'Données projet'!$E$15+1,1))</f>
        <v>293.59366973965774</v>
      </c>
      <c r="EP63" s="62">
        <f t="shared" si="46"/>
        <v>288.13804536120426</v>
      </c>
      <c r="EQ63" s="16">
        <f>IF(ISNA(VLOOKUP(A63,'Données projet'!$A$191:$I$211,3,0)),0,VLOOKUP(A63,'Données projet'!$A$191:$I$211,3,0))</f>
        <v>8</v>
      </c>
      <c r="ER63" s="16">
        <f>IF(ISNA(VLOOKUP(A63,'Données projet'!$A$191:$I$211,4,0)),0,VLOOKUP(A63,'Données projet'!$A$191:$I$211,4,0))</f>
        <v>47</v>
      </c>
      <c r="ES63" s="17">
        <f>IF(ISNA(VLOOKUP(A63,'Données projet'!$A$191:$I$211,5,0)),0%,VLOOKUP(A63,'Données projet'!$A$191:$I$211,5,0)*VLOOKUP('Données projet'!$B$15,Paramètres!$A$1:$I$89,7,0))</f>
        <v>0.215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>
        <f>EXP(-LN(2)/35)*EV62+(1-EXP(-LN(2)/35))/(LN(2)/35)*ER63*ES63*VLOOKUP('Données projet'!$B$15,Paramètres!$A$1:$I$89,3,0)*0.475*44/12</f>
        <v>15.329497181739896</v>
      </c>
      <c r="EW63" s="23">
        <f>EXP(-LN(2)/25)*EW62+(1-EXP(-LN(2)/25))/(LN(2)/25)*Calculateur!ER63*Calculateur!ET63*VLOOKUP('Données projet'!$B$15,Paramètres!$A$1:$I$89,3,0)*0.475*44/12</f>
        <v>0</v>
      </c>
      <c r="EX63" s="23">
        <f>EXP(-LN(2)/2)*EX62+(1-EXP(-LN(2)/2))/(LN(2)/2)*ER63*EU63*VLOOKUP('Données projet'!$B$15,Paramètres!$A$1:$I$89,3,0)*0.475*44/12</f>
        <v>0</v>
      </c>
      <c r="EY63" s="24">
        <f t="shared" si="21"/>
        <v>15.329497181739896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>
        <f>VLOOKUP(A63,'Données projet'!$A$217:$I$237,2,0)</f>
        <v>297</v>
      </c>
      <c r="FC63" s="13">
        <f>VLOOKUP(A63,'Données projet'!$A$217:$I$237,9,0)</f>
        <v>9.375</v>
      </c>
      <c r="FD63" s="13">
        <f t="array" ref="FD63">INDEX(FC:FC,MIN(IF(ISNUMBER(FC63:FC259),ROW(FC63:FC259),"")))</f>
        <v>9.375</v>
      </c>
      <c r="FE63" s="13">
        <f>IF('Données projet'!$A$218&gt;35,FE62+FD63-FM62,IF(A63&lt;'Données projet'!$A$218,$FB$205^A63,IF(A63='Données projet'!$A$218,'Données projet'!$B$218,FE62+FD63-FM62)))</f>
        <v>296.99999999999989</v>
      </c>
      <c r="FF63" s="18">
        <f>FE63*VLOOKUP('Données projet'!$B$16,Paramètres!$A$1:$I$89,3,0)*VLOOKUP('Données projet'!$B$16,Paramètres!$A$1:$I$89,5,0)</f>
        <v>287.25839999999988</v>
      </c>
      <c r="FG63" s="14">
        <f t="shared" si="47"/>
        <v>68.498625255186852</v>
      </c>
      <c r="FH63" s="22">
        <f t="shared" si="22"/>
        <v>619.61015231945009</v>
      </c>
      <c r="FI63" s="62">
        <f t="shared" si="23"/>
        <v>880.86585865092752</v>
      </c>
      <c r="FJ63" s="62">
        <f ca="1">AVERAGE(OFFSET($FI$3,0,0,'Données projet'!$E$16+1,1))-AVERAGE(OFFSET($H$3,0,0,'Données projet'!$E$16+1,1))</f>
        <v>369.69145521630799</v>
      </c>
      <c r="FK63" s="62">
        <f t="shared" si="48"/>
        <v>360.24112103688719</v>
      </c>
      <c r="FL63" s="16">
        <f>IF(ISNA(VLOOKUP(A63,'Données projet'!$A$217:$I$237,3,0)),0,VLOOKUP(A63,'Données projet'!$A$217:$I$237,3,0))</f>
        <v>8</v>
      </c>
      <c r="FM63" s="16">
        <f>IF(ISNA(VLOOKUP(A63,'Données projet'!$A$217:$I$237,4,0)),0,VLOOKUP(A63,'Données projet'!$A$217:$I$237,4,0))</f>
        <v>47</v>
      </c>
      <c r="FN63" s="17">
        <f>IF(ISNA(VLOOKUP(A63,'Données projet'!$A$217:$I$237,5,0)),0%,VLOOKUP(A63,'Données projet'!$A$217:$I$237,5,0)*VLOOKUP('Données projet'!$B$16,Paramètres!$A$1:$I$89,7,0))</f>
        <v>0.215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>
        <f>EXP(-LN(2)/35)*FQ62+(1-EXP(-LN(2)/35))/(LN(2)/35)*FM63*FN63*VLOOKUP('Données projet'!$B$16,Paramètres!$A$1:$I$89,3,0)*0.475*44/12</f>
        <v>20.221889899316459</v>
      </c>
      <c r="FR63" s="23">
        <f>EXP(-LN(2)/25)*FR62+(1-EXP(-LN(2)/25))/(LN(2)/25)*Calculateur!FM63*Calculateur!FO63*VLOOKUP('Données projet'!$B$16,Paramètres!$A$1:$I$89,3,0)*0.475*44/12</f>
        <v>0</v>
      </c>
      <c r="FS63" s="23">
        <f>EXP(-LN(2)/2)*FS62+(1-EXP(-LN(2)/2))/(LN(2)/2)*FM63*FP63*VLOOKUP('Données projet'!$B$16,Paramètres!$A$1:$I$89,3,0)*0.475*44/12</f>
        <v>0</v>
      </c>
      <c r="FT63" s="24">
        <f t="shared" si="24"/>
        <v>20.221889899316459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>
        <f>VLOOKUP(A63,'Données projet'!$A$243:$I$263,2,0)</f>
        <v>297</v>
      </c>
      <c r="FX63" s="13">
        <f>VLOOKUP(A63,'Données projet'!$A$243:$I$263,9,0)</f>
        <v>9.375</v>
      </c>
      <c r="FY63" s="13">
        <f t="array" ref="FY63">INDEX(FX:FX,MIN(IF(ISNUMBER(FX63:FX259),ROW(FX63:FX259),"")))</f>
        <v>9.375</v>
      </c>
      <c r="FZ63" s="13">
        <f>IF('Données projet'!$A$244&gt;35,FZ62+FY63-GH62,IF(A63&lt;'Données projet'!$A$244,$FW$205^A63,IF(A63='Données projet'!$A$244,'Données projet'!$B$244,FZ62+FY63-GH62)))</f>
        <v>296.99999999999989</v>
      </c>
      <c r="GA63" s="18">
        <f>FZ63*VLOOKUP('Données projet'!$B$17,Paramètres!$A$1:$I$89,3,0)*VLOOKUP('Données projet'!$B$17,Paramètres!$A$1:$I$89,5,0)</f>
        <v>319.69079999999985</v>
      </c>
      <c r="GB63" s="14">
        <f t="shared" si="49"/>
        <v>75.289014970336183</v>
      </c>
      <c r="GC63" s="22">
        <f t="shared" si="25"/>
        <v>687.92317774000196</v>
      </c>
      <c r="GD63" s="62">
        <f t="shared" si="26"/>
        <v>949.17888407147939</v>
      </c>
      <c r="GE63" s="62">
        <f ca="1">AVERAGE(OFFSET($GD$3,0,0,'Données projet'!$E$17+1,1))-AVERAGE(OFFSET($H$3,0,0,'Données projet'!$E$17+1,1))</f>
        <v>405.06394904053946</v>
      </c>
      <c r="GF63" s="62">
        <f t="shared" si="50"/>
        <v>393.75247087518198</v>
      </c>
      <c r="GG63" s="16">
        <f>IF(ISNA(VLOOKUP(A63,'Données projet'!$A$243:$I$263,3,0)),0,VLOOKUP(A63,'Données projet'!$A$243:$I$263,3,0))</f>
        <v>8</v>
      </c>
      <c r="GH63" s="16">
        <f>IF(ISNA(VLOOKUP(A63,'Données projet'!$A$243:$I$263,4,0)),0,VLOOKUP(A63,'Données projet'!$A$243:$I$263,4,0))</f>
        <v>47</v>
      </c>
      <c r="GI63" s="17">
        <f>IF(ISNA(VLOOKUP(A63,'Données projet'!$A$243:$I$263,5,0)),0%,VLOOKUP(A63,'Données projet'!$A$243:$I$263,5,0)*VLOOKUP('Données projet'!$B$17,Paramètres!$A$1:$I$89,7,0))</f>
        <v>0.215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>
        <f>EXP(-LN(2)/35)*GL62+(1-EXP(-LN(2)/35))/(LN(2)/35)*GH63*GI63*VLOOKUP('Données projet'!$B$17,Paramètres!$A$1:$I$89,3,0)*0.475*44/12</f>
        <v>22.505006500852186</v>
      </c>
      <c r="GM63" s="23">
        <f>EXP(-LN(2)/25)*GM62+(1-EXP(-LN(2)/25))/(LN(2)/25)*Calculateur!GH63*Calculateur!GJ63*VLOOKUP('Données projet'!$B$17,Paramètres!$A$1:$I$89,3,0)*0.475*44/12</f>
        <v>0</v>
      </c>
      <c r="GN63" s="23">
        <f>EXP(-LN(2)/2)*GN62+(1-EXP(-LN(2)/2))/(LN(2)/2)*GH63*GK63*VLOOKUP('Données projet'!$B$17,Paramètres!$A$1:$I$89,3,0)*0.475*44/12</f>
        <v>0</v>
      </c>
      <c r="GO63" s="23">
        <f t="shared" si="27"/>
        <v>22.505006500852186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>
        <f>VLOOKUP(A63,'Données projet'!$A$269:$I$289,2,0)</f>
        <v>297</v>
      </c>
      <c r="GS63" s="13">
        <f>VLOOKUP(A63,'Données projet'!$A$269:$I$289,9,0)</f>
        <v>9.375</v>
      </c>
      <c r="GT63" s="13">
        <f t="array" ref="GT63">INDEX(GS:GS,MIN(IF(ISNUMBER(GS63:GS259),ROW(GS63:GS259),"")))</f>
        <v>9.375</v>
      </c>
      <c r="GU63" s="13">
        <f>IF('Données projet'!$A$270&gt;35,GU62+GT63-HC62,IF(A63&lt;'Données projet'!$A$270,$GR$205^A63,IF(A63='Données projet'!$A$270,'Données projet'!$B$270,GU62+GT63-HC62)))</f>
        <v>296.99999999999989</v>
      </c>
      <c r="GV63" s="18">
        <f>GU63*VLOOKUP('Données projet'!$B$18,Paramètres!$A$1:$I$89,3,0)*VLOOKUP('Données projet'!$B$18,Paramètres!$A$1:$I$89,5,0)</f>
        <v>199.22759999999994</v>
      </c>
      <c r="GW63" s="14">
        <f t="shared" si="51"/>
        <v>49.574379374190791</v>
      </c>
      <c r="GX63" s="22">
        <f t="shared" si="28"/>
        <v>433.33011407671552</v>
      </c>
      <c r="GY63" s="62">
        <f t="shared" si="29"/>
        <v>694.58582040819306</v>
      </c>
      <c r="GZ63" s="62">
        <f ca="1">AVERAGE(OFFSET($GY$3,0,0,'Données projet'!$E$18+1,1))-AVERAGE(OFFSET($H$3,0,0,'Données projet'!$E$18+1,1))</f>
        <v>273.21861937609918</v>
      </c>
      <c r="HA63" s="62">
        <f t="shared" si="52"/>
        <v>268.83004886965318</v>
      </c>
      <c r="HB63" s="16">
        <f>IF(ISNA(VLOOKUP(A63,'Données projet'!$A$269:$I$289,3,0)),0,VLOOKUP(A63,'Données projet'!$A$269:$I$289,3,0))</f>
        <v>8</v>
      </c>
      <c r="HC63" s="16">
        <f>IF(ISNA(VLOOKUP(A63,'Données projet'!$A$269:$I$289,4,0)),0,VLOOKUP(A63,'Données projet'!$A$269:$I$289,4,0))</f>
        <v>47</v>
      </c>
      <c r="HD63" s="17">
        <f>IF(ISNA(VLOOKUP(A63,'Données projet'!$A$269:$I$289,5,0)),0%,VLOOKUP(A63,'Données projet'!$A$269:$I$289,5,0)*VLOOKUP('Données projet'!$B$18,Paramètres!$A$1:$I$89,7,0))</f>
        <v>0.26500000000000001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>
        <f>EXP(-LN(2)/35)*HG62+(1-EXP(-LN(2)/35))/(LN(2)/35)*HC63*HD63*VLOOKUP('Données projet'!$B$18,Paramètres!$A$1:$I$89,3,0)*0.475*44/12</f>
        <v>17.28645426877052</v>
      </c>
      <c r="HH63" s="23">
        <f>EXP(-LN(2)/25)*HH62+(1-EXP(-LN(2)/25))/(LN(2)/25)*Calculateur!HC63*Calculateur!HE63*VLOOKUP('Données projet'!$B$18,Paramètres!$A$1:$I$89,3,0)*0.475*44/12</f>
        <v>0</v>
      </c>
      <c r="HI63" s="23">
        <f>EXP(-LN(2)/2)*HI62+(1-EXP(-LN(2)/2))/(LN(2)/2)*HC63*HF63*VLOOKUP('Données projet'!$B$18,Paramètres!$A$1:$I$89,3,0)*0.475*44/12</f>
        <v>0</v>
      </c>
      <c r="HJ63" s="24">
        <f t="shared" si="30"/>
        <v>17.28645426877052</v>
      </c>
    </row>
    <row r="64" spans="1:218" s="5" customFormat="1" x14ac:dyDescent="0.4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6.125</v>
      </c>
      <c r="N64" s="14">
        <f>IF('Données projet'!$A$36&gt;35,N63+M64-V63,IF(A64&lt;'Données projet'!$A$36,$K$205^A64,IF(A64='Données projet'!$A$36,'Données projet'!$B$36,N63+M64-V63)))</f>
        <v>123.12500000000006</v>
      </c>
      <c r="O64" s="14">
        <f>N64*VLOOKUP('Données projet'!$B$9,Paramètres!$A$1:$I$89,3,0)*VLOOKUP('Données projet'!$B$9,Paramètres!$A$1:$I$89,5,0)</f>
        <v>111.40350000000004</v>
      </c>
      <c r="P64" s="14">
        <f t="shared" si="33"/>
        <v>29.661415724803813</v>
      </c>
      <c r="Q64" s="22">
        <f t="shared" si="53"/>
        <v>245.68806155403334</v>
      </c>
      <c r="R64" s="62">
        <f t="shared" si="0"/>
        <v>507.50024299916265</v>
      </c>
      <c r="S64" s="62">
        <f ca="1">AVERAGE(OFFSET($R$3,0,0,'Données projet'!$E$9+1,1))-AVERAGE(OFFSET($H$3,0,0,'Données projet'!$E$9+1,1))</f>
        <v>432.80275651765203</v>
      </c>
      <c r="T64" s="62">
        <f t="shared" si="34"/>
        <v>203.89279893419919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0</v>
      </c>
      <c r="AA64" s="23">
        <f>EXP(-LN(2)/25)*AA63+(1-EXP(-LN(2)/25))/(LN(2)/25)*Calculateur!V64*Calculateur!X64*VLOOKUP('Données projet'!$B$9,Paramètres!$A$1:$I$89,3,0)*0.475*44/12</f>
        <v>0</v>
      </c>
      <c r="AB64" s="23">
        <f>EXP(-LN(2)/2)*AB63+(1-EXP(-LN(2)/2))/(LN(2)/2)*V64*Y64*VLOOKUP('Données projet'!$B$9,Paramètres!$A$1:$I$89,3,0)*0.475*44/12</f>
        <v>0</v>
      </c>
      <c r="AC64" s="24">
        <f t="shared" si="3"/>
        <v>0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14.8</v>
      </c>
      <c r="AI64" s="14">
        <f>IF('Données projet'!$A$62&gt;35,AI63+AH64-AQ63,IF(A64&lt;'Données projet'!$A$62,$AF$205^A64,IF(A64='Données projet'!$A$62,'Données projet'!$B$62,AI63+AH64-AQ63)))</f>
        <v>640.80000000000052</v>
      </c>
      <c r="AJ64" s="14">
        <f>AI64*VLOOKUP('Données projet'!$B$10,Paramètres!$A$1:$I$89,3,0)*VLOOKUP('Données projet'!$B$10,Paramètres!$A$1:$I$89,5,0)</f>
        <v>283.23360000000025</v>
      </c>
      <c r="AK64" s="14">
        <f t="shared" si="35"/>
        <v>67.649904178362377</v>
      </c>
      <c r="AL64" s="22">
        <f t="shared" si="4"/>
        <v>611.12210311064825</v>
      </c>
      <c r="AM64" s="62">
        <f t="shared" si="5"/>
        <v>872.93428455577759</v>
      </c>
      <c r="AN64" s="62">
        <f ca="1">AVERAGE(OFFSET($AM$3,0,0,'Données projet'!$E$10+1,1))-AVERAGE(OFFSET($H$3,0,0,'Données projet'!$E$10+1,1))</f>
        <v>413.08876898406481</v>
      </c>
      <c r="AO64" s="62">
        <f t="shared" si="36"/>
        <v>520.31320932826566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43.864953066944928</v>
      </c>
      <c r="AV64" s="23">
        <f>EXP(-LN(2)/25)*AV63+(1-EXP(-LN(2)/25))/(LN(2)/25)*Calculateur!AQ64*Calculateur!AS64*VLOOKUP('Données projet'!$B$10,Paramètres!$A$1:$I$89,3,0)*0.475*44/12</f>
        <v>19.626390989467836</v>
      </c>
      <c r="AW64" s="23">
        <f>EXP(-LN(2)/2)*AW63+(1-EXP(-LN(2)/2))/(LN(2)/2)*AQ64*AT64*VLOOKUP('Données projet'!$B$10,Paramètres!$A$1:$I$89,3,0)*0.475*44/12</f>
        <v>1.5734842080234068E-2</v>
      </c>
      <c r="AX64" s="23">
        <f t="shared" si="6"/>
        <v>63.507078898492999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14.8</v>
      </c>
      <c r="BD64" s="13">
        <f>IF('Données projet'!$A$88&gt;35,BD63+BC64-BL63,IF(A64&lt;'Données projet'!$A$88,$BA$205^A64,IF(A64='Données projet'!$A$88,'Données projet'!$B$88,BD63+BC64-BL63)))</f>
        <v>640.80000000000052</v>
      </c>
      <c r="BE64" s="14">
        <f>BD64*VLOOKUP('Données projet'!$B$11,Paramètres!$A$1:$I$89,3,0)*VLOOKUP('Données projet'!$B$11,Paramètres!$A$1:$I$89,5,0)</f>
        <v>358.20720000000028</v>
      </c>
      <c r="BF64" s="14">
        <f t="shared" si="37"/>
        <v>83.250172494099061</v>
      </c>
      <c r="BG64" s="22">
        <f t="shared" si="7"/>
        <v>768.87159042722294</v>
      </c>
      <c r="BH64" s="62">
        <f t="shared" si="8"/>
        <v>1030.6837718723523</v>
      </c>
      <c r="BI64" s="62">
        <f ca="1">AVERAGE(OFFSET($BH$3,0,0,'Données projet'!$E$11+1,1))-AVERAGE(OFFSET($H$3,0,0,'Données projet'!$E$11+1,1))</f>
        <v>507.66185230065889</v>
      </c>
      <c r="BJ64" s="62">
        <f t="shared" si="38"/>
        <v>640.14375617778342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55.476264172900954</v>
      </c>
      <c r="BQ64" s="23">
        <f>EXP(-LN(2)/25)*BQ63+(1-EXP(-LN(2)/25))/(LN(2)/25)*Calculateur!BL64*Calculateur!BN64*VLOOKUP('Données projet'!$B$11,Paramètres!$A$1:$I$89,3,0)*0.475*44/12</f>
        <v>24.821612133738746</v>
      </c>
      <c r="BR64" s="23">
        <f>EXP(-LN(2)/2)*BR63+(1-EXP(-LN(2)/2))/(LN(2)/2)*BL64*BO64*VLOOKUP('Données projet'!$B$11,Paramètres!$A$1:$I$89,3,0)*0.475*44/12</f>
        <v>1.989994733676663E-2</v>
      </c>
      <c r="BS64" s="24">
        <f t="shared" si="9"/>
        <v>80.317776253976461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11.157975389000001</v>
      </c>
      <c r="BY64" s="13">
        <f>IF('Données projet'!$A$114&gt;35,BY63+BX64-CG63,IF(A64&lt;'Données projet'!$A$114,$BV$205^A64,IF(A64='Données projet'!$A$114,'Données projet'!$B$114,BY63+BX64-CG63)))</f>
        <v>246.40231699899994</v>
      </c>
      <c r="BZ64" s="14">
        <f>BY64*VLOOKUP('Données projet'!$B$12,Paramètres!$A$1:$I$89,3,0)*VLOOKUP('Données projet'!$B$12,Paramètres!$A$1:$I$89,5,0)</f>
        <v>115.31628435553196</v>
      </c>
      <c r="CA64" s="14">
        <f t="shared" si="39"/>
        <v>30.580081231814894</v>
      </c>
      <c r="CB64" s="22">
        <f t="shared" si="10"/>
        <v>254.10283673129575</v>
      </c>
      <c r="CC64" s="62">
        <f t="shared" si="11"/>
        <v>515.91501817642506</v>
      </c>
      <c r="CD64" s="62">
        <f ca="1">AVERAGE(OFFSET($CC$3,0,0,'Données projet'!$E$12+1,1))-AVERAGE(OFFSET($H$3,0,0,'Données projet'!$E$12+1,1))</f>
        <v>289.21044803824958</v>
      </c>
      <c r="CE64" s="62">
        <f t="shared" si="40"/>
        <v>196.11836398299445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>
        <f>EXP(-LN(2)/35)*CK63+(1-EXP(-LN(2)/35))/(LN(2)/35)*CG64*CH64*VLOOKUP('Données projet'!$B$12,Paramètres!$A$1:$I$89,3,0)*0.475*44/12</f>
        <v>9.8438557483643141</v>
      </c>
      <c r="CL64" s="23">
        <f>EXP(-LN(2)/25)*CL63+(1-EXP(-LN(2)/25))/(LN(2)/25)*Calculateur!CG64*Calculateur!CI64*VLOOKUP('Données projet'!$B$12,Paramètres!$A$1:$I$89,3,0)*0.475*44/12</f>
        <v>21.100010069331574</v>
      </c>
      <c r="CM64" s="23">
        <f>EXP(-LN(2)/2)*CM63+(1-EXP(-LN(2)/2))/(LN(2)/2)*CG64*CJ64*VLOOKUP('Données projet'!$B$12,Paramètres!$A$1:$I$89,3,0)*0.475*44/12</f>
        <v>0</v>
      </c>
      <c r="CN64" s="24">
        <f t="shared" si="12"/>
        <v>30.943865817695887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-5.6843418860808015E-14</v>
      </c>
      <c r="CU64" s="18">
        <f>CT64*VLOOKUP('Données projet'!$B$13,Paramètres!$A$1:$I$89,3,0)*VLOOKUP('Données projet'!$B$13,Paramètres!$A$1:$I$89,5,0)</f>
        <v>-5.1431925385259088E-14</v>
      </c>
      <c r="CV64" s="14" t="e">
        <f t="shared" si="41"/>
        <v>#NUM!</v>
      </c>
      <c r="CW64" s="22" t="e">
        <f t="shared" si="13"/>
        <v>#NUM!</v>
      </c>
      <c r="CX64" s="62" t="e">
        <f t="shared" si="14"/>
        <v>#NUM!</v>
      </c>
      <c r="CY64" s="62">
        <f ca="1">AVERAGE(OFFSET($CX$3,0,0,'Données projet'!$E$13+1,1))-AVERAGE(OFFSET($H$3,0,0,'Données projet'!$E$13+1,1))</f>
        <v>376.68007030857598</v>
      </c>
      <c r="CZ64" s="62">
        <f t="shared" si="42"/>
        <v>532.90758914457626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>
        <f>EXP(-LN(2)/35)*DF63+(1-EXP(-LN(2)/35))/(LN(2)/35)*DB64*DC64*VLOOKUP('Données projet'!$B$13,Paramètres!$A$1:$I$89,3,0)*0.475*44/12</f>
        <v>68.19646113516238</v>
      </c>
      <c r="DG64" s="23">
        <f>EXP(-LN(2)/25)*DG63+(1-EXP(-LN(2)/25))/(LN(2)/25)*Calculateur!DB64*Calculateur!DD64*VLOOKUP('Données projet'!$B$13,Paramètres!$A$1:$I$89,3,0)*0.475*44/12</f>
        <v>5.54628838130966</v>
      </c>
      <c r="DH64" s="23">
        <f>EXP(-LN(2)/2)*DH63+(1-EXP(-LN(2)/2))/(LN(2)/2)*DB64*DE64*VLOOKUP('Données projet'!$B$13,Paramètres!$A$1:$I$89,3,0)*0.475*44/12</f>
        <v>0</v>
      </c>
      <c r="DI64" s="24">
        <f t="shared" si="15"/>
        <v>73.742749516472045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8.6666666666666661</v>
      </c>
      <c r="DO64" s="13">
        <f>IF('Données projet'!$A$166&gt;35,DO63+DN64-DW63,IF(A64&lt;'Données projet'!$A$166,$DL$205^A64,IF(A64='Données projet'!$A$166,'Données projet'!$B$166,DO63+DN64-DW63)))</f>
        <v>258.66666666666657</v>
      </c>
      <c r="DP64" s="18">
        <f>DO64*VLOOKUP('Données projet'!$B$14,Paramètres!$A$1:$I$89,3,0)*VLOOKUP('Données projet'!$B$14,Paramètres!$A$1:$I$89,5,0)</f>
        <v>246.14719999999991</v>
      </c>
      <c r="DQ64" s="14">
        <f t="shared" si="43"/>
        <v>59.760177454790401</v>
      </c>
      <c r="DR64" s="22">
        <f t="shared" si="16"/>
        <v>532.78868240042641</v>
      </c>
      <c r="DS64" s="62">
        <f t="shared" si="17"/>
        <v>794.60086384555575</v>
      </c>
      <c r="DT64" s="62">
        <f ca="1">AVERAGE(OFFSET($DS$3,0,0,'Données projet'!$E$14+1,1))-AVERAGE(OFFSET($H$3,0,0,'Données projet'!$E$14+1,1))</f>
        <v>364.63161066507769</v>
      </c>
      <c r="DU64" s="62">
        <f t="shared" si="44"/>
        <v>355.44729904860708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>
        <f>EXP(-LN(2)/35)*EA63+(1-EXP(-LN(2)/35))/(LN(2)/35)*DW64*DX64*VLOOKUP('Données projet'!$B$14,Paramètres!$A$1:$I$89,3,0)*0.475*44/12</f>
        <v>19.505587247162492</v>
      </c>
      <c r="EB64" s="23">
        <f>EXP(-LN(2)/25)*EB63+(1-EXP(-LN(2)/25))/(LN(2)/25)*Calculateur!DW64*Calculateur!DY64*VLOOKUP('Données projet'!$B$14,Paramètres!$A$1:$I$89,3,0)*0.475*44/12</f>
        <v>0</v>
      </c>
      <c r="EC64" s="23">
        <f>EXP(-LN(2)/2)*EC63+(1-EXP(-LN(2)/2))/(LN(2)/2)*DW64*DZ64*VLOOKUP('Données projet'!$B$14,Paramètres!$A$1:$I$89,3,0)*0.475*44/12</f>
        <v>0</v>
      </c>
      <c r="ED64" s="24">
        <f t="shared" si="18"/>
        <v>19.505587247162492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8.6666666666666661</v>
      </c>
      <c r="EJ64" s="13">
        <f>IF('Données projet'!$A$192&gt;35,EJ63+EI64-ER63,IF(A64&lt;'Données projet'!$A$192,$EG$205^A64,IF(A64='Données projet'!$A$192,'Données projet'!$B$192,EJ63+EI64-ER63)))</f>
        <v>258.66666666666657</v>
      </c>
      <c r="EK64" s="18">
        <f>EJ64*VLOOKUP('Données projet'!$B$15,Paramètres!$A$1:$I$89,3,0)*VLOOKUP('Données projet'!$B$15,Paramètres!$A$1:$I$89,5,0)</f>
        <v>189.65439999999992</v>
      </c>
      <c r="EL64" s="14">
        <f t="shared" si="45"/>
        <v>47.463537503969413</v>
      </c>
      <c r="EM64" s="22">
        <f t="shared" si="19"/>
        <v>412.98040781941319</v>
      </c>
      <c r="EN64" s="62">
        <f t="shared" si="20"/>
        <v>674.79258926454258</v>
      </c>
      <c r="EO64" s="62">
        <f ca="1">AVERAGE(OFFSET($EN$3,0,0,'Données projet'!$E$15+1,1))-AVERAGE(OFFSET($H$3,0,0,'Données projet'!$E$15+1,1))</f>
        <v>293.59366973965774</v>
      </c>
      <c r="EP64" s="62">
        <f t="shared" si="46"/>
        <v>288.13804536120426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>
        <f>EXP(-LN(2)/35)*EV63+(1-EXP(-LN(2)/35))/(LN(2)/35)*ER64*ES64*VLOOKUP('Données projet'!$B$15,Paramètres!$A$1:$I$89,3,0)*0.475*44/12</f>
        <v>15.028895092076015</v>
      </c>
      <c r="EW64" s="23">
        <f>EXP(-LN(2)/25)*EW63+(1-EXP(-LN(2)/25))/(LN(2)/25)*Calculateur!ER64*Calculateur!ET64*VLOOKUP('Données projet'!$B$15,Paramètres!$A$1:$I$89,3,0)*0.475*44/12</f>
        <v>0</v>
      </c>
      <c r="EX64" s="23">
        <f>EXP(-LN(2)/2)*EX63+(1-EXP(-LN(2)/2))/(LN(2)/2)*ER64*EU64*VLOOKUP('Données projet'!$B$15,Paramètres!$A$1:$I$89,3,0)*0.475*44/12</f>
        <v>0</v>
      </c>
      <c r="EY64" s="24">
        <f t="shared" si="21"/>
        <v>15.028895092076015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8.6666666666666661</v>
      </c>
      <c r="FE64" s="13">
        <f>IF('Données projet'!$A$218&gt;35,FE63+FD64-FM63,IF(A64&lt;'Données projet'!$A$218,$FB$205^A64,IF(A64='Données projet'!$A$218,'Données projet'!$B$218,FE63+FD64-FM63)))</f>
        <v>258.66666666666657</v>
      </c>
      <c r="FF64" s="18">
        <f>FE64*VLOOKUP('Données projet'!$B$16,Paramètres!$A$1:$I$89,3,0)*VLOOKUP('Données projet'!$B$16,Paramètres!$A$1:$I$89,5,0)</f>
        <v>250.18239999999992</v>
      </c>
      <c r="FG64" s="14">
        <f t="shared" si="47"/>
        <v>60.624997409037995</v>
      </c>
      <c r="FH64" s="22">
        <f t="shared" si="22"/>
        <v>541.32288382074091</v>
      </c>
      <c r="FI64" s="62">
        <f t="shared" si="23"/>
        <v>803.13506526587025</v>
      </c>
      <c r="FJ64" s="62">
        <f ca="1">AVERAGE(OFFSET($FI$3,0,0,'Données projet'!$E$16+1,1))-AVERAGE(OFFSET($H$3,0,0,'Données projet'!$E$16+1,1))</f>
        <v>369.69145521630799</v>
      </c>
      <c r="FK64" s="62">
        <f t="shared" si="48"/>
        <v>360.24112103688719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>
        <f>EXP(-LN(2)/35)*FQ63+(1-EXP(-LN(2)/35))/(LN(2)/35)*FM64*FN64*VLOOKUP('Données projet'!$B$16,Paramètres!$A$1:$I$89,3,0)*0.475*44/12</f>
        <v>19.825350972525808</v>
      </c>
      <c r="FR64" s="23">
        <f>EXP(-LN(2)/25)*FR63+(1-EXP(-LN(2)/25))/(LN(2)/25)*Calculateur!FM64*Calculateur!FO64*VLOOKUP('Données projet'!$B$16,Paramètres!$A$1:$I$89,3,0)*0.475*44/12</f>
        <v>0</v>
      </c>
      <c r="FS64" s="23">
        <f>EXP(-LN(2)/2)*FS63+(1-EXP(-LN(2)/2))/(LN(2)/2)*FM64*FP64*VLOOKUP('Données projet'!$B$16,Paramètres!$A$1:$I$89,3,0)*0.475*44/12</f>
        <v>0</v>
      </c>
      <c r="FT64" s="24">
        <f t="shared" si="24"/>
        <v>19.825350972525808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8.6666666666666661</v>
      </c>
      <c r="FZ64" s="13">
        <f>IF('Données projet'!$A$244&gt;35,FZ63+FY64-GH63,IF(A64&lt;'Données projet'!$A$244,$FW$205^A64,IF(A64='Données projet'!$A$244,'Données projet'!$B$244,FZ63+FY64-GH63)))</f>
        <v>258.66666666666657</v>
      </c>
      <c r="GA64" s="18">
        <f>FZ64*VLOOKUP('Données projet'!$B$17,Paramètres!$A$1:$I$89,3,0)*VLOOKUP('Données projet'!$B$17,Paramètres!$A$1:$I$89,5,0)</f>
        <v>278.42879999999991</v>
      </c>
      <c r="GB64" s="14">
        <f t="shared" si="49"/>
        <v>66.634860488094674</v>
      </c>
      <c r="GC64" s="22">
        <f t="shared" si="25"/>
        <v>600.98587535009801</v>
      </c>
      <c r="GD64" s="62">
        <f t="shared" si="26"/>
        <v>862.79805679522735</v>
      </c>
      <c r="GE64" s="62">
        <f ca="1">AVERAGE(OFFSET($GD$3,0,0,'Données projet'!$E$17+1,1))-AVERAGE(OFFSET($H$3,0,0,'Données projet'!$E$17+1,1))</f>
        <v>405.06394904053946</v>
      </c>
      <c r="GF64" s="62">
        <f t="shared" si="50"/>
        <v>393.75247087518198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>
        <f>EXP(-LN(2)/35)*GL63+(1-EXP(-LN(2)/35))/(LN(2)/35)*GH64*GI64*VLOOKUP('Données projet'!$B$17,Paramètres!$A$1:$I$89,3,0)*0.475*44/12</f>
        <v>22.063697050069042</v>
      </c>
      <c r="GM64" s="23">
        <f>EXP(-LN(2)/25)*GM63+(1-EXP(-LN(2)/25))/(LN(2)/25)*Calculateur!GH64*Calculateur!GJ64*VLOOKUP('Données projet'!$B$17,Paramètres!$A$1:$I$89,3,0)*0.475*44/12</f>
        <v>0</v>
      </c>
      <c r="GN64" s="23">
        <f>EXP(-LN(2)/2)*GN63+(1-EXP(-LN(2)/2))/(LN(2)/2)*GH64*GK64*VLOOKUP('Données projet'!$B$17,Paramètres!$A$1:$I$89,3,0)*0.475*44/12</f>
        <v>0</v>
      </c>
      <c r="GO64" s="23">
        <f t="shared" si="27"/>
        <v>22.063697050069042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8.6666666666666661</v>
      </c>
      <c r="GU64" s="13">
        <f>IF('Données projet'!$A$270&gt;35,GU63+GT64-HC63,IF(A64&lt;'Données projet'!$A$270,$GR$205^A64,IF(A64='Données projet'!$A$270,'Données projet'!$B$270,GU63+GT64-HC63)))</f>
        <v>258.66666666666657</v>
      </c>
      <c r="GV64" s="18">
        <f>GU64*VLOOKUP('Données projet'!$B$18,Paramètres!$A$1:$I$89,3,0)*VLOOKUP('Données projet'!$B$18,Paramètres!$A$1:$I$89,5,0)</f>
        <v>173.51359999999994</v>
      </c>
      <c r="GW64" s="14">
        <f t="shared" si="51"/>
        <v>43.876013714412544</v>
      </c>
      <c r="GX64" s="22">
        <f t="shared" si="28"/>
        <v>378.62024388593505</v>
      </c>
      <c r="GY64" s="62">
        <f t="shared" si="29"/>
        <v>640.43242533106445</v>
      </c>
      <c r="GZ64" s="62">
        <f ca="1">AVERAGE(OFFSET($GY$3,0,0,'Données projet'!$E$18+1,1))-AVERAGE(OFFSET($H$3,0,0,'Données projet'!$E$18+1,1))</f>
        <v>273.21861937609918</v>
      </c>
      <c r="HA64" s="62">
        <f t="shared" si="52"/>
        <v>268.83004886965318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>
        <f>EXP(-LN(2)/35)*HG63+(1-EXP(-LN(2)/35))/(LN(2)/35)*HC64*HD64*VLOOKUP('Données projet'!$B$18,Paramètres!$A$1:$I$89,3,0)*0.475*44/12</f>
        <v>16.947477444255931</v>
      </c>
      <c r="HH64" s="23">
        <f>EXP(-LN(2)/25)*HH63+(1-EXP(-LN(2)/25))/(LN(2)/25)*Calculateur!HC64*Calculateur!HE64*VLOOKUP('Données projet'!$B$18,Paramètres!$A$1:$I$89,3,0)*0.475*44/12</f>
        <v>0</v>
      </c>
      <c r="HI64" s="23">
        <f>EXP(-LN(2)/2)*HI63+(1-EXP(-LN(2)/2))/(LN(2)/2)*HC64*HF64*VLOOKUP('Données projet'!$B$18,Paramètres!$A$1:$I$89,3,0)*0.475*44/12</f>
        <v>0</v>
      </c>
      <c r="HJ64" s="24">
        <f t="shared" si="30"/>
        <v>16.947477444255931</v>
      </c>
    </row>
    <row r="65" spans="1:218" s="5" customFormat="1" x14ac:dyDescent="0.4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6.125</v>
      </c>
      <c r="N65" s="14">
        <f>IF('Données projet'!$A$36&gt;35,N64+M65-V64,IF(A65&lt;'Données projet'!$A$36,$K$205^A65,IF(A65='Données projet'!$A$36,'Données projet'!$B$36,N64+M65-V64)))</f>
        <v>129.25000000000006</v>
      </c>
      <c r="O65" s="14">
        <f>N65*VLOOKUP('Données projet'!$B$9,Paramètres!$A$1:$I$89,3,0)*VLOOKUP('Données projet'!$B$9,Paramètres!$A$1:$I$89,5,0)</f>
        <v>116.94540000000005</v>
      </c>
      <c r="P65" s="14">
        <f t="shared" si="33"/>
        <v>30.961498412176052</v>
      </c>
      <c r="Q65" s="22">
        <f t="shared" si="53"/>
        <v>257.60451473454003</v>
      </c>
      <c r="R65" s="62">
        <f t="shared" si="0"/>
        <v>519.9635176941913</v>
      </c>
      <c r="S65" s="62">
        <f ca="1">AVERAGE(OFFSET($R$3,0,0,'Données projet'!$E$9+1,1))-AVERAGE(OFFSET($H$3,0,0,'Données projet'!$E$9+1,1))</f>
        <v>432.80275651765203</v>
      </c>
      <c r="T65" s="62">
        <f t="shared" si="34"/>
        <v>203.89279893419919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0</v>
      </c>
      <c r="AA65" s="23">
        <f>EXP(-LN(2)/25)*AA64+(1-EXP(-LN(2)/25))/(LN(2)/25)*Calculateur!V65*Calculateur!X65*VLOOKUP('Données projet'!$B$9,Paramètres!$A$1:$I$89,3,0)*0.475*44/12</f>
        <v>0</v>
      </c>
      <c r="AB65" s="23">
        <f>EXP(-LN(2)/2)*AB64+(1-EXP(-LN(2)/2))/(LN(2)/2)*V65*Y65*VLOOKUP('Données projet'!$B$9,Paramètres!$A$1:$I$89,3,0)*0.475*44/12</f>
        <v>0</v>
      </c>
      <c r="AC65" s="24">
        <f t="shared" si="3"/>
        <v>0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14.8</v>
      </c>
      <c r="AI65" s="14">
        <f>IF('Données projet'!$A$62&gt;35,AI64+AH65-AQ64,IF(A65&lt;'Données projet'!$A$62,$AF$205^A65,IF(A65='Données projet'!$A$62,'Données projet'!$B$62,AI64+AH65-AQ64)))</f>
        <v>655.60000000000048</v>
      </c>
      <c r="AJ65" s="14">
        <f>AI65*VLOOKUP('Données projet'!$B$10,Paramètres!$A$1:$I$89,3,0)*VLOOKUP('Données projet'!$B$10,Paramètres!$A$1:$I$89,5,0)</f>
        <v>289.77520000000021</v>
      </c>
      <c r="AK65" s="14">
        <f t="shared" si="35"/>
        <v>69.028645843067608</v>
      </c>
      <c r="AL65" s="22">
        <f t="shared" si="4"/>
        <v>624.9166981766765</v>
      </c>
      <c r="AM65" s="62">
        <f t="shared" si="5"/>
        <v>887.27570113632783</v>
      </c>
      <c r="AN65" s="62">
        <f ca="1">AVERAGE(OFFSET($AM$3,0,0,'Données projet'!$E$10+1,1))-AVERAGE(OFFSET($H$3,0,0,'Données projet'!$E$10+1,1))</f>
        <v>413.08876898406481</v>
      </c>
      <c r="AO65" s="62">
        <f t="shared" si="36"/>
        <v>520.31320932826566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43.004788092281672</v>
      </c>
      <c r="AV65" s="23">
        <f>EXP(-LN(2)/25)*AV64+(1-EXP(-LN(2)/25))/(LN(2)/25)*Calculateur!AQ65*Calculateur!AS65*VLOOKUP('Données projet'!$B$10,Paramètres!$A$1:$I$89,3,0)*0.475*44/12</f>
        <v>19.089706295753793</v>
      </c>
      <c r="AW65" s="23">
        <f>EXP(-LN(2)/2)*AW64+(1-EXP(-LN(2)/2))/(LN(2)/2)*AQ65*AT65*VLOOKUP('Données projet'!$B$10,Paramètres!$A$1:$I$89,3,0)*0.475*44/12</f>
        <v>1.1126213535832952E-2</v>
      </c>
      <c r="AX65" s="23">
        <f t="shared" si="6"/>
        <v>62.105620601571296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14.8</v>
      </c>
      <c r="BD65" s="13">
        <f>IF('Données projet'!$A$88&gt;35,BD64+BC65-BL64,IF(A65&lt;'Données projet'!$A$88,$BA$205^A65,IF(A65='Données projet'!$A$88,'Données projet'!$B$88,BD64+BC65-BL64)))</f>
        <v>655.60000000000048</v>
      </c>
      <c r="BE65" s="14">
        <f>BD65*VLOOKUP('Données projet'!$B$11,Paramètres!$A$1:$I$89,3,0)*VLOOKUP('Données projet'!$B$11,Paramètres!$A$1:$I$89,5,0)</f>
        <v>366.48040000000026</v>
      </c>
      <c r="BF65" s="14">
        <f t="shared" si="37"/>
        <v>84.946856071194489</v>
      </c>
      <c r="BG65" s="22">
        <f t="shared" si="7"/>
        <v>786.23580432399751</v>
      </c>
      <c r="BH65" s="62">
        <f t="shared" si="8"/>
        <v>1048.5948072836488</v>
      </c>
      <c r="BI65" s="62">
        <f ca="1">AVERAGE(OFFSET($BH$3,0,0,'Données projet'!$E$11+1,1))-AVERAGE(OFFSET($H$3,0,0,'Données projet'!$E$11+1,1))</f>
        <v>507.66185230065889</v>
      </c>
      <c r="BJ65" s="62">
        <f t="shared" si="38"/>
        <v>640.14375617778342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54.388408469650365</v>
      </c>
      <c r="BQ65" s="23">
        <f>EXP(-LN(2)/25)*BQ64+(1-EXP(-LN(2)/25))/(LN(2)/25)*Calculateur!BL65*Calculateur!BN65*VLOOKUP('Données projet'!$B$11,Paramètres!$A$1:$I$89,3,0)*0.475*44/12</f>
        <v>24.142863844629808</v>
      </c>
      <c r="BR65" s="23">
        <f>EXP(-LN(2)/2)*BR64+(1-EXP(-LN(2)/2))/(LN(2)/2)*BL65*BO65*VLOOKUP('Données projet'!$B$11,Paramètres!$A$1:$I$89,3,0)*0.475*44/12</f>
        <v>1.407138770708286E-2</v>
      </c>
      <c r="BS65" s="24">
        <f t="shared" si="9"/>
        <v>78.54534370198725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11.157975389000001</v>
      </c>
      <c r="BY65" s="13">
        <f>IF('Données projet'!$A$114&gt;35,BY64+BX65-CG64,IF(A65&lt;'Données projet'!$A$114,$BV$205^A65,IF(A65='Données projet'!$A$114,'Données projet'!$B$114,BY64+BX65-CG64)))</f>
        <v>257.56029238799994</v>
      </c>
      <c r="BZ65" s="14">
        <f>BY65*VLOOKUP('Données projet'!$B$12,Paramètres!$A$1:$I$89,3,0)*VLOOKUP('Données projet'!$B$12,Paramètres!$A$1:$I$89,5,0)</f>
        <v>120.53821683758397</v>
      </c>
      <c r="CA65" s="14">
        <f t="shared" si="39"/>
        <v>31.800496819721246</v>
      </c>
      <c r="CB65" s="22">
        <f t="shared" si="10"/>
        <v>265.32325961980661</v>
      </c>
      <c r="CC65" s="62">
        <f t="shared" si="11"/>
        <v>527.68226257945798</v>
      </c>
      <c r="CD65" s="62">
        <f ca="1">AVERAGE(OFFSET($CC$3,0,0,'Données projet'!$E$12+1,1))-AVERAGE(OFFSET($H$3,0,0,'Données projet'!$E$12+1,1))</f>
        <v>289.21044803824958</v>
      </c>
      <c r="CE65" s="62">
        <f t="shared" si="40"/>
        <v>196.11836398299445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>
        <f>EXP(-LN(2)/35)*CK64+(1-EXP(-LN(2)/35))/(LN(2)/35)*CG65*CH65*VLOOKUP('Données projet'!$B$12,Paramètres!$A$1:$I$89,3,0)*0.475*44/12</f>
        <v>9.6508237412980353</v>
      </c>
      <c r="CL65" s="23">
        <f>EXP(-LN(2)/25)*CL64+(1-EXP(-LN(2)/25))/(LN(2)/25)*Calculateur!CG65*Calculateur!CI65*VLOOKUP('Données projet'!$B$12,Paramètres!$A$1:$I$89,3,0)*0.475*44/12</f>
        <v>20.523029184384399</v>
      </c>
      <c r="CM65" s="23">
        <f>EXP(-LN(2)/2)*CM64+(1-EXP(-LN(2)/2))/(LN(2)/2)*CG65*CJ65*VLOOKUP('Données projet'!$B$12,Paramètres!$A$1:$I$89,3,0)*0.475*44/12</f>
        <v>0</v>
      </c>
      <c r="CN65" s="24">
        <f t="shared" si="12"/>
        <v>30.173852925682432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-5.6843418860808015E-14</v>
      </c>
      <c r="CU65" s="18">
        <f>CT65*VLOOKUP('Données projet'!$B$13,Paramètres!$A$1:$I$89,3,0)*VLOOKUP('Données projet'!$B$13,Paramètres!$A$1:$I$89,5,0)</f>
        <v>-5.1431925385259088E-14</v>
      </c>
      <c r="CV65" s="14" t="e">
        <f t="shared" si="41"/>
        <v>#NUM!</v>
      </c>
      <c r="CW65" s="22" t="e">
        <f t="shared" si="13"/>
        <v>#NUM!</v>
      </c>
      <c r="CX65" s="62" t="e">
        <f t="shared" si="14"/>
        <v>#NUM!</v>
      </c>
      <c r="CY65" s="62">
        <f ca="1">AVERAGE(OFFSET($CX$3,0,0,'Données projet'!$E$13+1,1))-AVERAGE(OFFSET($H$3,0,0,'Données projet'!$E$13+1,1))</f>
        <v>376.68007030857598</v>
      </c>
      <c r="CZ65" s="62">
        <f t="shared" si="42"/>
        <v>532.90758914457626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>
        <f>EXP(-LN(2)/35)*DF64+(1-EXP(-LN(2)/35))/(LN(2)/35)*DB65*DC65*VLOOKUP('Données projet'!$B$13,Paramètres!$A$1:$I$89,3,0)*0.475*44/12</f>
        <v>66.859170128035899</v>
      </c>
      <c r="DG65" s="23">
        <f>EXP(-LN(2)/25)*DG64+(1-EXP(-LN(2)/25))/(LN(2)/25)*Calculateur!DB65*Calculateur!DD65*VLOOKUP('Données projet'!$B$13,Paramètres!$A$1:$I$89,3,0)*0.475*44/12</f>
        <v>5.3946248338561178</v>
      </c>
      <c r="DH65" s="23">
        <f>EXP(-LN(2)/2)*DH64+(1-EXP(-LN(2)/2))/(LN(2)/2)*DB65*DE65*VLOOKUP('Données projet'!$B$13,Paramètres!$A$1:$I$89,3,0)*0.475*44/12</f>
        <v>0</v>
      </c>
      <c r="DI65" s="24">
        <f t="shared" si="15"/>
        <v>72.253794961892012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8.6666666666666661</v>
      </c>
      <c r="DO65" s="13">
        <f>IF('Données projet'!$A$166&gt;35,DO64+DN65-DW64,IF(A65&lt;'Données projet'!$A$166,$DL$205^A65,IF(A65='Données projet'!$A$166,'Données projet'!$B$166,DO64+DN65-DW64)))</f>
        <v>267.33333333333326</v>
      </c>
      <c r="DP65" s="18">
        <f>DO65*VLOOKUP('Données projet'!$B$14,Paramètres!$A$1:$I$89,3,0)*VLOOKUP('Données projet'!$B$14,Paramètres!$A$1:$I$89,5,0)</f>
        <v>254.39439999999996</v>
      </c>
      <c r="DQ65" s="14">
        <f t="shared" si="43"/>
        <v>61.525979059893217</v>
      </c>
      <c r="DR65" s="22">
        <f t="shared" si="16"/>
        <v>550.22799352931395</v>
      </c>
      <c r="DS65" s="62">
        <f t="shared" si="17"/>
        <v>812.58699648896527</v>
      </c>
      <c r="DT65" s="62">
        <f ca="1">AVERAGE(OFFSET($DS$3,0,0,'Données projet'!$E$14+1,1))-AVERAGE(OFFSET($H$3,0,0,'Données projet'!$E$14+1,1))</f>
        <v>364.63161066507769</v>
      </c>
      <c r="DU65" s="62">
        <f t="shared" si="44"/>
        <v>355.44729904860708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>
        <f>EXP(-LN(2)/35)*EA64+(1-EXP(-LN(2)/35))/(LN(2)/35)*DW65*DX65*VLOOKUP('Données projet'!$B$14,Paramètres!$A$1:$I$89,3,0)*0.475*44/12</f>
        <v>19.123094578479101</v>
      </c>
      <c r="EB65" s="23">
        <f>EXP(-LN(2)/25)*EB64+(1-EXP(-LN(2)/25))/(LN(2)/25)*Calculateur!DW65*Calculateur!DY65*VLOOKUP('Données projet'!$B$14,Paramètres!$A$1:$I$89,3,0)*0.475*44/12</f>
        <v>0</v>
      </c>
      <c r="EC65" s="23">
        <f>EXP(-LN(2)/2)*EC64+(1-EXP(-LN(2)/2))/(LN(2)/2)*DW65*DZ65*VLOOKUP('Données projet'!$B$14,Paramètres!$A$1:$I$89,3,0)*0.475*44/12</f>
        <v>0</v>
      </c>
      <c r="ED65" s="24">
        <f t="shared" si="18"/>
        <v>19.123094578479101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8.6666666666666661</v>
      </c>
      <c r="EJ65" s="13">
        <f>IF('Données projet'!$A$192&gt;35,EJ64+EI65-ER64,IF(A65&lt;'Données projet'!$A$192,$EG$205^A65,IF(A65='Données projet'!$A$192,'Données projet'!$B$192,EJ64+EI65-ER64)))</f>
        <v>267.33333333333326</v>
      </c>
      <c r="EK65" s="18">
        <f>EJ65*VLOOKUP('Données projet'!$B$15,Paramètres!$A$1:$I$89,3,0)*VLOOKUP('Données projet'!$B$15,Paramètres!$A$1:$I$89,5,0)</f>
        <v>196.00879999999992</v>
      </c>
      <c r="EL65" s="14">
        <f t="shared" si="45"/>
        <v>48.865996370022337</v>
      </c>
      <c r="EM65" s="22">
        <f t="shared" si="19"/>
        <v>426.49027034445544</v>
      </c>
      <c r="EN65" s="62">
        <f t="shared" si="20"/>
        <v>688.84927330410676</v>
      </c>
      <c r="EO65" s="62">
        <f ca="1">AVERAGE(OFFSET($EN$3,0,0,'Données projet'!$E$15+1,1))-AVERAGE(OFFSET($H$3,0,0,'Données projet'!$E$15+1,1))</f>
        <v>293.59366973965774</v>
      </c>
      <c r="EP65" s="62">
        <f t="shared" si="46"/>
        <v>288.13804536120426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>
        <f>EXP(-LN(2)/35)*EV64+(1-EXP(-LN(2)/35))/(LN(2)/35)*ER65*ES65*VLOOKUP('Données projet'!$B$15,Paramètres!$A$1:$I$89,3,0)*0.475*44/12</f>
        <v>14.734187626041273</v>
      </c>
      <c r="EW65" s="23">
        <f>EXP(-LN(2)/25)*EW64+(1-EXP(-LN(2)/25))/(LN(2)/25)*Calculateur!ER65*Calculateur!ET65*VLOOKUP('Données projet'!$B$15,Paramètres!$A$1:$I$89,3,0)*0.475*44/12</f>
        <v>0</v>
      </c>
      <c r="EX65" s="23">
        <f>EXP(-LN(2)/2)*EX64+(1-EXP(-LN(2)/2))/(LN(2)/2)*ER65*EU65*VLOOKUP('Données projet'!$B$15,Paramètres!$A$1:$I$89,3,0)*0.475*44/12</f>
        <v>0</v>
      </c>
      <c r="EY65" s="24">
        <f t="shared" si="21"/>
        <v>14.734187626041273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8.6666666666666661</v>
      </c>
      <c r="FE65" s="13">
        <f>IF('Données projet'!$A$218&gt;35,FE64+FD65-FM64,IF(A65&lt;'Données projet'!$A$218,$FB$205^A65,IF(A65='Données projet'!$A$218,'Données projet'!$B$218,FE64+FD65-FM64)))</f>
        <v>267.33333333333326</v>
      </c>
      <c r="FF65" s="18">
        <f>FE65*VLOOKUP('Données projet'!$B$16,Paramètres!$A$1:$I$89,3,0)*VLOOKUP('Données projet'!$B$16,Paramètres!$A$1:$I$89,5,0)</f>
        <v>258.56479999999993</v>
      </c>
      <c r="FG65" s="14">
        <f t="shared" si="47"/>
        <v>62.416352828208559</v>
      </c>
      <c r="FH65" s="22">
        <f t="shared" si="22"/>
        <v>559.04217450912972</v>
      </c>
      <c r="FI65" s="62">
        <f t="shared" si="23"/>
        <v>821.40117746878104</v>
      </c>
      <c r="FJ65" s="62">
        <f ca="1">AVERAGE(OFFSET($FI$3,0,0,'Données projet'!$E$16+1,1))-AVERAGE(OFFSET($H$3,0,0,'Données projet'!$E$16+1,1))</f>
        <v>369.69145521630799</v>
      </c>
      <c r="FK65" s="62">
        <f t="shared" si="48"/>
        <v>360.24112103688719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>
        <f>EXP(-LN(2)/35)*FQ64+(1-EXP(-LN(2)/35))/(LN(2)/35)*FM65*FN65*VLOOKUP('Données projet'!$B$16,Paramètres!$A$1:$I$89,3,0)*0.475*44/12</f>
        <v>19.436587932224658</v>
      </c>
      <c r="FR65" s="23">
        <f>EXP(-LN(2)/25)*FR64+(1-EXP(-LN(2)/25))/(LN(2)/25)*Calculateur!FM65*Calculateur!FO65*VLOOKUP('Données projet'!$B$16,Paramètres!$A$1:$I$89,3,0)*0.475*44/12</f>
        <v>0</v>
      </c>
      <c r="FS65" s="23">
        <f>EXP(-LN(2)/2)*FS64+(1-EXP(-LN(2)/2))/(LN(2)/2)*FM65*FP65*VLOOKUP('Données projet'!$B$16,Paramètres!$A$1:$I$89,3,0)*0.475*44/12</f>
        <v>0</v>
      </c>
      <c r="FT65" s="24">
        <f t="shared" si="24"/>
        <v>19.436587932224658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8.6666666666666661</v>
      </c>
      <c r="FZ65" s="13">
        <f>IF('Données projet'!$A$244&gt;35,FZ64+FY65-GH64,IF(A65&lt;'Données projet'!$A$244,$FW$205^A65,IF(A65='Données projet'!$A$244,'Données projet'!$B$244,FZ64+FY65-GH64)))</f>
        <v>267.33333333333326</v>
      </c>
      <c r="GA65" s="18">
        <f>FZ65*VLOOKUP('Données projet'!$B$17,Paramètres!$A$1:$I$89,3,0)*VLOOKUP('Données projet'!$B$17,Paramètres!$A$1:$I$89,5,0)</f>
        <v>287.75759999999991</v>
      </c>
      <c r="GB65" s="14">
        <f t="shared" si="49"/>
        <v>68.603796134155871</v>
      </c>
      <c r="GC65" s="22">
        <f t="shared" si="25"/>
        <v>620.66276493365456</v>
      </c>
      <c r="GD65" s="62">
        <f t="shared" si="26"/>
        <v>883.02176789330588</v>
      </c>
      <c r="GE65" s="62">
        <f ca="1">AVERAGE(OFFSET($GD$3,0,0,'Données projet'!$E$17+1,1))-AVERAGE(OFFSET($H$3,0,0,'Données projet'!$E$17+1,1))</f>
        <v>405.06394904053946</v>
      </c>
      <c r="GF65" s="62">
        <f t="shared" si="50"/>
        <v>393.75247087518198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>
        <f>EXP(-LN(2)/35)*GL64+(1-EXP(-LN(2)/35))/(LN(2)/35)*GH65*GI65*VLOOKUP('Données projet'!$B$17,Paramètres!$A$1:$I$89,3,0)*0.475*44/12</f>
        <v>21.631041408443568</v>
      </c>
      <c r="GM65" s="23">
        <f>EXP(-LN(2)/25)*GM64+(1-EXP(-LN(2)/25))/(LN(2)/25)*Calculateur!GH65*Calculateur!GJ65*VLOOKUP('Données projet'!$B$17,Paramètres!$A$1:$I$89,3,0)*0.475*44/12</f>
        <v>0</v>
      </c>
      <c r="GN65" s="23">
        <f>EXP(-LN(2)/2)*GN64+(1-EXP(-LN(2)/2))/(LN(2)/2)*GH65*GK65*VLOOKUP('Données projet'!$B$17,Paramètres!$A$1:$I$89,3,0)*0.475*44/12</f>
        <v>0</v>
      </c>
      <c r="GO65" s="23">
        <f t="shared" si="27"/>
        <v>21.631041408443568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8.6666666666666661</v>
      </c>
      <c r="GU65" s="13">
        <f>IF('Données projet'!$A$270&gt;35,GU64+GT65-HC64,IF(A65&lt;'Données projet'!$A$270,$GR$205^A65,IF(A65='Données projet'!$A$270,'Données projet'!$B$270,GU64+GT65-HC64)))</f>
        <v>267.33333333333326</v>
      </c>
      <c r="GV65" s="18">
        <f>GU65*VLOOKUP('Données projet'!$B$18,Paramètres!$A$1:$I$89,3,0)*VLOOKUP('Données projet'!$B$18,Paramètres!$A$1:$I$89,5,0)</f>
        <v>179.32719999999995</v>
      </c>
      <c r="GW65" s="14">
        <f t="shared" si="51"/>
        <v>45.172467954379158</v>
      </c>
      <c r="GX65" s="22">
        <f t="shared" si="28"/>
        <v>391.00358835387692</v>
      </c>
      <c r="GY65" s="62">
        <f t="shared" si="29"/>
        <v>653.36259131352824</v>
      </c>
      <c r="GZ65" s="62">
        <f ca="1">AVERAGE(OFFSET($GY$3,0,0,'Données projet'!$E$18+1,1))-AVERAGE(OFFSET($H$3,0,0,'Données projet'!$E$18+1,1))</f>
        <v>273.21861937609918</v>
      </c>
      <c r="HA65" s="62">
        <f t="shared" si="52"/>
        <v>268.83004886965318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>
        <f>EXP(-LN(2)/35)*HG64+(1-EXP(-LN(2)/35))/(LN(2)/35)*HC65*HD65*VLOOKUP('Données projet'!$B$18,Paramètres!$A$1:$I$89,3,0)*0.475*44/12</f>
        <v>16.615147748514627</v>
      </c>
      <c r="HH65" s="23">
        <f>EXP(-LN(2)/25)*HH64+(1-EXP(-LN(2)/25))/(LN(2)/25)*Calculateur!HC65*Calculateur!HE65*VLOOKUP('Données projet'!$B$18,Paramètres!$A$1:$I$89,3,0)*0.475*44/12</f>
        <v>0</v>
      </c>
      <c r="HI65" s="23">
        <f>EXP(-LN(2)/2)*HI64+(1-EXP(-LN(2)/2))/(LN(2)/2)*HC65*HF65*VLOOKUP('Données projet'!$B$18,Paramètres!$A$1:$I$89,3,0)*0.475*44/12</f>
        <v>0</v>
      </c>
      <c r="HJ65" s="24">
        <f t="shared" si="30"/>
        <v>16.615147748514627</v>
      </c>
    </row>
    <row r="66" spans="1:218" s="5" customFormat="1" x14ac:dyDescent="0.4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6.125</v>
      </c>
      <c r="N66" s="14">
        <f>IF('Données projet'!$A$36&gt;35,N65+M66-V65,IF(A66&lt;'Données projet'!$A$36,$K$205^A66,IF(A66='Données projet'!$A$36,'Données projet'!$B$36,N65+M66-V65)))</f>
        <v>135.37500000000006</v>
      </c>
      <c r="O66" s="14">
        <f>N66*VLOOKUP('Données projet'!$B$9,Paramètres!$A$1:$I$89,3,0)*VLOOKUP('Données projet'!$B$9,Paramètres!$A$1:$I$89,5,0)</f>
        <v>122.48730000000005</v>
      </c>
      <c r="P66" s="14">
        <f t="shared" si="33"/>
        <v>32.254426688079015</v>
      </c>
      <c r="Q66" s="22">
        <f t="shared" si="53"/>
        <v>269.50850731507103</v>
      </c>
      <c r="R66" s="62">
        <f t="shared" si="0"/>
        <v>532.40484565847714</v>
      </c>
      <c r="S66" s="62">
        <f ca="1">AVERAGE(OFFSET($R$3,0,0,'Données projet'!$E$9+1,1))-AVERAGE(OFFSET($H$3,0,0,'Données projet'!$E$9+1,1))</f>
        <v>432.80275651765203</v>
      </c>
      <c r="T66" s="62">
        <f t="shared" si="34"/>
        <v>203.89279893419919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0</v>
      </c>
      <c r="AA66" s="23">
        <f>EXP(-LN(2)/25)*AA65+(1-EXP(-LN(2)/25))/(LN(2)/25)*Calculateur!V66*Calculateur!X66*VLOOKUP('Données projet'!$B$9,Paramètres!$A$1:$I$89,3,0)*0.475*44/12</f>
        <v>0</v>
      </c>
      <c r="AB66" s="23">
        <f>EXP(-LN(2)/2)*AB65+(1-EXP(-LN(2)/2))/(LN(2)/2)*V66*Y66*VLOOKUP('Données projet'!$B$9,Paramètres!$A$1:$I$89,3,0)*0.475*44/12</f>
        <v>0</v>
      </c>
      <c r="AC66" s="24">
        <f t="shared" si="3"/>
        <v>0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14.8</v>
      </c>
      <c r="AI66" s="14">
        <f>IF('Données projet'!$A$62&gt;35,AI65+AH66-AQ65,IF(A66&lt;'Données projet'!$A$62,$AF$205^A66,IF(A66='Données projet'!$A$62,'Données projet'!$B$62,AI65+AH66-AQ65)))</f>
        <v>670.40000000000043</v>
      </c>
      <c r="AJ66" s="14">
        <f>AI66*VLOOKUP('Données projet'!$B$10,Paramètres!$A$1:$I$89,3,0)*VLOOKUP('Données projet'!$B$10,Paramètres!$A$1:$I$89,5,0)</f>
        <v>296.31680000000023</v>
      </c>
      <c r="AK66" s="14">
        <f t="shared" si="35"/>
        <v>70.403769019516403</v>
      </c>
      <c r="AL66" s="22">
        <f t="shared" si="4"/>
        <v>638.70499104232476</v>
      </c>
      <c r="AM66" s="62">
        <f t="shared" si="5"/>
        <v>901.60132938573088</v>
      </c>
      <c r="AN66" s="62">
        <f ca="1">AVERAGE(OFFSET($AM$3,0,0,'Données projet'!$E$10+1,1))-AVERAGE(OFFSET($H$3,0,0,'Données projet'!$E$10+1,1))</f>
        <v>413.08876898406481</v>
      </c>
      <c r="AO66" s="62">
        <f t="shared" si="36"/>
        <v>520.31320932826566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42.161490428122733</v>
      </c>
      <c r="AV66" s="23">
        <f>EXP(-LN(2)/25)*AV65+(1-EXP(-LN(2)/25))/(LN(2)/25)*Calculateur!AQ66*Calculateur!AS66*VLOOKUP('Données projet'!$B$10,Paramètres!$A$1:$I$89,3,0)*0.475*44/12</f>
        <v>18.567697273212382</v>
      </c>
      <c r="AW66" s="23">
        <f>EXP(-LN(2)/2)*AW65+(1-EXP(-LN(2)/2))/(LN(2)/2)*AQ66*AT66*VLOOKUP('Données projet'!$B$10,Paramètres!$A$1:$I$89,3,0)*0.475*44/12</f>
        <v>7.8674210401170341E-3</v>
      </c>
      <c r="AX66" s="23">
        <f t="shared" si="6"/>
        <v>60.737055122375232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14.8</v>
      </c>
      <c r="BD66" s="13">
        <f>IF('Données projet'!$A$88&gt;35,BD65+BC66-BL65,IF(A66&lt;'Données projet'!$A$88,$BA$205^A66,IF(A66='Données projet'!$A$88,'Données projet'!$B$88,BD65+BC66-BL65)))</f>
        <v>670.40000000000043</v>
      </c>
      <c r="BE66" s="14">
        <f>BD66*VLOOKUP('Données projet'!$B$11,Paramètres!$A$1:$I$89,3,0)*VLOOKUP('Données projet'!$B$11,Paramètres!$A$1:$I$89,5,0)</f>
        <v>374.75360000000023</v>
      </c>
      <c r="BF66" s="14">
        <f t="shared" si="37"/>
        <v>86.639086725921956</v>
      </c>
      <c r="BG66" s="22">
        <f t="shared" si="7"/>
        <v>803.59226271431453</v>
      </c>
      <c r="BH66" s="62">
        <f t="shared" si="8"/>
        <v>1066.4886010577206</v>
      </c>
      <c r="BI66" s="62">
        <f ca="1">AVERAGE(OFFSET($BH$3,0,0,'Données projet'!$E$11+1,1))-AVERAGE(OFFSET($H$3,0,0,'Données projet'!$E$11+1,1))</f>
        <v>507.66185230065889</v>
      </c>
      <c r="BJ66" s="62">
        <f t="shared" si="38"/>
        <v>640.14375617778342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53.32188495321406</v>
      </c>
      <c r="BQ66" s="23">
        <f>EXP(-LN(2)/25)*BQ65+(1-EXP(-LN(2)/25))/(LN(2)/25)*Calculateur!BL66*Calculateur!BN66*VLOOKUP('Données projet'!$B$11,Paramètres!$A$1:$I$89,3,0)*0.475*44/12</f>
        <v>23.482675963180377</v>
      </c>
      <c r="BR66" s="23">
        <f>EXP(-LN(2)/2)*BR65+(1-EXP(-LN(2)/2))/(LN(2)/2)*BL66*BO66*VLOOKUP('Données projet'!$B$11,Paramètres!$A$1:$I$89,3,0)*0.475*44/12</f>
        <v>9.9499736683833148E-3</v>
      </c>
      <c r="BS66" s="24">
        <f t="shared" si="9"/>
        <v>76.81451089006282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11.157975389000001</v>
      </c>
      <c r="BY66" s="13">
        <f>IF('Données projet'!$A$114&gt;35,BY65+BX66-CG65,IF(A66&lt;'Données projet'!$A$114,$BV$205^A66,IF(A66='Données projet'!$A$114,'Données projet'!$B$114,BY65+BX66-CG65)))</f>
        <v>268.71826777699994</v>
      </c>
      <c r="BZ66" s="14">
        <f>BY66*VLOOKUP('Données projet'!$B$12,Paramètres!$A$1:$I$89,3,0)*VLOOKUP('Données projet'!$B$12,Paramètres!$A$1:$I$89,5,0)</f>
        <v>125.76014931963597</v>
      </c>
      <c r="CA66" s="14">
        <f t="shared" si="39"/>
        <v>33.01477173201544</v>
      </c>
      <c r="CB66" s="22">
        <f t="shared" si="10"/>
        <v>276.53298749829281</v>
      </c>
      <c r="CC66" s="62">
        <f t="shared" si="11"/>
        <v>539.42932584169898</v>
      </c>
      <c r="CD66" s="62">
        <f ca="1">AVERAGE(OFFSET($CC$3,0,0,'Données projet'!$E$12+1,1))-AVERAGE(OFFSET($H$3,0,0,'Données projet'!$E$12+1,1))</f>
        <v>289.21044803824958</v>
      </c>
      <c r="CE66" s="62">
        <f t="shared" si="40"/>
        <v>196.11836398299445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>
        <f>EXP(-LN(2)/35)*CK65+(1-EXP(-LN(2)/35))/(LN(2)/35)*CG66*CH66*VLOOKUP('Données projet'!$B$12,Paramètres!$A$1:$I$89,3,0)*0.475*44/12</f>
        <v>9.4615769741524272</v>
      </c>
      <c r="CL66" s="23">
        <f>EXP(-LN(2)/25)*CL65+(1-EXP(-LN(2)/25))/(LN(2)/25)*Calculateur!CG66*Calculateur!CI66*VLOOKUP('Données projet'!$B$12,Paramètres!$A$1:$I$89,3,0)*0.475*44/12</f>
        <v>19.961825872078208</v>
      </c>
      <c r="CM66" s="23">
        <f>EXP(-LN(2)/2)*CM65+(1-EXP(-LN(2)/2))/(LN(2)/2)*CG66*CJ66*VLOOKUP('Données projet'!$B$12,Paramètres!$A$1:$I$89,3,0)*0.475*44/12</f>
        <v>0</v>
      </c>
      <c r="CN66" s="24">
        <f t="shared" si="12"/>
        <v>29.423402846230637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-5.6843418860808015E-14</v>
      </c>
      <c r="CU66" s="18">
        <f>CT66*VLOOKUP('Données projet'!$B$13,Paramètres!$A$1:$I$89,3,0)*VLOOKUP('Données projet'!$B$13,Paramètres!$A$1:$I$89,5,0)</f>
        <v>-5.1431925385259088E-14</v>
      </c>
      <c r="CV66" s="14" t="e">
        <f t="shared" si="41"/>
        <v>#NUM!</v>
      </c>
      <c r="CW66" s="22" t="e">
        <f t="shared" si="13"/>
        <v>#NUM!</v>
      </c>
      <c r="CX66" s="62" t="e">
        <f t="shared" si="14"/>
        <v>#NUM!</v>
      </c>
      <c r="CY66" s="62">
        <f ca="1">AVERAGE(OFFSET($CX$3,0,0,'Données projet'!$E$13+1,1))-AVERAGE(OFFSET($H$3,0,0,'Données projet'!$E$13+1,1))</f>
        <v>376.68007030857598</v>
      </c>
      <c r="CZ66" s="62">
        <f t="shared" si="42"/>
        <v>532.90758914457626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>
        <f>EXP(-LN(2)/35)*DF65+(1-EXP(-LN(2)/35))/(LN(2)/35)*DB66*DC66*VLOOKUP('Données projet'!$B$13,Paramètres!$A$1:$I$89,3,0)*0.475*44/12</f>
        <v>65.548102581892195</v>
      </c>
      <c r="DG66" s="23">
        <f>EXP(-LN(2)/25)*DG65+(1-EXP(-LN(2)/25))/(LN(2)/25)*Calculateur!DB66*Calculateur!DD66*VLOOKUP('Données projet'!$B$13,Paramètres!$A$1:$I$89,3,0)*0.475*44/12</f>
        <v>5.2471085340833321</v>
      </c>
      <c r="DH66" s="23">
        <f>EXP(-LN(2)/2)*DH65+(1-EXP(-LN(2)/2))/(LN(2)/2)*DB66*DE66*VLOOKUP('Données projet'!$B$13,Paramètres!$A$1:$I$89,3,0)*0.475*44/12</f>
        <v>0</v>
      </c>
      <c r="DI66" s="24">
        <f t="shared" si="15"/>
        <v>70.795211115975533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8.6666666666666661</v>
      </c>
      <c r="DO66" s="13">
        <f>IF('Données projet'!$A$166&gt;35,DO65+DN66-DW65,IF(A66&lt;'Données projet'!$A$166,$DL$205^A66,IF(A66='Données projet'!$A$166,'Données projet'!$B$166,DO65+DN66-DW65)))</f>
        <v>275.99999999999994</v>
      </c>
      <c r="DP66" s="18">
        <f>DO66*VLOOKUP('Données projet'!$B$14,Paramètres!$A$1:$I$89,3,0)*VLOOKUP('Données projet'!$B$14,Paramètres!$A$1:$I$89,5,0)</f>
        <v>262.64159999999993</v>
      </c>
      <c r="DQ66" s="14">
        <f t="shared" si="43"/>
        <v>63.285128621471941</v>
      </c>
      <c r="DR66" s="22">
        <f t="shared" si="16"/>
        <v>567.65571901573014</v>
      </c>
      <c r="DS66" s="62">
        <f t="shared" si="17"/>
        <v>830.55205735913626</v>
      </c>
      <c r="DT66" s="62">
        <f ca="1">AVERAGE(OFFSET($DS$3,0,0,'Données projet'!$E$14+1,1))-AVERAGE(OFFSET($H$3,0,0,'Données projet'!$E$14+1,1))</f>
        <v>364.63161066507769</v>
      </c>
      <c r="DU66" s="62">
        <f t="shared" si="44"/>
        <v>355.44729904860708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>
        <f>EXP(-LN(2)/35)*EA65+(1-EXP(-LN(2)/35))/(LN(2)/35)*DW66*DX66*VLOOKUP('Données projet'!$B$14,Paramètres!$A$1:$I$89,3,0)*0.475*44/12</f>
        <v>18.748102357731099</v>
      </c>
      <c r="EB66" s="23">
        <f>EXP(-LN(2)/25)*EB65+(1-EXP(-LN(2)/25))/(LN(2)/25)*Calculateur!DW66*Calculateur!DY66*VLOOKUP('Données projet'!$B$14,Paramètres!$A$1:$I$89,3,0)*0.475*44/12</f>
        <v>0</v>
      </c>
      <c r="EC66" s="23">
        <f>EXP(-LN(2)/2)*EC65+(1-EXP(-LN(2)/2))/(LN(2)/2)*DW66*DZ66*VLOOKUP('Données projet'!$B$14,Paramètres!$A$1:$I$89,3,0)*0.475*44/12</f>
        <v>0</v>
      </c>
      <c r="ED66" s="24">
        <f t="shared" si="18"/>
        <v>18.748102357731099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8.6666666666666661</v>
      </c>
      <c r="EJ66" s="13">
        <f>IF('Données projet'!$A$192&gt;35,EJ65+EI66-ER65,IF(A66&lt;'Données projet'!$A$192,$EG$205^A66,IF(A66='Données projet'!$A$192,'Données projet'!$B$192,EJ65+EI66-ER65)))</f>
        <v>275.99999999999994</v>
      </c>
      <c r="EK66" s="18">
        <f>EJ66*VLOOKUP('Données projet'!$B$15,Paramètres!$A$1:$I$89,3,0)*VLOOKUP('Données projet'!$B$15,Paramètres!$A$1:$I$89,5,0)</f>
        <v>202.36319999999995</v>
      </c>
      <c r="EL66" s="14">
        <f t="shared" si="45"/>
        <v>50.263171959975132</v>
      </c>
      <c r="EM66" s="22">
        <f t="shared" si="19"/>
        <v>439.9909311636232</v>
      </c>
      <c r="EN66" s="62">
        <f t="shared" si="20"/>
        <v>702.88726950702926</v>
      </c>
      <c r="EO66" s="62">
        <f ca="1">AVERAGE(OFFSET($EN$3,0,0,'Données projet'!$E$15+1,1))-AVERAGE(OFFSET($H$3,0,0,'Données projet'!$E$15+1,1))</f>
        <v>293.59366973965774</v>
      </c>
      <c r="EP66" s="62">
        <f t="shared" si="46"/>
        <v>288.13804536120426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>
        <f>EXP(-LN(2)/35)*EV65+(1-EXP(-LN(2)/35))/(LN(2)/35)*ER66*ES66*VLOOKUP('Données projet'!$B$15,Paramètres!$A$1:$I$89,3,0)*0.475*44/12</f>
        <v>14.445259193661666</v>
      </c>
      <c r="EW66" s="23">
        <f>EXP(-LN(2)/25)*EW65+(1-EXP(-LN(2)/25))/(LN(2)/25)*Calculateur!ER66*Calculateur!ET66*VLOOKUP('Données projet'!$B$15,Paramètres!$A$1:$I$89,3,0)*0.475*44/12</f>
        <v>0</v>
      </c>
      <c r="EX66" s="23">
        <f>EXP(-LN(2)/2)*EX65+(1-EXP(-LN(2)/2))/(LN(2)/2)*ER66*EU66*VLOOKUP('Données projet'!$B$15,Paramètres!$A$1:$I$89,3,0)*0.475*44/12</f>
        <v>0</v>
      </c>
      <c r="EY66" s="24">
        <f t="shared" si="21"/>
        <v>14.445259193661666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8.6666666666666661</v>
      </c>
      <c r="FE66" s="13">
        <f>IF('Données projet'!$A$218&gt;35,FE65+FD66-FM65,IF(A66&lt;'Données projet'!$A$218,$FB$205^A66,IF(A66='Données projet'!$A$218,'Données projet'!$B$218,FE65+FD66-FM65)))</f>
        <v>275.99999999999994</v>
      </c>
      <c r="FF66" s="18">
        <f>FE66*VLOOKUP('Données projet'!$B$16,Paramètres!$A$1:$I$89,3,0)*VLOOKUP('Données projet'!$B$16,Paramètres!$A$1:$I$89,5,0)</f>
        <v>266.94719999999995</v>
      </c>
      <c r="FG66" s="14">
        <f t="shared" si="47"/>
        <v>64.200959938746379</v>
      </c>
      <c r="FH66" s="22">
        <f t="shared" si="22"/>
        <v>576.74971189331654</v>
      </c>
      <c r="FI66" s="62">
        <f t="shared" si="23"/>
        <v>839.64605023672266</v>
      </c>
      <c r="FJ66" s="62">
        <f ca="1">AVERAGE(OFFSET($FI$3,0,0,'Données projet'!$E$16+1,1))-AVERAGE(OFFSET($H$3,0,0,'Données projet'!$E$16+1,1))</f>
        <v>369.69145521630799</v>
      </c>
      <c r="FK66" s="62">
        <f t="shared" si="48"/>
        <v>360.24112103688719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>
        <f>EXP(-LN(2)/35)*FQ65+(1-EXP(-LN(2)/35))/(LN(2)/35)*FM66*FN66*VLOOKUP('Données projet'!$B$16,Paramètres!$A$1:$I$89,3,0)*0.475*44/12</f>
        <v>19.055448298021773</v>
      </c>
      <c r="FR66" s="23">
        <f>EXP(-LN(2)/25)*FR65+(1-EXP(-LN(2)/25))/(LN(2)/25)*Calculateur!FM66*Calculateur!FO66*VLOOKUP('Données projet'!$B$16,Paramètres!$A$1:$I$89,3,0)*0.475*44/12</f>
        <v>0</v>
      </c>
      <c r="FS66" s="23">
        <f>EXP(-LN(2)/2)*FS65+(1-EXP(-LN(2)/2))/(LN(2)/2)*FM66*FP66*VLOOKUP('Données projet'!$B$16,Paramètres!$A$1:$I$89,3,0)*0.475*44/12</f>
        <v>0</v>
      </c>
      <c r="FT66" s="24">
        <f t="shared" si="24"/>
        <v>19.055448298021773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8.6666666666666661</v>
      </c>
      <c r="FZ66" s="13">
        <f>IF('Données projet'!$A$244&gt;35,FZ65+FY66-GH65,IF(A66&lt;'Données projet'!$A$244,$FW$205^A66,IF(A66='Données projet'!$A$244,'Données projet'!$B$244,FZ65+FY66-GH65)))</f>
        <v>275.99999999999994</v>
      </c>
      <c r="GA66" s="18">
        <f>FZ66*VLOOKUP('Données projet'!$B$17,Paramètres!$A$1:$I$89,3,0)*VLOOKUP('Données projet'!$B$17,Paramètres!$A$1:$I$89,5,0)</f>
        <v>297.08639999999991</v>
      </c>
      <c r="GB66" s="14">
        <f t="shared" si="49"/>
        <v>70.565314499829583</v>
      </c>
      <c r="GC66" s="22">
        <f t="shared" si="25"/>
        <v>640.32673608720302</v>
      </c>
      <c r="GD66" s="62">
        <f t="shared" si="26"/>
        <v>903.22307443060913</v>
      </c>
      <c r="GE66" s="62">
        <f ca="1">AVERAGE(OFFSET($GD$3,0,0,'Données projet'!$E$17+1,1))-AVERAGE(OFFSET($H$3,0,0,'Données projet'!$E$17+1,1))</f>
        <v>405.06394904053946</v>
      </c>
      <c r="GF66" s="62">
        <f t="shared" si="50"/>
        <v>393.75247087518198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>
        <f>EXP(-LN(2)/35)*GL65+(1-EXP(-LN(2)/35))/(LN(2)/35)*GH66*GI66*VLOOKUP('Données projet'!$B$17,Paramètres!$A$1:$I$89,3,0)*0.475*44/12</f>
        <v>21.206869880056487</v>
      </c>
      <c r="GM66" s="23">
        <f>EXP(-LN(2)/25)*GM65+(1-EXP(-LN(2)/25))/(LN(2)/25)*Calculateur!GH66*Calculateur!GJ66*VLOOKUP('Données projet'!$B$17,Paramètres!$A$1:$I$89,3,0)*0.475*44/12</f>
        <v>0</v>
      </c>
      <c r="GN66" s="23">
        <f>EXP(-LN(2)/2)*GN65+(1-EXP(-LN(2)/2))/(LN(2)/2)*GH66*GK66*VLOOKUP('Données projet'!$B$17,Paramètres!$A$1:$I$89,3,0)*0.475*44/12</f>
        <v>0</v>
      </c>
      <c r="GO66" s="23">
        <f t="shared" si="27"/>
        <v>21.206869880056487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8.6666666666666661</v>
      </c>
      <c r="GU66" s="13">
        <f>IF('Données projet'!$A$270&gt;35,GU65+GT66-HC65,IF(A66&lt;'Données projet'!$A$270,$GR$205^A66,IF(A66='Données projet'!$A$270,'Données projet'!$B$270,GU65+GT66-HC65)))</f>
        <v>275.99999999999994</v>
      </c>
      <c r="GV66" s="18">
        <f>GU66*VLOOKUP('Données projet'!$B$18,Paramètres!$A$1:$I$89,3,0)*VLOOKUP('Données projet'!$B$18,Paramètres!$A$1:$I$89,5,0)</f>
        <v>185.14079999999998</v>
      </c>
      <c r="GW66" s="14">
        <f t="shared" si="51"/>
        <v>46.464038253813506</v>
      </c>
      <c r="GX66" s="22">
        <f t="shared" si="28"/>
        <v>403.3784266253918</v>
      </c>
      <c r="GY66" s="62">
        <f t="shared" si="29"/>
        <v>666.27476496879785</v>
      </c>
      <c r="GZ66" s="62">
        <f ca="1">AVERAGE(OFFSET($GY$3,0,0,'Données projet'!$E$18+1,1))-AVERAGE(OFFSET($H$3,0,0,'Données projet'!$E$18+1,1))</f>
        <v>273.21861937609918</v>
      </c>
      <c r="HA66" s="62">
        <f t="shared" si="52"/>
        <v>268.83004886965318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>
        <f>EXP(-LN(2)/35)*HG65+(1-EXP(-LN(2)/35))/(LN(2)/35)*HC66*HD66*VLOOKUP('Données projet'!$B$18,Paramètres!$A$1:$I$89,3,0)*0.475*44/12</f>
        <v>16.289334835405707</v>
      </c>
      <c r="HH66" s="23">
        <f>EXP(-LN(2)/25)*HH65+(1-EXP(-LN(2)/25))/(LN(2)/25)*Calculateur!HC66*Calculateur!HE66*VLOOKUP('Données projet'!$B$18,Paramètres!$A$1:$I$89,3,0)*0.475*44/12</f>
        <v>0</v>
      </c>
      <c r="HI66" s="23">
        <f>EXP(-LN(2)/2)*HI65+(1-EXP(-LN(2)/2))/(LN(2)/2)*HC66*HF66*VLOOKUP('Données projet'!$B$18,Paramètres!$A$1:$I$89,3,0)*0.475*44/12</f>
        <v>0</v>
      </c>
      <c r="HJ66" s="24">
        <f t="shared" si="30"/>
        <v>16.289334835405707</v>
      </c>
    </row>
    <row r="67" spans="1:218" s="5" customFormat="1" x14ac:dyDescent="0.4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6.125</v>
      </c>
      <c r="N67" s="14">
        <f>IF('Données projet'!$A$36&gt;35,N66+M67-V66,IF(A67&lt;'Données projet'!$A$36,$K$205^A67,IF(A67='Données projet'!$A$36,'Données projet'!$B$36,N66+M67-V66)))</f>
        <v>141.50000000000006</v>
      </c>
      <c r="O67" s="14">
        <f>N67*VLOOKUP('Données projet'!$B$9,Paramètres!$A$1:$I$89,3,0)*VLOOKUP('Données projet'!$B$9,Paramètres!$A$1:$I$89,5,0)</f>
        <v>128.02920000000003</v>
      </c>
      <c r="P67" s="14">
        <f t="shared" si="33"/>
        <v>33.540561231732092</v>
      </c>
      <c r="Q67" s="22">
        <f t="shared" ref="Q67:Q98" si="54">(O67+P67)*0.475*44/12</f>
        <v>281.40066747860004</v>
      </c>
      <c r="R67" s="62">
        <f t="shared" ref="R67:R130" si="55">Q67+(I67+J67)*44/12</f>
        <v>544.8250196381548</v>
      </c>
      <c r="S67" s="62">
        <f ca="1">AVERAGE(OFFSET($R$3,0,0,'Données projet'!$E$9+1,1))-AVERAGE(OFFSET($H$3,0,0,'Données projet'!$E$9+1,1))</f>
        <v>432.80275651765203</v>
      </c>
      <c r="T67" s="62">
        <f t="shared" si="34"/>
        <v>203.89279893419919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0</v>
      </c>
      <c r="AA67" s="23">
        <f>EXP(-LN(2)/25)*AA66+(1-EXP(-LN(2)/25))/(LN(2)/25)*Calculateur!V67*Calculateur!X67*VLOOKUP('Données projet'!$B$9,Paramètres!$A$1:$I$89,3,0)*0.475*44/12</f>
        <v>0</v>
      </c>
      <c r="AB67" s="23">
        <f>EXP(-LN(2)/2)*AB66+(1-EXP(-LN(2)/2))/(LN(2)/2)*V67*Y67*VLOOKUP('Données projet'!$B$9,Paramètres!$A$1:$I$89,3,0)*0.475*44/12</f>
        <v>0</v>
      </c>
      <c r="AC67" s="24">
        <f t="shared" si="3"/>
        <v>0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14.8</v>
      </c>
      <c r="AI67" s="14">
        <f>IF('Données projet'!$A$62&gt;35,AI66+AH67-AQ66,IF(A67&lt;'Données projet'!$A$62,$AF$205^A67,IF(A67='Données projet'!$A$62,'Données projet'!$B$62,AI66+AH67-AQ66)))</f>
        <v>685.20000000000039</v>
      </c>
      <c r="AJ67" s="14">
        <f>AI67*VLOOKUP('Données projet'!$B$10,Paramètres!$A$1:$I$89,3,0)*VLOOKUP('Données projet'!$B$10,Paramètres!$A$1:$I$89,5,0)</f>
        <v>302.85840000000024</v>
      </c>
      <c r="AK67" s="14">
        <f t="shared" si="35"/>
        <v>71.775362789326678</v>
      </c>
      <c r="AL67" s="22">
        <f t="shared" si="4"/>
        <v>652.48713685807763</v>
      </c>
      <c r="AM67" s="62">
        <f t="shared" si="5"/>
        <v>915.91148901763245</v>
      </c>
      <c r="AN67" s="62">
        <f ca="1">AVERAGE(OFFSET($AM$3,0,0,'Données projet'!$E$10+1,1))-AVERAGE(OFFSET($H$3,0,0,'Données projet'!$E$10+1,1))</f>
        <v>413.08876898406481</v>
      </c>
      <c r="AO67" s="62">
        <f t="shared" si="36"/>
        <v>520.31320932826566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41.334729316797166</v>
      </c>
      <c r="AV67" s="23">
        <f>EXP(-LN(2)/25)*AV66+(1-EXP(-LN(2)/25))/(LN(2)/25)*Calculateur!AQ67*Calculateur!AS67*VLOOKUP('Données projet'!$B$10,Paramètres!$A$1:$I$89,3,0)*0.475*44/12</f>
        <v>18.059962614843627</v>
      </c>
      <c r="AW67" s="23">
        <f>EXP(-LN(2)/2)*AW66+(1-EXP(-LN(2)/2))/(LN(2)/2)*AQ67*AT67*VLOOKUP('Données projet'!$B$10,Paramètres!$A$1:$I$89,3,0)*0.475*44/12</f>
        <v>5.563106767916476E-3</v>
      </c>
      <c r="AX67" s="23">
        <f t="shared" si="6"/>
        <v>59.400255038408709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14.8</v>
      </c>
      <c r="BD67" s="13">
        <f>IF('Données projet'!$A$88&gt;35,BD66+BC67-BL66,IF(A67&lt;'Données projet'!$A$88,$BA$205^A67,IF(A67='Données projet'!$A$88,'Données projet'!$B$88,BD66+BC67-BL66)))</f>
        <v>685.20000000000039</v>
      </c>
      <c r="BE67" s="14">
        <f>BD67*VLOOKUP('Données projet'!$B$11,Paramètres!$A$1:$I$89,3,0)*VLOOKUP('Données projet'!$B$11,Paramètres!$A$1:$I$89,5,0)</f>
        <v>383.02680000000021</v>
      </c>
      <c r="BF67" s="14">
        <f t="shared" si="37"/>
        <v>88.326974082384154</v>
      </c>
      <c r="BG67" s="22">
        <f t="shared" si="7"/>
        <v>820.94115652681933</v>
      </c>
      <c r="BH67" s="62">
        <f t="shared" si="8"/>
        <v>1084.3655086863741</v>
      </c>
      <c r="BI67" s="62">
        <f ca="1">AVERAGE(OFFSET($BH$3,0,0,'Données projet'!$E$11+1,1))-AVERAGE(OFFSET($H$3,0,0,'Données projet'!$E$11+1,1))</f>
        <v>507.66185230065889</v>
      </c>
      <c r="BJ67" s="62">
        <f t="shared" si="38"/>
        <v>640.14375617778342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52.276275312419962</v>
      </c>
      <c r="BQ67" s="23">
        <f>EXP(-LN(2)/25)*BQ66+(1-EXP(-LN(2)/25))/(LN(2)/25)*Calculateur!BL67*Calculateur!BN67*VLOOKUP('Données projet'!$B$11,Paramètres!$A$1:$I$89,3,0)*0.475*44/12</f>
        <v>22.840540954066952</v>
      </c>
      <c r="BR67" s="23">
        <f>EXP(-LN(2)/2)*BR66+(1-EXP(-LN(2)/2))/(LN(2)/2)*BL67*BO67*VLOOKUP('Données projet'!$B$11,Paramètres!$A$1:$I$89,3,0)*0.475*44/12</f>
        <v>7.0356938535414302E-3</v>
      </c>
      <c r="BS67" s="24">
        <f t="shared" si="9"/>
        <v>75.12385196034046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11.157975389000001</v>
      </c>
      <c r="BY67" s="13">
        <f>IF('Données projet'!$A$114&gt;35,BY66+BX67-CG66,IF(A67&lt;'Données projet'!$A$114,$BV$205^A67,IF(A67='Données projet'!$A$114,'Données projet'!$B$114,BY66+BX67-CG66)))</f>
        <v>279.87624316599994</v>
      </c>
      <c r="BZ67" s="14">
        <f>BY67*VLOOKUP('Données projet'!$B$12,Paramètres!$A$1:$I$89,3,0)*VLOOKUP('Données projet'!$B$12,Paramètres!$A$1:$I$89,5,0)</f>
        <v>130.98208180168797</v>
      </c>
      <c r="CA67" s="14">
        <f t="shared" si="39"/>
        <v>34.223190106928087</v>
      </c>
      <c r="CB67" s="22">
        <f t="shared" si="10"/>
        <v>287.73251524083963</v>
      </c>
      <c r="CC67" s="62">
        <f t="shared" si="11"/>
        <v>551.15686740039439</v>
      </c>
      <c r="CD67" s="62">
        <f ca="1">AVERAGE(OFFSET($CC$3,0,0,'Données projet'!$E$12+1,1))-AVERAGE(OFFSET($H$3,0,0,'Données projet'!$E$12+1,1))</f>
        <v>289.21044803824958</v>
      </c>
      <c r="CE67" s="62">
        <f t="shared" si="40"/>
        <v>196.11836398299445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>
        <f>EXP(-LN(2)/35)*CK66+(1-EXP(-LN(2)/35))/(LN(2)/35)*CG67*CH67*VLOOKUP('Données projet'!$B$12,Paramètres!$A$1:$I$89,3,0)*0.475*44/12</f>
        <v>9.2760412206814138</v>
      </c>
      <c r="CL67" s="23">
        <f>EXP(-LN(2)/25)*CL66+(1-EXP(-LN(2)/25))/(LN(2)/25)*Calculateur!CG67*Calculateur!CI67*VLOOKUP('Données projet'!$B$12,Paramètres!$A$1:$I$89,3,0)*0.475*44/12</f>
        <v>19.41596869385943</v>
      </c>
      <c r="CM67" s="23">
        <f>EXP(-LN(2)/2)*CM66+(1-EXP(-LN(2)/2))/(LN(2)/2)*CG67*CJ67*VLOOKUP('Données projet'!$B$12,Paramètres!$A$1:$I$89,3,0)*0.475*44/12</f>
        <v>0</v>
      </c>
      <c r="CN67" s="24">
        <f t="shared" si="12"/>
        <v>28.692009914540844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-5.6843418860808015E-14</v>
      </c>
      <c r="CU67" s="18">
        <f>CT67*VLOOKUP('Données projet'!$B$13,Paramètres!$A$1:$I$89,3,0)*VLOOKUP('Données projet'!$B$13,Paramètres!$A$1:$I$89,5,0)</f>
        <v>-5.1431925385259088E-14</v>
      </c>
      <c r="CV67" s="14" t="e">
        <f t="shared" si="41"/>
        <v>#NUM!</v>
      </c>
      <c r="CW67" s="22" t="e">
        <f t="shared" si="13"/>
        <v>#NUM!</v>
      </c>
      <c r="CX67" s="62" t="e">
        <f t="shared" si="14"/>
        <v>#NUM!</v>
      </c>
      <c r="CY67" s="62">
        <f ca="1">AVERAGE(OFFSET($CX$3,0,0,'Données projet'!$E$13+1,1))-AVERAGE(OFFSET($H$3,0,0,'Données projet'!$E$13+1,1))</f>
        <v>376.68007030857598</v>
      </c>
      <c r="CZ67" s="62">
        <f t="shared" si="42"/>
        <v>532.90758914457626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>
        <f>EXP(-LN(2)/35)*DF66+(1-EXP(-LN(2)/35))/(LN(2)/35)*DB67*DC67*VLOOKUP('Données projet'!$B$13,Paramètres!$A$1:$I$89,3,0)*0.475*44/12</f>
        <v>64.262744270656128</v>
      </c>
      <c r="DG67" s="23">
        <f>EXP(-LN(2)/25)*DG66+(1-EXP(-LN(2)/25))/(LN(2)/25)*Calculateur!DB67*Calculateur!DD67*VLOOKUP('Données projet'!$B$13,Paramètres!$A$1:$I$89,3,0)*0.475*44/12</f>
        <v>5.1036260752853781</v>
      </c>
      <c r="DH67" s="23">
        <f>EXP(-LN(2)/2)*DH66+(1-EXP(-LN(2)/2))/(LN(2)/2)*DB67*DE67*VLOOKUP('Données projet'!$B$13,Paramètres!$A$1:$I$89,3,0)*0.475*44/12</f>
        <v>0</v>
      </c>
      <c r="DI67" s="24">
        <f t="shared" si="15"/>
        <v>69.366370345941505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8.6666666666666661</v>
      </c>
      <c r="DO67" s="13">
        <f>IF('Données projet'!$A$166&gt;35,DO66+DN67-DW66,IF(A67&lt;'Données projet'!$A$166,$DL$205^A67,IF(A67='Données projet'!$A$166,'Données projet'!$B$166,DO66+DN67-DW66)))</f>
        <v>284.66666666666663</v>
      </c>
      <c r="DP67" s="18">
        <f>DO67*VLOOKUP('Données projet'!$B$14,Paramètres!$A$1:$I$89,3,0)*VLOOKUP('Données projet'!$B$14,Paramètres!$A$1:$I$89,5,0)</f>
        <v>270.8888</v>
      </c>
      <c r="DQ67" s="14">
        <f t="shared" si="43"/>
        <v>65.037858985818858</v>
      </c>
      <c r="DR67" s="22">
        <f t="shared" si="16"/>
        <v>585.07226440030115</v>
      </c>
      <c r="DS67" s="62">
        <f t="shared" si="17"/>
        <v>848.49661655985597</v>
      </c>
      <c r="DT67" s="62">
        <f ca="1">AVERAGE(OFFSET($DS$3,0,0,'Données projet'!$E$14+1,1))-AVERAGE(OFFSET($H$3,0,0,'Données projet'!$E$14+1,1))</f>
        <v>364.63161066507769</v>
      </c>
      <c r="DU67" s="62">
        <f t="shared" si="44"/>
        <v>355.44729904860708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>
        <f>EXP(-LN(2)/35)*EA66+(1-EXP(-LN(2)/35))/(LN(2)/35)*DW67*DX67*VLOOKUP('Données projet'!$B$14,Paramètres!$A$1:$I$89,3,0)*0.475*44/12</f>
        <v>18.380463505709297</v>
      </c>
      <c r="EB67" s="23">
        <f>EXP(-LN(2)/25)*EB66+(1-EXP(-LN(2)/25))/(LN(2)/25)*Calculateur!DW67*Calculateur!DY67*VLOOKUP('Données projet'!$B$14,Paramètres!$A$1:$I$89,3,0)*0.475*44/12</f>
        <v>0</v>
      </c>
      <c r="EC67" s="23">
        <f>EXP(-LN(2)/2)*EC66+(1-EXP(-LN(2)/2))/(LN(2)/2)*DW67*DZ67*VLOOKUP('Données projet'!$B$14,Paramètres!$A$1:$I$89,3,0)*0.475*44/12</f>
        <v>0</v>
      </c>
      <c r="ED67" s="24">
        <f t="shared" si="18"/>
        <v>18.380463505709297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8.6666666666666661</v>
      </c>
      <c r="EJ67" s="13">
        <f>IF('Données projet'!$A$192&gt;35,EJ66+EI67-ER66,IF(A67&lt;'Données projet'!$A$192,$EG$205^A67,IF(A67='Données projet'!$A$192,'Données projet'!$B$192,EJ66+EI67-ER66)))</f>
        <v>284.66666666666663</v>
      </c>
      <c r="EK67" s="18">
        <f>EJ67*VLOOKUP('Données projet'!$B$15,Paramètres!$A$1:$I$89,3,0)*VLOOKUP('Données projet'!$B$15,Paramètres!$A$1:$I$89,5,0)</f>
        <v>208.71759999999995</v>
      </c>
      <c r="EL67" s="14">
        <f t="shared" si="45"/>
        <v>51.65524920816371</v>
      </c>
      <c r="EM67" s="22">
        <f t="shared" si="19"/>
        <v>453.48271237088505</v>
      </c>
      <c r="EN67" s="62">
        <f t="shared" si="20"/>
        <v>716.90706453043981</v>
      </c>
      <c r="EO67" s="62">
        <f ca="1">AVERAGE(OFFSET($EN$3,0,0,'Données projet'!$E$15+1,1))-AVERAGE(OFFSET($H$3,0,0,'Données projet'!$E$15+1,1))</f>
        <v>293.59366973965774</v>
      </c>
      <c r="EP67" s="62">
        <f t="shared" si="46"/>
        <v>288.13804536120426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>
        <f>EXP(-LN(2)/35)*EV66+(1-EXP(-LN(2)/35))/(LN(2)/35)*ER67*ES67*VLOOKUP('Données projet'!$B$15,Paramètres!$A$1:$I$89,3,0)*0.475*44/12</f>
        <v>14.161996471612081</v>
      </c>
      <c r="EW67" s="23">
        <f>EXP(-LN(2)/25)*EW66+(1-EXP(-LN(2)/25))/(LN(2)/25)*Calculateur!ER67*Calculateur!ET67*VLOOKUP('Données projet'!$B$15,Paramètres!$A$1:$I$89,3,0)*0.475*44/12</f>
        <v>0</v>
      </c>
      <c r="EX67" s="23">
        <f>EXP(-LN(2)/2)*EX66+(1-EXP(-LN(2)/2))/(LN(2)/2)*ER67*EU67*VLOOKUP('Données projet'!$B$15,Paramètres!$A$1:$I$89,3,0)*0.475*44/12</f>
        <v>0</v>
      </c>
      <c r="EY67" s="24">
        <f t="shared" si="21"/>
        <v>14.161996471612081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8.6666666666666661</v>
      </c>
      <c r="FE67" s="13">
        <f>IF('Données projet'!$A$218&gt;35,FE66+FD67-FM66,IF(A67&lt;'Données projet'!$A$218,$FB$205^A67,IF(A67='Données projet'!$A$218,'Données projet'!$B$218,FE66+FD67-FM66)))</f>
        <v>284.66666666666663</v>
      </c>
      <c r="FF67" s="18">
        <f>FE67*VLOOKUP('Données projet'!$B$16,Paramètres!$A$1:$I$89,3,0)*VLOOKUP('Données projet'!$B$16,Paramètres!$A$1:$I$89,5,0)</f>
        <v>275.32959999999997</v>
      </c>
      <c r="FG67" s="14">
        <f t="shared" si="47"/>
        <v>65.979054956580967</v>
      </c>
      <c r="FH67" s="22">
        <f t="shared" si="22"/>
        <v>594.44590738271177</v>
      </c>
      <c r="FI67" s="62">
        <f t="shared" si="23"/>
        <v>857.87025954226647</v>
      </c>
      <c r="FJ67" s="62">
        <f ca="1">AVERAGE(OFFSET($FI$3,0,0,'Données projet'!$E$16+1,1))-AVERAGE(OFFSET($H$3,0,0,'Données projet'!$E$16+1,1))</f>
        <v>369.69145521630799</v>
      </c>
      <c r="FK67" s="62">
        <f t="shared" si="48"/>
        <v>360.24112103688719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>
        <f>EXP(-LN(2)/35)*FQ66+(1-EXP(-LN(2)/35))/(LN(2)/35)*FM67*FN67*VLOOKUP('Données projet'!$B$16,Paramètres!$A$1:$I$89,3,0)*0.475*44/12</f>
        <v>18.681782579573383</v>
      </c>
      <c r="FR67" s="23">
        <f>EXP(-LN(2)/25)*FR66+(1-EXP(-LN(2)/25))/(LN(2)/25)*Calculateur!FM67*Calculateur!FO67*VLOOKUP('Données projet'!$B$16,Paramètres!$A$1:$I$89,3,0)*0.475*44/12</f>
        <v>0</v>
      </c>
      <c r="FS67" s="23">
        <f>EXP(-LN(2)/2)*FS66+(1-EXP(-LN(2)/2))/(LN(2)/2)*FM67*FP67*VLOOKUP('Données projet'!$B$16,Paramètres!$A$1:$I$89,3,0)*0.475*44/12</f>
        <v>0</v>
      </c>
      <c r="FT67" s="24">
        <f t="shared" si="24"/>
        <v>18.681782579573383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8.6666666666666661</v>
      </c>
      <c r="FZ67" s="13">
        <f>IF('Données projet'!$A$244&gt;35,FZ66+FY67-GH66,IF(A67&lt;'Données projet'!$A$244,$FW$205^A67,IF(A67='Données projet'!$A$244,'Données projet'!$B$244,FZ66+FY67-GH66)))</f>
        <v>284.66666666666663</v>
      </c>
      <c r="GA67" s="18">
        <f>FZ67*VLOOKUP('Données projet'!$B$17,Paramètres!$A$1:$I$89,3,0)*VLOOKUP('Données projet'!$B$17,Paramètres!$A$1:$I$89,5,0)</f>
        <v>306.41519999999997</v>
      </c>
      <c r="GB67" s="14">
        <f t="shared" si="49"/>
        <v>72.519675217547672</v>
      </c>
      <c r="GC67" s="22">
        <f t="shared" si="25"/>
        <v>659.9782410038955</v>
      </c>
      <c r="GD67" s="62">
        <f t="shared" si="26"/>
        <v>923.40259316345032</v>
      </c>
      <c r="GE67" s="62">
        <f ca="1">AVERAGE(OFFSET($GD$3,0,0,'Données projet'!$E$17+1,1))-AVERAGE(OFFSET($H$3,0,0,'Données projet'!$E$17+1,1))</f>
        <v>405.06394904053946</v>
      </c>
      <c r="GF67" s="62">
        <f t="shared" si="50"/>
        <v>393.75247087518198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>
        <f>EXP(-LN(2)/35)*GL66+(1-EXP(-LN(2)/35))/(LN(2)/35)*GH67*GI67*VLOOKUP('Données projet'!$B$17,Paramètres!$A$1:$I$89,3,0)*0.475*44/12</f>
        <v>20.791016096621991</v>
      </c>
      <c r="GM67" s="23">
        <f>EXP(-LN(2)/25)*GM66+(1-EXP(-LN(2)/25))/(LN(2)/25)*Calculateur!GH67*Calculateur!GJ67*VLOOKUP('Données projet'!$B$17,Paramètres!$A$1:$I$89,3,0)*0.475*44/12</f>
        <v>0</v>
      </c>
      <c r="GN67" s="23">
        <f>EXP(-LN(2)/2)*GN66+(1-EXP(-LN(2)/2))/(LN(2)/2)*GH67*GK67*VLOOKUP('Données projet'!$B$17,Paramètres!$A$1:$I$89,3,0)*0.475*44/12</f>
        <v>0</v>
      </c>
      <c r="GO67" s="23">
        <f t="shared" si="27"/>
        <v>20.791016096621991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8.6666666666666661</v>
      </c>
      <c r="GU67" s="13">
        <f>IF('Données projet'!$A$270&gt;35,GU66+GT67-HC66,IF(A67&lt;'Données projet'!$A$270,$GR$205^A67,IF(A67='Données projet'!$A$270,'Données projet'!$B$270,GU66+GT67-HC66)))</f>
        <v>284.66666666666663</v>
      </c>
      <c r="GV67" s="18">
        <f>GU67*VLOOKUP('Données projet'!$B$18,Paramètres!$A$1:$I$89,3,0)*VLOOKUP('Données projet'!$B$18,Paramètres!$A$1:$I$89,5,0)</f>
        <v>190.95439999999999</v>
      </c>
      <c r="GW67" s="14">
        <f t="shared" si="51"/>
        <v>47.750895568819445</v>
      </c>
      <c r="GX67" s="22">
        <f t="shared" si="28"/>
        <v>415.74505644902712</v>
      </c>
      <c r="GY67" s="62">
        <f t="shared" si="29"/>
        <v>679.16940860858188</v>
      </c>
      <c r="GZ67" s="62">
        <f ca="1">AVERAGE(OFFSET($GY$3,0,0,'Données projet'!$E$18+1,1))-AVERAGE(OFFSET($H$3,0,0,'Données projet'!$E$18+1,1))</f>
        <v>273.21861937609918</v>
      </c>
      <c r="HA67" s="62">
        <f t="shared" si="52"/>
        <v>268.83004886965318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>
        <f>EXP(-LN(2)/35)*HG66+(1-EXP(-LN(2)/35))/(LN(2)/35)*HC67*HD67*VLOOKUP('Données projet'!$B$18,Paramètres!$A$1:$I$89,3,0)*0.475*44/12</f>
        <v>15.9699109147966</v>
      </c>
      <c r="HH67" s="23">
        <f>EXP(-LN(2)/25)*HH66+(1-EXP(-LN(2)/25))/(LN(2)/25)*Calculateur!HC67*Calculateur!HE67*VLOOKUP('Données projet'!$B$18,Paramètres!$A$1:$I$89,3,0)*0.475*44/12</f>
        <v>0</v>
      </c>
      <c r="HI67" s="23">
        <f>EXP(-LN(2)/2)*HI66+(1-EXP(-LN(2)/2))/(LN(2)/2)*HC67*HF67*VLOOKUP('Données projet'!$B$18,Paramètres!$A$1:$I$89,3,0)*0.475*44/12</f>
        <v>0</v>
      </c>
      <c r="HJ67" s="24">
        <f t="shared" si="30"/>
        <v>15.9699109147966</v>
      </c>
    </row>
    <row r="68" spans="1:218" s="5" customFormat="1" x14ac:dyDescent="0.4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6.125</v>
      </c>
      <c r="N68" s="14">
        <f>IF('Données projet'!$A$36&gt;35,N67+M68-V67,IF(A68&lt;'Données projet'!$A$36,$K$205^A68,IF(A68='Données projet'!$A$36,'Données projet'!$B$36,N67+M68-V67)))</f>
        <v>147.62500000000006</v>
      </c>
      <c r="O68" s="14">
        <f>N68*VLOOKUP('Données projet'!$B$9,Paramètres!$A$1:$I$89,3,0)*VLOOKUP('Données projet'!$B$9,Paramètres!$A$1:$I$89,5,0)</f>
        <v>133.57110000000006</v>
      </c>
      <c r="P68" s="14">
        <f t="shared" si="33"/>
        <v>34.820229731627094</v>
      </c>
      <c r="Q68" s="22">
        <f t="shared" si="54"/>
        <v>293.28156594925059</v>
      </c>
      <c r="R68" s="62">
        <f t="shared" si="55"/>
        <v>557.22477206570579</v>
      </c>
      <c r="S68" s="62">
        <f ca="1">AVERAGE(OFFSET($R$3,0,0,'Données projet'!$E$9+1,1))-AVERAGE(OFFSET($H$3,0,0,'Données projet'!$E$9+1,1))</f>
        <v>432.80275651765203</v>
      </c>
      <c r="T68" s="62">
        <f t="shared" si="34"/>
        <v>203.89279893419919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0</v>
      </c>
      <c r="AA68" s="23">
        <f>EXP(-LN(2)/25)*AA67+(1-EXP(-LN(2)/25))/(LN(2)/25)*Calculateur!V68*Calculateur!X68*VLOOKUP('Données projet'!$B$9,Paramètres!$A$1:$I$89,3,0)*0.475*44/12</f>
        <v>0</v>
      </c>
      <c r="AB68" s="23">
        <f>EXP(-LN(2)/2)*AB67+(1-EXP(-LN(2)/2))/(LN(2)/2)*V68*Y68*VLOOKUP('Données projet'!$B$9,Paramètres!$A$1:$I$89,3,0)*0.475*44/12</f>
        <v>0</v>
      </c>
      <c r="AC68" s="24">
        <f t="shared" ref="AC68:AC131" si="57">SUM(Z68:AB68)</f>
        <v>0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>
        <f>VLOOKUP(A68,'Données projet'!$A$61:$I$81,2,0)</f>
        <v>700</v>
      </c>
      <c r="AG68" s="13">
        <f>VLOOKUP(A68,'Données projet'!$A$61:$I$81,9,0)</f>
        <v>14.8</v>
      </c>
      <c r="AH68" s="13">
        <f t="array" ref="AH68">INDEX(AG:AG,MIN(IF(ISNUMBER(AG68:AG264),ROW(AG68:AG264),"")))</f>
        <v>14.8</v>
      </c>
      <c r="AI68" s="14">
        <f>IF('Données projet'!$A$62&gt;35,AI67+AH68-AQ67,IF(A68&lt;'Données projet'!$A$62,$AF$205^A68,IF(A68='Données projet'!$A$62,'Données projet'!$B$62,AI67+AH68-AQ67)))</f>
        <v>700.00000000000034</v>
      </c>
      <c r="AJ68" s="14">
        <f>AI68*VLOOKUP('Données projet'!$B$10,Paramètres!$A$1:$I$89,3,0)*VLOOKUP('Données projet'!$B$10,Paramètres!$A$1:$I$89,5,0)</f>
        <v>309.4000000000002</v>
      </c>
      <c r="AK68" s="14">
        <f t="shared" si="35"/>
        <v>73.143512166070551</v>
      </c>
      <c r="AL68" s="22">
        <f t="shared" ref="AL68:AL131" si="58">(AJ68+AK68)*0.475*44/12</f>
        <v>666.26328368923987</v>
      </c>
      <c r="AM68" s="62">
        <f t="shared" ref="AM68:AM131" si="59">AL68+(AD68+AE68)*44/12</f>
        <v>930.20648980569513</v>
      </c>
      <c r="AN68" s="62">
        <f ca="1">AVERAGE(OFFSET($AM$3,0,0,'Données projet'!$E$10+1,1))-AVERAGE(OFFSET($H$3,0,0,'Données projet'!$E$10+1,1))</f>
        <v>413.08876898406481</v>
      </c>
      <c r="AO68" s="62">
        <f t="shared" si="36"/>
        <v>520.31320932826566</v>
      </c>
      <c r="AP68" s="16" t="str">
        <f>IF(ISNA(VLOOKUP(A68,'Données projet'!$A$61:$I$81,3,0)),0,VLOOKUP(A68,'Données projet'!$A$61:$I$81,3,0))</f>
        <v>CR</v>
      </c>
      <c r="AQ68" s="16">
        <f>IF(ISNA(VLOOKUP(A68,'Données projet'!$A$61:$I$81,4,0)),0,VLOOKUP(A68,'Données projet'!$A$61:$I$81,4,0))</f>
        <v>646</v>
      </c>
      <c r="AR68" s="17">
        <f>IF(ISNA(VLOOKUP(A68,'Données projet'!$A$61:$I$81,5,0)),0%,VLOOKUP(A68,'Données projet'!$A$61:$I$81,5,0)*VLOOKUP('Données projet'!$B$10,Paramètres!$A$1:$I$89,7,0))</f>
        <v>0.55000000000000004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248.8513116363998</v>
      </c>
      <c r="AV68" s="23">
        <f>EXP(-LN(2)/25)*AV67+(1-EXP(-LN(2)/25))/(LN(2)/25)*Calculateur!AQ68*Calculateur!AS68*VLOOKUP('Données projet'!$B$10,Paramètres!$A$1:$I$89,3,0)*0.475*44/12</f>
        <v>17.566111987408572</v>
      </c>
      <c r="AW68" s="23">
        <f>EXP(-LN(2)/2)*AW67+(1-EXP(-LN(2)/2))/(LN(2)/2)*AQ68*AT68*VLOOKUP('Données projet'!$B$10,Paramètres!$A$1:$I$89,3,0)*0.475*44/12</f>
        <v>3.9337105200585171E-3</v>
      </c>
      <c r="AX68" s="23">
        <f t="shared" ref="AX68:AX131" si="60">SUM(AU68:AW68)</f>
        <v>266.42135733432843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700</v>
      </c>
      <c r="BB68" s="13">
        <f>VLOOKUP(A68,'Données projet'!$A$87:$I$107,9,0)</f>
        <v>14.8</v>
      </c>
      <c r="BC68" s="13">
        <f t="array" ref="BC68">INDEX(BB:BB,MIN(IF(ISNUMBER(BB68:BB264),ROW(BB68:BB264),"")))</f>
        <v>14.8</v>
      </c>
      <c r="BD68" s="13">
        <f>IF('Données projet'!$A$88&gt;35,BD67+BC68-BL67,IF(A68&lt;'Données projet'!$A$88,$BA$205^A68,IF(A68='Données projet'!$A$88,'Données projet'!$B$88,BD67+BC68-BL67)))</f>
        <v>700.00000000000034</v>
      </c>
      <c r="BE68" s="14">
        <f>BD68*VLOOKUP('Données projet'!$B$11,Paramètres!$A$1:$I$89,3,0)*VLOOKUP('Données projet'!$B$11,Paramètres!$A$1:$I$89,5,0)</f>
        <v>391.30000000000018</v>
      </c>
      <c r="BF68" s="14">
        <f t="shared" si="37"/>
        <v>90.01062275853478</v>
      </c>
      <c r="BG68" s="22">
        <f t="shared" ref="BG68:BG131" si="61">(BE68+BF68)*0.475*44/12</f>
        <v>838.28266797111507</v>
      </c>
      <c r="BH68" s="62">
        <f t="shared" ref="BH68:BH131" si="62">BG68+(AY68+AZ68)*44/12</f>
        <v>1102.2258740875702</v>
      </c>
      <c r="BI68" s="62">
        <f ca="1">AVERAGE(OFFSET($BH$3,0,0,'Données projet'!$E$11+1,1))-AVERAGE(OFFSET($H$3,0,0,'Données projet'!$E$11+1,1))</f>
        <v>507.66185230065889</v>
      </c>
      <c r="BJ68" s="62">
        <f t="shared" si="38"/>
        <v>640.14375617778342</v>
      </c>
      <c r="BK68" s="16" t="str">
        <f>IF(ISNA(VLOOKUP(A68,'Données projet'!$A$87:$I$107,3,0)),0,VLOOKUP(A68,'Données projet'!$A$87:$I$107,3,0))</f>
        <v>CR</v>
      </c>
      <c r="BL68" s="16">
        <f>IF(ISNA(VLOOKUP(A68,'Données projet'!$A$87:$I$107,4,0)),0,VLOOKUP(A68,'Données projet'!$A$87:$I$107,4,0))</f>
        <v>646</v>
      </c>
      <c r="BM68" s="17">
        <f>IF(ISNA(VLOOKUP(A68,'Données projet'!$A$87:$I$107,5,0)),0%,VLOOKUP(A68,'Données projet'!$A$87:$I$107,5,0)*VLOOKUP('Données projet'!$B$11,Paramètres!$A$1:$I$89,7,0))</f>
        <v>0.55000000000000004</v>
      </c>
      <c r="BN68" s="17">
        <f>IF(ISNA(VLOOKUP(A68,'Données projet'!$A$87:$I$107,6,0)),0%,VLOOKUP(A68,'Données projet'!$A$87:$I$107,6,0)*VLOOKUP('Données projet'!$B$11,Paramètres!$A$1:$I$89,7,0))</f>
        <v>0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314.72371765779968</v>
      </c>
      <c r="BQ68" s="23">
        <f>EXP(-LN(2)/25)*BQ67+(1-EXP(-LN(2)/25))/(LN(2)/25)*Calculateur!BL68*Calculateur!BN68*VLOOKUP('Données projet'!$B$11,Paramètres!$A$1:$I$89,3,0)*0.475*44/12</f>
        <v>22.215965160546144</v>
      </c>
      <c r="BR68" s="23">
        <f>EXP(-LN(2)/2)*BR67+(1-EXP(-LN(2)/2))/(LN(2)/2)*BL68*BO68*VLOOKUP('Données projet'!$B$11,Paramètres!$A$1:$I$89,3,0)*0.475*44/12</f>
        <v>4.9749868341916574E-3</v>
      </c>
      <c r="BS68" s="24">
        <f t="shared" ref="BS68:BS131" si="63">SUM(BP68:BR68)</f>
        <v>336.94465780518004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11.157975389000001</v>
      </c>
      <c r="BY68" s="13">
        <f>IF('Données projet'!$A$114&gt;35,BY67+BX68-CG67,IF(A68&lt;'Données projet'!$A$114,$BV$205^A68,IF(A68='Données projet'!$A$114,'Données projet'!$B$114,BY67+BX68-CG67)))</f>
        <v>291.03421855499994</v>
      </c>
      <c r="BZ68" s="14">
        <f>BY68*VLOOKUP('Données projet'!$B$12,Paramètres!$A$1:$I$89,3,0)*VLOOKUP('Données projet'!$B$12,Paramètres!$A$1:$I$89,5,0)</f>
        <v>136.20401428373998</v>
      </c>
      <c r="CA68" s="14">
        <f t="shared" si="39"/>
        <v>35.426012144467187</v>
      </c>
      <c r="CB68" s="22">
        <f t="shared" ref="CB68:CB131" si="64">(BZ68+CA68)*0.475*44/12</f>
        <v>298.92229602912749</v>
      </c>
      <c r="CC68" s="62">
        <f t="shared" ref="CC68:CC131" si="65">CB68+(BT68+BU68)*44/12</f>
        <v>562.8655021455827</v>
      </c>
      <c r="CD68" s="62">
        <f ca="1">AVERAGE(OFFSET($CC$3,0,0,'Données projet'!$E$12+1,1))-AVERAGE(OFFSET($H$3,0,0,'Données projet'!$E$12+1,1))</f>
        <v>289.21044803824958</v>
      </c>
      <c r="CE68" s="62">
        <f t="shared" si="40"/>
        <v>196.11836398299445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>
        <f>EXP(-LN(2)/35)*CK67+(1-EXP(-LN(2)/35))/(LN(2)/35)*CG68*CH68*VLOOKUP('Données projet'!$B$12,Paramètres!$A$1:$I$89,3,0)*0.475*44/12</f>
        <v>9.0941437101703322</v>
      </c>
      <c r="CL68" s="23">
        <f>EXP(-LN(2)/25)*CL67+(1-EXP(-LN(2)/25))/(LN(2)/25)*Calculateur!CG68*Calculateur!CI68*VLOOKUP('Données projet'!$B$12,Paramètres!$A$1:$I$89,3,0)*0.475*44/12</f>
        <v>18.885038008884425</v>
      </c>
      <c r="CM68" s="23">
        <f>EXP(-LN(2)/2)*CM67+(1-EXP(-LN(2)/2))/(LN(2)/2)*CG68*CJ68*VLOOKUP('Données projet'!$B$12,Paramètres!$A$1:$I$89,3,0)*0.475*44/12</f>
        <v>0</v>
      </c>
      <c r="CN68" s="24">
        <f t="shared" ref="CN68:CN131" si="66">SUM(CK68:CM68)</f>
        <v>27.979181719054758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-5.6843418860808015E-14</v>
      </c>
      <c r="CU68" s="18">
        <f>CT68*VLOOKUP('Données projet'!$B$13,Paramètres!$A$1:$I$89,3,0)*VLOOKUP('Données projet'!$B$13,Paramètres!$A$1:$I$89,5,0)</f>
        <v>-5.1431925385259088E-14</v>
      </c>
      <c r="CV68" s="14" t="e">
        <f t="shared" si="41"/>
        <v>#NUM!</v>
      </c>
      <c r="CW68" s="22" t="e">
        <f t="shared" ref="CW68:CW131" si="67">(CU68+CV68)*0.475*44/12</f>
        <v>#NUM!</v>
      </c>
      <c r="CX68" s="62" t="e">
        <f t="shared" ref="CX68:CX131" si="68">CW68+(CO68+CP68)*44/12</f>
        <v>#NUM!</v>
      </c>
      <c r="CY68" s="62">
        <f ca="1">AVERAGE(OFFSET($CX$3,0,0,'Données projet'!$E$13+1,1))-AVERAGE(OFFSET($H$3,0,0,'Données projet'!$E$13+1,1))</f>
        <v>376.68007030857598</v>
      </c>
      <c r="CZ68" s="62">
        <f t="shared" si="42"/>
        <v>532.90758914457626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>
        <f>EXP(-LN(2)/35)*DF67+(1-EXP(-LN(2)/35))/(LN(2)/35)*DB68*DC68*VLOOKUP('Données projet'!$B$13,Paramètres!$A$1:$I$89,3,0)*0.475*44/12</f>
        <v>63.002591051912241</v>
      </c>
      <c r="DG68" s="23">
        <f>EXP(-LN(2)/25)*DG67+(1-EXP(-LN(2)/25))/(LN(2)/25)*Calculateur!DB68*Calculateur!DD68*VLOOKUP('Données projet'!$B$13,Paramètres!$A$1:$I$89,3,0)*0.475*44/12</f>
        <v>4.9640671518686688</v>
      </c>
      <c r="DH68" s="23">
        <f>EXP(-LN(2)/2)*DH67+(1-EXP(-LN(2)/2))/(LN(2)/2)*DB68*DE68*VLOOKUP('Données projet'!$B$13,Paramètres!$A$1:$I$89,3,0)*0.475*44/12</f>
        <v>0</v>
      </c>
      <c r="DI68" s="24">
        <f t="shared" ref="DI68:DI131" si="69">SUM(DF68:DH68)</f>
        <v>67.966658203780909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8.6666666666666661</v>
      </c>
      <c r="DO68" s="13">
        <f>IF('Données projet'!$A$166&gt;35,DO67+DN68-DW67,IF(A68&lt;'Données projet'!$A$166,$DL$205^A68,IF(A68='Données projet'!$A$166,'Données projet'!$B$166,DO67+DN68-DW67)))</f>
        <v>293.33333333333331</v>
      </c>
      <c r="DP68" s="18">
        <f>DO68*VLOOKUP('Données projet'!$B$14,Paramètres!$A$1:$I$89,3,0)*VLOOKUP('Données projet'!$B$14,Paramètres!$A$1:$I$89,5,0)</f>
        <v>279.13599999999997</v>
      </c>
      <c r="DQ68" s="14">
        <f t="shared" si="43"/>
        <v>66.78438801560776</v>
      </c>
      <c r="DR68" s="22">
        <f t="shared" ref="DR68:DR131" si="70">(DP68+DQ68)*0.475*44/12</f>
        <v>602.47800912718344</v>
      </c>
      <c r="DS68" s="62">
        <f t="shared" ref="DS68:DS131" si="71">DR68+(DJ68+DK68)*44/12</f>
        <v>866.4212152436387</v>
      </c>
      <c r="DT68" s="62">
        <f ca="1">AVERAGE(OFFSET($DS$3,0,0,'Données projet'!$E$14+1,1))-AVERAGE(OFFSET($H$3,0,0,'Données projet'!$E$14+1,1))</f>
        <v>364.63161066507769</v>
      </c>
      <c r="DU68" s="62">
        <f t="shared" si="44"/>
        <v>355.44729904860708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>
        <f>EXP(-LN(2)/35)*EA67+(1-EXP(-LN(2)/35))/(LN(2)/35)*DW68*DX68*VLOOKUP('Données projet'!$B$14,Paramètres!$A$1:$I$89,3,0)*0.475*44/12</f>
        <v>18.020033827338086</v>
      </c>
      <c r="EB68" s="23">
        <f>EXP(-LN(2)/25)*EB67+(1-EXP(-LN(2)/25))/(LN(2)/25)*Calculateur!DW68*Calculateur!DY68*VLOOKUP('Données projet'!$B$14,Paramètres!$A$1:$I$89,3,0)*0.475*44/12</f>
        <v>0</v>
      </c>
      <c r="EC68" s="23">
        <f>EXP(-LN(2)/2)*EC67+(1-EXP(-LN(2)/2))/(LN(2)/2)*DW68*DZ68*VLOOKUP('Données projet'!$B$14,Paramètres!$A$1:$I$89,3,0)*0.475*44/12</f>
        <v>0</v>
      </c>
      <c r="ED68" s="24">
        <f t="shared" ref="ED68:ED131" si="72">SUM(EA68:EC68)</f>
        <v>18.020033827338086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8.6666666666666661</v>
      </c>
      <c r="EJ68" s="13">
        <f>IF('Données projet'!$A$192&gt;35,EJ67+EI68-ER67,IF(A68&lt;'Données projet'!$A$192,$EG$205^A68,IF(A68='Données projet'!$A$192,'Données projet'!$B$192,EJ67+EI68-ER67)))</f>
        <v>293.33333333333331</v>
      </c>
      <c r="EK68" s="18">
        <f>EJ68*VLOOKUP('Données projet'!$B$15,Paramètres!$A$1:$I$89,3,0)*VLOOKUP('Données projet'!$B$15,Paramètres!$A$1:$I$89,5,0)</f>
        <v>215.07199999999997</v>
      </c>
      <c r="EL68" s="14">
        <f t="shared" si="45"/>
        <v>53.042401148431495</v>
      </c>
      <c r="EM68" s="22">
        <f t="shared" ref="EM68:EM131" si="73">(EK68+EL68)*0.475*44/12</f>
        <v>466.96591533351813</v>
      </c>
      <c r="EN68" s="62">
        <f t="shared" ref="EN68:EN131" si="74">EM68+(EE68+EF68)*44/12</f>
        <v>730.90912144997333</v>
      </c>
      <c r="EO68" s="62">
        <f ca="1">AVERAGE(OFFSET($EN$3,0,0,'Données projet'!$E$15+1,1))-AVERAGE(OFFSET($H$3,0,0,'Données projet'!$E$15+1,1))</f>
        <v>293.59366973965774</v>
      </c>
      <c r="EP68" s="62">
        <f t="shared" si="46"/>
        <v>288.13804536120426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>
        <f>EXP(-LN(2)/35)*EV67+(1-EXP(-LN(2)/35))/(LN(2)/35)*ER68*ES68*VLOOKUP('Données projet'!$B$15,Paramètres!$A$1:$I$89,3,0)*0.475*44/12</f>
        <v>13.884288358768687</v>
      </c>
      <c r="EW68" s="23">
        <f>EXP(-LN(2)/25)*EW67+(1-EXP(-LN(2)/25))/(LN(2)/25)*Calculateur!ER68*Calculateur!ET68*VLOOKUP('Données projet'!$B$15,Paramètres!$A$1:$I$89,3,0)*0.475*44/12</f>
        <v>0</v>
      </c>
      <c r="EX68" s="23">
        <f>EXP(-LN(2)/2)*EX67+(1-EXP(-LN(2)/2))/(LN(2)/2)*ER68*EU68*VLOOKUP('Données projet'!$B$15,Paramètres!$A$1:$I$89,3,0)*0.475*44/12</f>
        <v>0</v>
      </c>
      <c r="EY68" s="24">
        <f t="shared" ref="EY68:EY131" si="75">SUM(EV68:EX68)</f>
        <v>13.884288358768687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8.6666666666666661</v>
      </c>
      <c r="FE68" s="13">
        <f>IF('Données projet'!$A$218&gt;35,FE67+FD68-FM67,IF(A68&lt;'Données projet'!$A$218,$FB$205^A68,IF(A68='Données projet'!$A$218,'Données projet'!$B$218,FE67+FD68-FM67)))</f>
        <v>293.33333333333331</v>
      </c>
      <c r="FF68" s="18">
        <f>FE68*VLOOKUP('Données projet'!$B$16,Paramètres!$A$1:$I$89,3,0)*VLOOKUP('Données projet'!$B$16,Paramètres!$A$1:$I$89,5,0)</f>
        <v>283.71199999999999</v>
      </c>
      <c r="FG68" s="14">
        <f t="shared" si="47"/>
        <v>67.750858897187811</v>
      </c>
      <c r="FH68" s="22">
        <f t="shared" ref="FH68:FH131" si="76">(FF68+FG68)*0.475*44/12</f>
        <v>612.13114591260205</v>
      </c>
      <c r="FI68" s="62">
        <f t="shared" ref="FI68:FI131" si="77">FH68+(EZ68+FA68)*44/12</f>
        <v>876.07435202905731</v>
      </c>
      <c r="FJ68" s="62">
        <f ca="1">AVERAGE(OFFSET($FI$3,0,0,'Données projet'!$E$16+1,1))-AVERAGE(OFFSET($H$3,0,0,'Données projet'!$E$16+1,1))</f>
        <v>369.69145521630799</v>
      </c>
      <c r="FK68" s="62">
        <f t="shared" si="48"/>
        <v>360.24112103688719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>
        <f>EXP(-LN(2)/35)*FQ67+(1-EXP(-LN(2)/35))/(LN(2)/35)*FM68*FN68*VLOOKUP('Données projet'!$B$16,Paramètres!$A$1:$I$89,3,0)*0.475*44/12</f>
        <v>18.315444217950184</v>
      </c>
      <c r="FR68" s="23">
        <f>EXP(-LN(2)/25)*FR67+(1-EXP(-LN(2)/25))/(LN(2)/25)*Calculateur!FM68*Calculateur!FO68*VLOOKUP('Données projet'!$B$16,Paramètres!$A$1:$I$89,3,0)*0.475*44/12</f>
        <v>0</v>
      </c>
      <c r="FS68" s="23">
        <f>EXP(-LN(2)/2)*FS67+(1-EXP(-LN(2)/2))/(LN(2)/2)*FM68*FP68*VLOOKUP('Données projet'!$B$16,Paramètres!$A$1:$I$89,3,0)*0.475*44/12</f>
        <v>0</v>
      </c>
      <c r="FT68" s="24">
        <f t="shared" ref="FT68:FT131" si="78">SUM(FQ68:FS68)</f>
        <v>18.315444217950184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8.6666666666666661</v>
      </c>
      <c r="FZ68" s="13">
        <f>IF('Données projet'!$A$244&gt;35,FZ67+FY68-GH67,IF(A68&lt;'Données projet'!$A$244,$FW$205^A68,IF(A68='Données projet'!$A$244,'Données projet'!$B$244,FZ67+FY68-GH67)))</f>
        <v>293.33333333333331</v>
      </c>
      <c r="GA68" s="18">
        <f>FZ68*VLOOKUP('Données projet'!$B$17,Paramètres!$A$1:$I$89,3,0)*VLOOKUP('Données projet'!$B$17,Paramètres!$A$1:$I$89,5,0)</f>
        <v>315.74399999999997</v>
      </c>
      <c r="GB68" s="14">
        <f t="shared" si="49"/>
        <v>74.467121212440134</v>
      </c>
      <c r="GC68" s="22">
        <f t="shared" ref="GC68:GC131" si="79">(GA68+GB68)*0.475*44/12</f>
        <v>679.61770277833318</v>
      </c>
      <c r="GD68" s="62">
        <f t="shared" ref="GD68:GD131" si="80">GC68+(FU68+FV68)*44/12</f>
        <v>943.56090889478833</v>
      </c>
      <c r="GE68" s="62">
        <f ca="1">AVERAGE(OFFSET($GD$3,0,0,'Données projet'!$E$17+1,1))-AVERAGE(OFFSET($H$3,0,0,'Données projet'!$E$17+1,1))</f>
        <v>405.06394904053946</v>
      </c>
      <c r="GF68" s="62">
        <f t="shared" si="50"/>
        <v>393.75247087518198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>
        <f>EXP(-LN(2)/35)*GL67+(1-EXP(-LN(2)/35))/(LN(2)/35)*GH68*GI68*VLOOKUP('Données projet'!$B$17,Paramètres!$A$1:$I$89,3,0)*0.475*44/12</f>
        <v>20.383316952234882</v>
      </c>
      <c r="GM68" s="23">
        <f>EXP(-LN(2)/25)*GM67+(1-EXP(-LN(2)/25))/(LN(2)/25)*Calculateur!GH68*Calculateur!GJ68*VLOOKUP('Données projet'!$B$17,Paramètres!$A$1:$I$89,3,0)*0.475*44/12</f>
        <v>0</v>
      </c>
      <c r="GN68" s="23">
        <f>EXP(-LN(2)/2)*GN67+(1-EXP(-LN(2)/2))/(LN(2)/2)*GH68*GK68*VLOOKUP('Données projet'!$B$17,Paramètres!$A$1:$I$89,3,0)*0.475*44/12</f>
        <v>0</v>
      </c>
      <c r="GO68" s="23">
        <f t="shared" ref="GO68:GO131" si="81">SUM(GL68:GN68)</f>
        <v>20.383316952234882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8.6666666666666661</v>
      </c>
      <c r="GU68" s="13">
        <f>IF('Données projet'!$A$270&gt;35,GU67+GT68-HC67,IF(A68&lt;'Données projet'!$A$270,$GR$205^A68,IF(A68='Données projet'!$A$270,'Données projet'!$B$270,GU67+GT68-HC67)))</f>
        <v>293.33333333333331</v>
      </c>
      <c r="GV68" s="18">
        <f>GU68*VLOOKUP('Données projet'!$B$18,Paramètres!$A$1:$I$89,3,0)*VLOOKUP('Données projet'!$B$18,Paramètres!$A$1:$I$89,5,0)</f>
        <v>196.768</v>
      </c>
      <c r="GW68" s="14">
        <f t="shared" si="51"/>
        <v>49.033199854505554</v>
      </c>
      <c r="GX68" s="22">
        <f t="shared" ref="GX68:GX131" si="82">(GV68+GW68)*0.475*44/12</f>
        <v>428.10375641326391</v>
      </c>
      <c r="GY68" s="62">
        <f t="shared" ref="GY68:GY131" si="83">GX68+(GP68+GQ68)*44/12</f>
        <v>692.04696252971917</v>
      </c>
      <c r="GZ68" s="62">
        <f ca="1">AVERAGE(OFFSET($GY$3,0,0,'Données projet'!$E$18+1,1))-AVERAGE(OFFSET($H$3,0,0,'Données projet'!$E$18+1,1))</f>
        <v>273.21861937609918</v>
      </c>
      <c r="HA68" s="62">
        <f t="shared" si="52"/>
        <v>268.83004886965318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>
        <f>EXP(-LN(2)/35)*HG67+(1-EXP(-LN(2)/35))/(LN(2)/35)*HC68*HD68*VLOOKUP('Données projet'!$B$18,Paramètres!$A$1:$I$89,3,0)*0.475*44/12</f>
        <v>15.656750702441284</v>
      </c>
      <c r="HH68" s="23">
        <f>EXP(-LN(2)/25)*HH67+(1-EXP(-LN(2)/25))/(LN(2)/25)*Calculateur!HC68*Calculateur!HE68*VLOOKUP('Données projet'!$B$18,Paramètres!$A$1:$I$89,3,0)*0.475*44/12</f>
        <v>0</v>
      </c>
      <c r="HI68" s="23">
        <f>EXP(-LN(2)/2)*HI67+(1-EXP(-LN(2)/2))/(LN(2)/2)*HC68*HF68*VLOOKUP('Données projet'!$B$18,Paramètres!$A$1:$I$89,3,0)*0.475*44/12</f>
        <v>0</v>
      </c>
      <c r="HJ68" s="24">
        <f t="shared" ref="HJ68:HJ131" si="84">SUM(HG68:HI68)</f>
        <v>15.656750702441284</v>
      </c>
    </row>
    <row r="69" spans="1:218" s="5" customFormat="1" x14ac:dyDescent="0.4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 t="e">
        <f>VLOOKUP(A69,'Données projet'!$A$35:$I$55,2,0)</f>
        <v>#N/A</v>
      </c>
      <c r="L69" s="13" t="e">
        <f>VLOOKUP(A69,'Données projet'!$A$35:$I$55,9,0)</f>
        <v>#N/A</v>
      </c>
      <c r="M69" s="13">
        <f t="array" ref="M69">INDEX(L:L,MIN(IF(ISNUMBER(L69:L265),ROW(L69:L265),"")))</f>
        <v>6.125</v>
      </c>
      <c r="N69" s="14">
        <f>IF('Données projet'!$A$36&gt;35,N68+M69-V68,IF(A69&lt;'Données projet'!$A$36,$K$205^A69,IF(A69='Données projet'!$A$36,'Données projet'!$B$36,N68+M69-V68)))</f>
        <v>153.75000000000006</v>
      </c>
      <c r="O69" s="14">
        <f>N69*VLOOKUP('Données projet'!$B$9,Paramètres!$A$1:$I$89,3,0)*VLOOKUP('Données projet'!$B$9,Paramètres!$A$1:$I$89,5,0)</f>
        <v>139.11300000000006</v>
      </c>
      <c r="P69" s="14">
        <f t="shared" ref="P69:P132" si="87">EXP(-1.0587+0.8836*LN(O69)+0.284)</f>
        <v>36.093731146019131</v>
      </c>
      <c r="Q69" s="22">
        <f t="shared" si="54"/>
        <v>305.15172341265009</v>
      </c>
      <c r="R69" s="62">
        <f t="shared" si="55"/>
        <v>569.60478252983717</v>
      </c>
      <c r="S69" s="62">
        <f ca="1">AVERAGE(OFFSET($R$3,0,0,'Données projet'!$E$9+1,1))-AVERAGE(OFFSET($H$3,0,0,'Données projet'!$E$9+1,1))</f>
        <v>432.80275651765203</v>
      </c>
      <c r="T69" s="62">
        <f t="shared" ref="T69:T132" si="88">$T$3</f>
        <v>203.89279893419919</v>
      </c>
      <c r="U69" s="16">
        <f>IF(ISNA(VLOOKUP(A69,'Données projet'!$A$35:$I$55,3,0)),0,VLOOKUP(A69,'Données projet'!$A$35:$I$55,3,0))</f>
        <v>0</v>
      </c>
      <c r="V69" s="16">
        <f>IF(ISNA(VLOOKUP(A69,'Données projet'!$A$35:$I$55,4,0)),0,VLOOKUP(A69,'Données projet'!$A$35:$I$55,4,0))</f>
        <v>0</v>
      </c>
      <c r="W69" s="17">
        <f>IF(ISNA(VLOOKUP(A69,'Données projet'!$A$35:$I$55,5,0)),0%,VLOOKUP(A69,'Données projet'!$A$35:$I$55,5,0)*VLOOKUP('Données projet'!$B$9,Paramètres!$A$1:$I$89,7,0))</f>
        <v>0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</v>
      </c>
      <c r="Z69" s="23">
        <f>EXP(-LN(2)/35)*Z68+(1-EXP(-LN(2)/35))/(LN(2)/35)*V69*W69*VLOOKUP('Données projet'!$B$9,Paramètres!$A$1:$I$89,3,0)*0.475*44/12</f>
        <v>0</v>
      </c>
      <c r="AA69" s="23">
        <f>EXP(-LN(2)/25)*AA68+(1-EXP(-LN(2)/25))/(LN(2)/25)*Calculateur!V69*Calculateur!X69*VLOOKUP('Données projet'!$B$9,Paramètres!$A$1:$I$89,3,0)*0.475*44/12</f>
        <v>0</v>
      </c>
      <c r="AB69" s="23">
        <f>EXP(-LN(2)/2)*AB68+(1-EXP(-LN(2)/2))/(LN(2)/2)*V69*Y69*VLOOKUP('Données projet'!$B$9,Paramètres!$A$1:$I$89,3,0)*0.475*44/12</f>
        <v>0</v>
      </c>
      <c r="AC69" s="24">
        <f t="shared" si="57"/>
        <v>0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54.000000000000341</v>
      </c>
      <c r="AJ69" s="14">
        <f>AI69*VLOOKUP('Données projet'!$B$10,Paramètres!$A$1:$I$89,3,0)*VLOOKUP('Données projet'!$B$10,Paramètres!$A$1:$I$89,5,0)</f>
        <v>23.868000000000151</v>
      </c>
      <c r="AK69" s="14">
        <f t="shared" ref="AK69:AK132" si="89">EXP(-1.0587+0.8836*LN(AJ69)+0.284)</f>
        <v>7.6030930962115804</v>
      </c>
      <c r="AL69" s="22">
        <f t="shared" si="58"/>
        <v>54.812153809235433</v>
      </c>
      <c r="AM69" s="62">
        <f t="shared" si="59"/>
        <v>319.26521292642252</v>
      </c>
      <c r="AN69" s="62">
        <f ca="1">AVERAGE(OFFSET($AM$3,0,0,'Données projet'!$E$10+1,1))-AVERAGE(OFFSET($H$3,0,0,'Données projet'!$E$10+1,1))</f>
        <v>413.08876898406481</v>
      </c>
      <c r="AO69" s="62">
        <f t="shared" ref="AO69:AO132" si="90">$AO$3</f>
        <v>520.31320932826566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243.97148919952264</v>
      </c>
      <c r="AV69" s="23">
        <f>EXP(-LN(2)/25)*AV68+(1-EXP(-LN(2)/25))/(LN(2)/25)*Calculateur!AQ69*Calculateur!AS69*VLOOKUP('Données projet'!$B$10,Paramètres!$A$1:$I$89,3,0)*0.475*44/12</f>
        <v>17.085765731351202</v>
      </c>
      <c r="AW69" s="23">
        <f>EXP(-LN(2)/2)*AW68+(1-EXP(-LN(2)/2))/(LN(2)/2)*AQ69*AT69*VLOOKUP('Données projet'!$B$10,Paramètres!$A$1:$I$89,3,0)*0.475*44/12</f>
        <v>2.781553383958238E-3</v>
      </c>
      <c r="AX69" s="23">
        <f t="shared" si="60"/>
        <v>261.06003648425781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0</v>
      </c>
      <c r="BD69" s="13">
        <f>IF('Données projet'!$A$88&gt;35,BD68+BC69-BL68,IF(A69&lt;'Données projet'!$A$88,$BA$205^A69,IF(A69='Données projet'!$A$88,'Données projet'!$B$88,BD68+BC69-BL68)))</f>
        <v>54.000000000000341</v>
      </c>
      <c r="BE69" s="14">
        <f>BD69*VLOOKUP('Données projet'!$B$11,Paramètres!$A$1:$I$89,3,0)*VLOOKUP('Données projet'!$B$11,Paramètres!$A$1:$I$89,5,0)</f>
        <v>30.186000000000188</v>
      </c>
      <c r="BF69" s="14">
        <f t="shared" ref="BF69:BF132" si="91">EXP(-1.0587+0.8836*LN(BE69)+0.284)</f>
        <v>9.3563888882899153</v>
      </c>
      <c r="BG69" s="22">
        <f t="shared" si="61"/>
        <v>68.869660647105263</v>
      </c>
      <c r="BH69" s="62">
        <f t="shared" si="62"/>
        <v>333.32271976429234</v>
      </c>
      <c r="BI69" s="62">
        <f ca="1">AVERAGE(OFFSET($BH$3,0,0,'Données projet'!$E$11+1,1))-AVERAGE(OFFSET($H$3,0,0,'Données projet'!$E$11+1,1))</f>
        <v>507.66185230065889</v>
      </c>
      <c r="BJ69" s="62">
        <f t="shared" ref="BJ69:BJ132" si="92">$BJ$3</f>
        <v>640.14375617778342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308.55217751704328</v>
      </c>
      <c r="BQ69" s="23">
        <f>EXP(-LN(2)/25)*BQ68+(1-EXP(-LN(2)/25))/(LN(2)/25)*Calculateur!BL69*Calculateur!BN69*VLOOKUP('Données projet'!$B$11,Paramètres!$A$1:$I$89,3,0)*0.475*44/12</f>
        <v>21.608468424944178</v>
      </c>
      <c r="BR69" s="23">
        <f>EXP(-LN(2)/2)*BR68+(1-EXP(-LN(2)/2))/(LN(2)/2)*BL69*BO69*VLOOKUP('Données projet'!$B$11,Paramètres!$A$1:$I$89,3,0)*0.475*44/12</f>
        <v>3.5178469267707151E-3</v>
      </c>
      <c r="BS69" s="24">
        <f t="shared" si="63"/>
        <v>330.16416378891427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11.157975389000001</v>
      </c>
      <c r="BY69" s="13">
        <f>IF('Données projet'!$A$114&gt;35,BY68+BX69-CG68,IF(A69&lt;'Données projet'!$A$114,$BV$205^A69,IF(A69='Données projet'!$A$114,'Données projet'!$B$114,BY68+BX69-CG68)))</f>
        <v>302.19219394399994</v>
      </c>
      <c r="BZ69" s="14">
        <f>BY69*VLOOKUP('Données projet'!$B$12,Paramètres!$A$1:$I$89,3,0)*VLOOKUP('Données projet'!$B$12,Paramètres!$A$1:$I$89,5,0)</f>
        <v>141.42594676579196</v>
      </c>
      <c r="CA69" s="14">
        <f t="shared" ref="CA69:CA132" si="93">EXP(-1.0587+0.8836*LN(BZ69)+0.284)</f>
        <v>36.623476963065052</v>
      </c>
      <c r="CB69" s="22">
        <f t="shared" si="64"/>
        <v>310.10274632775935</v>
      </c>
      <c r="CC69" s="62">
        <f t="shared" si="65"/>
        <v>574.55580544494637</v>
      </c>
      <c r="CD69" s="62">
        <f ca="1">AVERAGE(OFFSET($CC$3,0,0,'Données projet'!$E$12+1,1))-AVERAGE(OFFSET($H$3,0,0,'Données projet'!$E$12+1,1))</f>
        <v>289.21044803824958</v>
      </c>
      <c r="CE69" s="62">
        <f t="shared" ref="CE69:CE132" si="94">$CE$3</f>
        <v>196.11836398299445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>
        <f>EXP(-LN(2)/35)*CK68+(1-EXP(-LN(2)/35))/(LN(2)/35)*CG69*CH69*VLOOKUP('Données projet'!$B$12,Paramètres!$A$1:$I$89,3,0)*0.475*44/12</f>
        <v>8.915813098893846</v>
      </c>
      <c r="CL69" s="23">
        <f>EXP(-LN(2)/25)*CL68+(1-EXP(-LN(2)/25))/(LN(2)/25)*Calculateur!CG69*Calculateur!CI69*VLOOKUP('Données projet'!$B$12,Paramètres!$A$1:$I$89,3,0)*0.475*44/12</f>
        <v>18.368625651410493</v>
      </c>
      <c r="CM69" s="23">
        <f>EXP(-LN(2)/2)*CM68+(1-EXP(-LN(2)/2))/(LN(2)/2)*CG69*CJ69*VLOOKUP('Données projet'!$B$12,Paramètres!$A$1:$I$89,3,0)*0.475*44/12</f>
        <v>0</v>
      </c>
      <c r="CN69" s="24">
        <f t="shared" si="66"/>
        <v>27.284438750304339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-5.6843418860808015E-14</v>
      </c>
      <c r="CU69" s="18">
        <f>CT69*VLOOKUP('Données projet'!$B$13,Paramètres!$A$1:$I$89,3,0)*VLOOKUP('Données projet'!$B$13,Paramètres!$A$1:$I$89,5,0)</f>
        <v>-5.1431925385259088E-14</v>
      </c>
      <c r="CV69" s="14" t="e">
        <f t="shared" ref="CV69:CV132" si="95">EXP(-1.0587+0.8836*LN(CU69)+0.284)</f>
        <v>#NUM!</v>
      </c>
      <c r="CW69" s="22" t="e">
        <f t="shared" si="67"/>
        <v>#NUM!</v>
      </c>
      <c r="CX69" s="62" t="e">
        <f t="shared" si="68"/>
        <v>#NUM!</v>
      </c>
      <c r="CY69" s="62">
        <f ca="1">AVERAGE(OFFSET($CX$3,0,0,'Données projet'!$E$13+1,1))-AVERAGE(OFFSET($H$3,0,0,'Données projet'!$E$13+1,1))</f>
        <v>376.68007030857598</v>
      </c>
      <c r="CZ69" s="62">
        <f t="shared" ref="CZ69:CZ132" si="96">$CZ$3</f>
        <v>532.90758914457626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>
        <f>EXP(-LN(2)/35)*DF68+(1-EXP(-LN(2)/35))/(LN(2)/35)*DB69*DC69*VLOOKUP('Données projet'!$B$13,Paramètres!$A$1:$I$89,3,0)*0.475*44/12</f>
        <v>61.767148669170354</v>
      </c>
      <c r="DG69" s="23">
        <f>EXP(-LN(2)/25)*DG68+(1-EXP(-LN(2)/25))/(LN(2)/25)*Calculateur!DB69*Calculateur!DD69*VLOOKUP('Données projet'!$B$13,Paramètres!$A$1:$I$89,3,0)*0.475*44/12</f>
        <v>4.8283244745518736</v>
      </c>
      <c r="DH69" s="23">
        <f>EXP(-LN(2)/2)*DH68+(1-EXP(-LN(2)/2))/(LN(2)/2)*DB69*DE69*VLOOKUP('Données projet'!$B$13,Paramètres!$A$1:$I$89,3,0)*0.475*44/12</f>
        <v>0</v>
      </c>
      <c r="DI69" s="24">
        <f t="shared" si="69"/>
        <v>66.595473143722231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8.6666666666666661</v>
      </c>
      <c r="DO69" s="13">
        <f>IF('Données projet'!$A$166&gt;35,DO68+DN69-DW68,IF(A69&lt;'Données projet'!$A$166,$DL$205^A69,IF(A69='Données projet'!$A$166,'Données projet'!$B$166,DO68+DN69-DW68)))</f>
        <v>302</v>
      </c>
      <c r="DP69" s="18">
        <f>DO69*VLOOKUP('Données projet'!$B$14,Paramètres!$A$1:$I$89,3,0)*VLOOKUP('Données projet'!$B$14,Paramètres!$A$1:$I$89,5,0)</f>
        <v>287.38319999999999</v>
      </c>
      <c r="DQ69" s="14">
        <f t="shared" ref="DQ69:DQ132" si="97">EXP(-1.0587+0.8836*LN(DP69)+0.284)</f>
        <v>68.524919967962759</v>
      </c>
      <c r="DR69" s="22">
        <f t="shared" si="70"/>
        <v>619.87330894420177</v>
      </c>
      <c r="DS69" s="62">
        <f t="shared" si="71"/>
        <v>884.32636806138885</v>
      </c>
      <c r="DT69" s="62">
        <f ca="1">AVERAGE(OFFSET($DS$3,0,0,'Données projet'!$E$14+1,1))-AVERAGE(OFFSET($H$3,0,0,'Données projet'!$E$14+1,1))</f>
        <v>364.63161066507769</v>
      </c>
      <c r="DU69" s="62">
        <f t="shared" ref="DU69:DU132" si="98">$DU$3</f>
        <v>355.44729904860708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>
        <f>EXP(-LN(2)/35)*EA68+(1-EXP(-LN(2)/35))/(LN(2)/35)*DW69*DX69*VLOOKUP('Données projet'!$B$14,Paramètres!$A$1:$I$89,3,0)*0.475*44/12</f>
        <v>17.666671955119337</v>
      </c>
      <c r="EB69" s="23">
        <f>EXP(-LN(2)/25)*EB68+(1-EXP(-LN(2)/25))/(LN(2)/25)*Calculateur!DW69*Calculateur!DY69*VLOOKUP('Données projet'!$B$14,Paramètres!$A$1:$I$89,3,0)*0.475*44/12</f>
        <v>0</v>
      </c>
      <c r="EC69" s="23">
        <f>EXP(-LN(2)/2)*EC68+(1-EXP(-LN(2)/2))/(LN(2)/2)*DW69*DZ69*VLOOKUP('Données projet'!$B$14,Paramètres!$A$1:$I$89,3,0)*0.475*44/12</f>
        <v>0</v>
      </c>
      <c r="ED69" s="24">
        <f t="shared" si="72"/>
        <v>17.666671955119337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8.6666666666666661</v>
      </c>
      <c r="EJ69" s="13">
        <f>IF('Données projet'!$A$192&gt;35,EJ68+EI69-ER68,IF(A69&lt;'Données projet'!$A$192,$EG$205^A69,IF(A69='Données projet'!$A$192,'Données projet'!$B$192,EJ68+EI69-ER68)))</f>
        <v>302</v>
      </c>
      <c r="EK69" s="18">
        <f>EJ69*VLOOKUP('Données projet'!$B$15,Paramètres!$A$1:$I$89,3,0)*VLOOKUP('Données projet'!$B$15,Paramètres!$A$1:$I$89,5,0)</f>
        <v>221.4264</v>
      </c>
      <c r="EL69" s="14">
        <f t="shared" ref="EL69:EL132" si="99">EXP(-1.0587+0.8836*LN(EK69)+0.284)</f>
        <v>54.424790008637878</v>
      </c>
      <c r="EM69" s="22">
        <f t="shared" si="73"/>
        <v>480.44082259837757</v>
      </c>
      <c r="EN69" s="62">
        <f t="shared" si="74"/>
        <v>744.8938817155647</v>
      </c>
      <c r="EO69" s="62">
        <f ca="1">AVERAGE(OFFSET($EN$3,0,0,'Données projet'!$E$15+1,1))-AVERAGE(OFFSET($H$3,0,0,'Données projet'!$E$15+1,1))</f>
        <v>293.59366973965774</v>
      </c>
      <c r="EP69" s="62">
        <f t="shared" ref="EP69:EP132" si="100">$EP$3</f>
        <v>288.13804536120426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>
        <f>EXP(-LN(2)/35)*EV68+(1-EXP(-LN(2)/35))/(LN(2)/35)*ER69*ES69*VLOOKUP('Données projet'!$B$15,Paramètres!$A$1:$I$89,3,0)*0.475*44/12</f>
        <v>13.61202593263293</v>
      </c>
      <c r="EW69" s="23">
        <f>EXP(-LN(2)/25)*EW68+(1-EXP(-LN(2)/25))/(LN(2)/25)*Calculateur!ER69*Calculateur!ET69*VLOOKUP('Données projet'!$B$15,Paramètres!$A$1:$I$89,3,0)*0.475*44/12</f>
        <v>0</v>
      </c>
      <c r="EX69" s="23">
        <f>EXP(-LN(2)/2)*EX68+(1-EXP(-LN(2)/2))/(LN(2)/2)*ER69*EU69*VLOOKUP('Données projet'!$B$15,Paramètres!$A$1:$I$89,3,0)*0.475*44/12</f>
        <v>0</v>
      </c>
      <c r="EY69" s="24">
        <f t="shared" si="75"/>
        <v>13.61202593263293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8.6666666666666661</v>
      </c>
      <c r="FE69" s="13">
        <f>IF('Données projet'!$A$218&gt;35,FE68+FD69-FM68,IF(A69&lt;'Données projet'!$A$218,$FB$205^A69,IF(A69='Données projet'!$A$218,'Données projet'!$B$218,FE68+FD69-FM68)))</f>
        <v>302</v>
      </c>
      <c r="FF69" s="18">
        <f>FE69*VLOOKUP('Données projet'!$B$16,Paramètres!$A$1:$I$89,3,0)*VLOOKUP('Données projet'!$B$16,Paramètres!$A$1:$I$89,5,0)</f>
        <v>292.09440000000001</v>
      </c>
      <c r="FG69" s="14">
        <f t="shared" ref="FG69:FG132" si="101">EXP(-1.0587+0.8836*LN(FF69)+0.284)</f>
        <v>69.516578973599849</v>
      </c>
      <c r="FH69" s="22">
        <f t="shared" si="76"/>
        <v>629.80578837901965</v>
      </c>
      <c r="FI69" s="62">
        <f t="shared" si="77"/>
        <v>894.25884749620673</v>
      </c>
      <c r="FJ69" s="62">
        <f ca="1">AVERAGE(OFFSET($FI$3,0,0,'Données projet'!$E$16+1,1))-AVERAGE(OFFSET($H$3,0,0,'Données projet'!$E$16+1,1))</f>
        <v>369.69145521630799</v>
      </c>
      <c r="FK69" s="62">
        <f t="shared" ref="FK69:FK132" si="102">$FK$3</f>
        <v>360.24112103688719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>
        <f>EXP(-LN(2)/35)*FQ68+(1-EXP(-LN(2)/35))/(LN(2)/35)*FM69*FN69*VLOOKUP('Données projet'!$B$16,Paramètres!$A$1:$I$89,3,0)*0.475*44/12</f>
        <v>17.956289528154077</v>
      </c>
      <c r="FR69" s="23">
        <f>EXP(-LN(2)/25)*FR68+(1-EXP(-LN(2)/25))/(LN(2)/25)*Calculateur!FM69*Calculateur!FO69*VLOOKUP('Données projet'!$B$16,Paramètres!$A$1:$I$89,3,0)*0.475*44/12</f>
        <v>0</v>
      </c>
      <c r="FS69" s="23">
        <f>EXP(-LN(2)/2)*FS68+(1-EXP(-LN(2)/2))/(LN(2)/2)*FM69*FP69*VLOOKUP('Données projet'!$B$16,Paramètres!$A$1:$I$89,3,0)*0.475*44/12</f>
        <v>0</v>
      </c>
      <c r="FT69" s="24">
        <f t="shared" si="78"/>
        <v>17.956289528154077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8.6666666666666661</v>
      </c>
      <c r="FZ69" s="13">
        <f>IF('Données projet'!$A$244&gt;35,FZ68+FY69-GH68,IF(A69&lt;'Données projet'!$A$244,$FW$205^A69,IF(A69='Données projet'!$A$244,'Données projet'!$B$244,FZ68+FY69-GH68)))</f>
        <v>302</v>
      </c>
      <c r="GA69" s="18">
        <f>FZ69*VLOOKUP('Données projet'!$B$17,Paramètres!$A$1:$I$89,3,0)*VLOOKUP('Données projet'!$B$17,Paramètres!$A$1:$I$89,5,0)</f>
        <v>325.07280000000003</v>
      </c>
      <c r="GB69" s="14">
        <f t="shared" ref="GB69:GB132" si="103">EXP(-1.0587+0.8836*LN(GA69)+0.284)</f>
        <v>76.407880238933785</v>
      </c>
      <c r="GC69" s="22">
        <f t="shared" si="79"/>
        <v>699.24551808280967</v>
      </c>
      <c r="GD69" s="62">
        <f t="shared" si="80"/>
        <v>963.69857719999675</v>
      </c>
      <c r="GE69" s="62">
        <f ca="1">AVERAGE(OFFSET($GD$3,0,0,'Données projet'!$E$17+1,1))-AVERAGE(OFFSET($H$3,0,0,'Données projet'!$E$17+1,1))</f>
        <v>405.06394904053946</v>
      </c>
      <c r="GF69" s="62">
        <f t="shared" ref="GF69:GF132" si="104">$GF$3</f>
        <v>393.75247087518198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>
        <f>EXP(-LN(2)/35)*GL68+(1-EXP(-LN(2)/35))/(LN(2)/35)*GH69*GI69*VLOOKUP('Données projet'!$B$17,Paramètres!$A$1:$I$89,3,0)*0.475*44/12</f>
        <v>19.983612539397281</v>
      </c>
      <c r="GM69" s="23">
        <f>EXP(-LN(2)/25)*GM68+(1-EXP(-LN(2)/25))/(LN(2)/25)*Calculateur!GH69*Calculateur!GJ69*VLOOKUP('Données projet'!$B$17,Paramètres!$A$1:$I$89,3,0)*0.475*44/12</f>
        <v>0</v>
      </c>
      <c r="GN69" s="23">
        <f>EXP(-LN(2)/2)*GN68+(1-EXP(-LN(2)/2))/(LN(2)/2)*GH69*GK69*VLOOKUP('Données projet'!$B$17,Paramètres!$A$1:$I$89,3,0)*0.475*44/12</f>
        <v>0</v>
      </c>
      <c r="GO69" s="23">
        <f t="shared" si="81"/>
        <v>19.983612539397281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8.6666666666666661</v>
      </c>
      <c r="GU69" s="13">
        <f>IF('Données projet'!$A$270&gt;35,GU68+GT69-HC68,IF(A69&lt;'Données projet'!$A$270,$GR$205^A69,IF(A69='Données projet'!$A$270,'Données projet'!$B$270,GU68+GT69-HC68)))</f>
        <v>302</v>
      </c>
      <c r="GV69" s="18">
        <f>GU69*VLOOKUP('Données projet'!$B$18,Paramètres!$A$1:$I$89,3,0)*VLOOKUP('Données projet'!$B$18,Paramètres!$A$1:$I$89,5,0)</f>
        <v>202.58159999999998</v>
      </c>
      <c r="GW69" s="14">
        <f t="shared" ref="GW69:GW132" si="105">EXP(-1.0587+0.8836*LN(GV69)+0.284)</f>
        <v>50.311101076764672</v>
      </c>
      <c r="GX69" s="22">
        <f t="shared" si="82"/>
        <v>440.4547877086984</v>
      </c>
      <c r="GY69" s="62">
        <f t="shared" si="83"/>
        <v>704.90784682588549</v>
      </c>
      <c r="GZ69" s="62">
        <f ca="1">AVERAGE(OFFSET($GY$3,0,0,'Données projet'!$E$18+1,1))-AVERAGE(OFFSET($H$3,0,0,'Données projet'!$E$18+1,1))</f>
        <v>273.21861937609918</v>
      </c>
      <c r="HA69" s="62">
        <f t="shared" ref="HA69:HA132" si="106">$HA$3</f>
        <v>268.83004886965318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>
        <f>EXP(-LN(2)/35)*HG68+(1-EXP(-LN(2)/35))/(LN(2)/35)*HC69*HD69*VLOOKUP('Données projet'!$B$18,Paramètres!$A$1:$I$89,3,0)*0.475*44/12</f>
        <v>15.349731370841388</v>
      </c>
      <c r="HH69" s="23">
        <f>EXP(-LN(2)/25)*HH68+(1-EXP(-LN(2)/25))/(LN(2)/25)*Calculateur!HC69*Calculateur!HE69*VLOOKUP('Données projet'!$B$18,Paramètres!$A$1:$I$89,3,0)*0.475*44/12</f>
        <v>0</v>
      </c>
      <c r="HI69" s="23">
        <f>EXP(-LN(2)/2)*HI68+(1-EXP(-LN(2)/2))/(LN(2)/2)*HC69*HF69*VLOOKUP('Données projet'!$B$18,Paramètres!$A$1:$I$89,3,0)*0.475*44/12</f>
        <v>0</v>
      </c>
      <c r="HJ69" s="24">
        <f t="shared" si="84"/>
        <v>15.349731370841388</v>
      </c>
    </row>
    <row r="70" spans="1:218" s="5" customFormat="1" x14ac:dyDescent="0.4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6.125</v>
      </c>
      <c r="N70" s="14">
        <f>IF('Données projet'!$A$36&gt;35,N69+M70-V69,IF(A70&lt;'Données projet'!$A$36,$K$205^A70,IF(A70='Données projet'!$A$36,'Données projet'!$B$36,N69+M70-V69)))</f>
        <v>159.87500000000006</v>
      </c>
      <c r="O70" s="14">
        <f>N70*VLOOKUP('Données projet'!$B$9,Paramètres!$A$1:$I$89,3,0)*VLOOKUP('Données projet'!$B$9,Paramètres!$A$1:$I$89,5,0)</f>
        <v>144.65490000000003</v>
      </c>
      <c r="P70" s="14">
        <f t="shared" si="87"/>
        <v>37.361339265401291</v>
      </c>
      <c r="Q70" s="22">
        <f t="shared" si="54"/>
        <v>317.01161672057395</v>
      </c>
      <c r="R70" s="62">
        <f t="shared" si="55"/>
        <v>581.96568402879086</v>
      </c>
      <c r="S70" s="62">
        <f ca="1">AVERAGE(OFFSET($R$3,0,0,'Données projet'!$E$9+1,1))-AVERAGE(OFFSET($H$3,0,0,'Données projet'!$E$9+1,1))</f>
        <v>432.80275651765203</v>
      </c>
      <c r="T70" s="62">
        <f t="shared" si="88"/>
        <v>203.89279893419919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0</v>
      </c>
      <c r="AA70" s="23">
        <f>EXP(-LN(2)/25)*AA69+(1-EXP(-LN(2)/25))/(LN(2)/25)*Calculateur!V70*Calculateur!X70*VLOOKUP('Données projet'!$B$9,Paramètres!$A$1:$I$89,3,0)*0.475*44/12</f>
        <v>0</v>
      </c>
      <c r="AB70" s="23">
        <f>EXP(-LN(2)/2)*AB69+(1-EXP(-LN(2)/2))/(LN(2)/2)*V70*Y70*VLOOKUP('Données projet'!$B$9,Paramètres!$A$1:$I$89,3,0)*0.475*44/12</f>
        <v>0</v>
      </c>
      <c r="AC70" s="24">
        <f t="shared" si="57"/>
        <v>0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54.000000000000341</v>
      </c>
      <c r="AJ70" s="14">
        <f>AI70*VLOOKUP('Données projet'!$B$10,Paramètres!$A$1:$I$89,3,0)*VLOOKUP('Données projet'!$B$10,Paramètres!$A$1:$I$89,5,0)</f>
        <v>23.868000000000151</v>
      </c>
      <c r="AK70" s="14">
        <f t="shared" si="89"/>
        <v>7.6030930962115804</v>
      </c>
      <c r="AL70" s="22">
        <f t="shared" si="58"/>
        <v>54.812153809235433</v>
      </c>
      <c r="AM70" s="62">
        <f t="shared" si="59"/>
        <v>319.76622111745235</v>
      </c>
      <c r="AN70" s="62">
        <f ca="1">AVERAGE(OFFSET($AM$3,0,0,'Données projet'!$E$10+1,1))-AVERAGE(OFFSET($H$3,0,0,'Données projet'!$E$10+1,1))</f>
        <v>413.08876898406481</v>
      </c>
      <c r="AO70" s="62">
        <f t="shared" si="90"/>
        <v>520.31320932826566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239.18735710423485</v>
      </c>
      <c r="AV70" s="23">
        <f>EXP(-LN(2)/25)*AV69+(1-EXP(-LN(2)/25))/(LN(2)/25)*Calculateur!AQ70*Calculateur!AS70*VLOOKUP('Données projet'!$B$10,Paramètres!$A$1:$I$89,3,0)*0.475*44/12</f>
        <v>16.618554568926033</v>
      </c>
      <c r="AW70" s="23">
        <f>EXP(-LN(2)/2)*AW69+(1-EXP(-LN(2)/2))/(LN(2)/2)*AQ70*AT70*VLOOKUP('Données projet'!$B$10,Paramètres!$A$1:$I$89,3,0)*0.475*44/12</f>
        <v>1.9668552600292585E-3</v>
      </c>
      <c r="AX70" s="23">
        <f t="shared" si="60"/>
        <v>255.80787852842093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0</v>
      </c>
      <c r="BD70" s="13">
        <f>IF('Données projet'!$A$88&gt;35,BD69+BC70-BL69,IF(A70&lt;'Données projet'!$A$88,$BA$205^A70,IF(A70='Données projet'!$A$88,'Données projet'!$B$88,BD69+BC70-BL69)))</f>
        <v>54.000000000000341</v>
      </c>
      <c r="BE70" s="14">
        <f>BD70*VLOOKUP('Données projet'!$B$11,Paramètres!$A$1:$I$89,3,0)*VLOOKUP('Données projet'!$B$11,Paramètres!$A$1:$I$89,5,0)</f>
        <v>30.186000000000188</v>
      </c>
      <c r="BF70" s="14">
        <f t="shared" si="91"/>
        <v>9.3563888882899153</v>
      </c>
      <c r="BG70" s="22">
        <f t="shared" si="61"/>
        <v>68.869660647105263</v>
      </c>
      <c r="BH70" s="62">
        <f t="shared" si="62"/>
        <v>333.82372795532217</v>
      </c>
      <c r="BI70" s="62">
        <f ca="1">AVERAGE(OFFSET($BH$3,0,0,'Données projet'!$E$11+1,1))-AVERAGE(OFFSET($H$3,0,0,'Données projet'!$E$11+1,1))</f>
        <v>507.66185230065889</v>
      </c>
      <c r="BJ70" s="62">
        <f t="shared" si="92"/>
        <v>640.14375617778342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302.50165751417933</v>
      </c>
      <c r="BQ70" s="23">
        <f>EXP(-LN(2)/25)*BQ69+(1-EXP(-LN(2)/25))/(LN(2)/25)*Calculateur!BL70*Calculateur!BN70*VLOOKUP('Données projet'!$B$11,Paramètres!$A$1:$I$89,3,0)*0.475*44/12</f>
        <v>21.017583719524112</v>
      </c>
      <c r="BR70" s="23">
        <f>EXP(-LN(2)/2)*BR69+(1-EXP(-LN(2)/2))/(LN(2)/2)*BL70*BO70*VLOOKUP('Données projet'!$B$11,Paramètres!$A$1:$I$89,3,0)*0.475*44/12</f>
        <v>2.4874934170958287E-3</v>
      </c>
      <c r="BS70" s="24">
        <f t="shared" si="63"/>
        <v>323.52172872712055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11.157975389000001</v>
      </c>
      <c r="BY70" s="13">
        <f>IF('Données projet'!$A$114&gt;35,BY69+BX70-CG69,IF(A70&lt;'Données projet'!$A$114,$BV$205^A70,IF(A70='Données projet'!$A$114,'Données projet'!$B$114,BY69+BX70-CG69)))</f>
        <v>313.35016933299994</v>
      </c>
      <c r="BZ70" s="14">
        <f>BY70*VLOOKUP('Données projet'!$B$12,Paramètres!$A$1:$I$89,3,0)*VLOOKUP('Données projet'!$B$12,Paramètres!$A$1:$I$89,5,0)</f>
        <v>146.64787924784397</v>
      </c>
      <c r="CA70" s="14">
        <f t="shared" si="93"/>
        <v>37.815805022455727</v>
      </c>
      <c r="CB70" s="22">
        <f t="shared" si="64"/>
        <v>321.27425010410531</v>
      </c>
      <c r="CC70" s="62">
        <f t="shared" si="65"/>
        <v>586.22831741232221</v>
      </c>
      <c r="CD70" s="62">
        <f ca="1">AVERAGE(OFFSET($CC$3,0,0,'Données projet'!$E$12+1,1))-AVERAGE(OFFSET($H$3,0,0,'Données projet'!$E$12+1,1))</f>
        <v>289.21044803824958</v>
      </c>
      <c r="CE70" s="62">
        <f t="shared" si="94"/>
        <v>196.11836398299445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>
        <f>EXP(-LN(2)/35)*CK69+(1-EXP(-LN(2)/35))/(LN(2)/35)*CG70*CH70*VLOOKUP('Données projet'!$B$12,Paramètres!$A$1:$I$89,3,0)*0.475*44/12</f>
        <v>8.7409794421335594</v>
      </c>
      <c r="CL70" s="23">
        <f>EXP(-LN(2)/25)*CL69+(1-EXP(-LN(2)/25))/(LN(2)/25)*Calculateur!CG70*Calculateur!CI70*VLOOKUP('Données projet'!$B$12,Paramètres!$A$1:$I$89,3,0)*0.475*44/12</f>
        <v>17.866334617008633</v>
      </c>
      <c r="CM70" s="23">
        <f>EXP(-LN(2)/2)*CM69+(1-EXP(-LN(2)/2))/(LN(2)/2)*CG70*CJ70*VLOOKUP('Données projet'!$B$12,Paramètres!$A$1:$I$89,3,0)*0.475*44/12</f>
        <v>0</v>
      </c>
      <c r="CN70" s="24">
        <f t="shared" si="66"/>
        <v>26.60731405914219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-5.6843418860808015E-14</v>
      </c>
      <c r="CU70" s="18">
        <f>CT70*VLOOKUP('Données projet'!$B$13,Paramètres!$A$1:$I$89,3,0)*VLOOKUP('Données projet'!$B$13,Paramètres!$A$1:$I$89,5,0)</f>
        <v>-5.1431925385259088E-14</v>
      </c>
      <c r="CV70" s="14" t="e">
        <f t="shared" si="95"/>
        <v>#NUM!</v>
      </c>
      <c r="CW70" s="22" t="e">
        <f t="shared" si="67"/>
        <v>#NUM!</v>
      </c>
      <c r="CX70" s="62" t="e">
        <f t="shared" si="68"/>
        <v>#NUM!</v>
      </c>
      <c r="CY70" s="62">
        <f ca="1">AVERAGE(OFFSET($CX$3,0,0,'Données projet'!$E$13+1,1))-AVERAGE(OFFSET($H$3,0,0,'Données projet'!$E$13+1,1))</f>
        <v>376.68007030857598</v>
      </c>
      <c r="CZ70" s="62">
        <f t="shared" si="96"/>
        <v>532.90758914457626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>
        <f>EXP(-LN(2)/35)*DF69+(1-EXP(-LN(2)/35))/(LN(2)/35)*DB70*DC70*VLOOKUP('Données projet'!$B$13,Paramètres!$A$1:$I$89,3,0)*0.475*44/12</f>
        <v>60.555932558008585</v>
      </c>
      <c r="DG70" s="23">
        <f>EXP(-LN(2)/25)*DG69+(1-EXP(-LN(2)/25))/(LN(2)/25)*Calculateur!DB70*Calculateur!DD70*VLOOKUP('Données projet'!$B$13,Paramètres!$A$1:$I$89,3,0)*0.475*44/12</f>
        <v>4.6962936878847037</v>
      </c>
      <c r="DH70" s="23">
        <f>EXP(-LN(2)/2)*DH69+(1-EXP(-LN(2)/2))/(LN(2)/2)*DB70*DE70*VLOOKUP('Données projet'!$B$13,Paramètres!$A$1:$I$89,3,0)*0.475*44/12</f>
        <v>0</v>
      </c>
      <c r="DI70" s="24">
        <f t="shared" si="69"/>
        <v>65.252226245893283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8.6666666666666661</v>
      </c>
      <c r="DO70" s="13">
        <f>IF('Données projet'!$A$166&gt;35,DO69+DN70-DW69,IF(A70&lt;'Données projet'!$A$166,$DL$205^A70,IF(A70='Données projet'!$A$166,'Données projet'!$B$166,DO69+DN70-DW69)))</f>
        <v>310.66666666666669</v>
      </c>
      <c r="DP70" s="18">
        <f>DO70*VLOOKUP('Données projet'!$B$14,Paramètres!$A$1:$I$89,3,0)*VLOOKUP('Données projet'!$B$14,Paramètres!$A$1:$I$89,5,0)</f>
        <v>295.63040000000001</v>
      </c>
      <c r="DQ70" s="14">
        <f t="shared" si="97"/>
        <v>70.259646709891214</v>
      </c>
      <c r="DR70" s="22">
        <f t="shared" si="70"/>
        <v>637.2584980197272</v>
      </c>
      <c r="DS70" s="62">
        <f t="shared" si="71"/>
        <v>902.21256532794405</v>
      </c>
      <c r="DT70" s="62">
        <f ca="1">AVERAGE(OFFSET($DS$3,0,0,'Données projet'!$E$14+1,1))-AVERAGE(OFFSET($H$3,0,0,'Données projet'!$E$14+1,1))</f>
        <v>364.63161066507769</v>
      </c>
      <c r="DU70" s="62">
        <f t="shared" si="98"/>
        <v>355.44729904860708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>
        <f>EXP(-LN(2)/35)*EA69+(1-EXP(-LN(2)/35))/(LN(2)/35)*DW70*DX70*VLOOKUP('Données projet'!$B$14,Paramètres!$A$1:$I$89,3,0)*0.475*44/12</f>
        <v>17.320239293685336</v>
      </c>
      <c r="EB70" s="23">
        <f>EXP(-LN(2)/25)*EB69+(1-EXP(-LN(2)/25))/(LN(2)/25)*Calculateur!DW70*Calculateur!DY70*VLOOKUP('Données projet'!$B$14,Paramètres!$A$1:$I$89,3,0)*0.475*44/12</f>
        <v>0</v>
      </c>
      <c r="EC70" s="23">
        <f>EXP(-LN(2)/2)*EC69+(1-EXP(-LN(2)/2))/(LN(2)/2)*DW70*DZ70*VLOOKUP('Données projet'!$B$14,Paramètres!$A$1:$I$89,3,0)*0.475*44/12</f>
        <v>0</v>
      </c>
      <c r="ED70" s="24">
        <f t="shared" si="72"/>
        <v>17.320239293685336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8.6666666666666661</v>
      </c>
      <c r="EJ70" s="13">
        <f>IF('Données projet'!$A$192&gt;35,EJ69+EI70-ER69,IF(A70&lt;'Données projet'!$A$192,$EG$205^A70,IF(A70='Données projet'!$A$192,'Données projet'!$B$192,EJ69+EI70-ER69)))</f>
        <v>310.66666666666669</v>
      </c>
      <c r="EK70" s="18">
        <f>EJ70*VLOOKUP('Données projet'!$B$15,Paramètres!$A$1:$I$89,3,0)*VLOOKUP('Données projet'!$B$15,Paramètres!$A$1:$I$89,5,0)</f>
        <v>227.7808</v>
      </c>
      <c r="EL70" s="14">
        <f t="shared" si="99"/>
        <v>55.802568175996036</v>
      </c>
      <c r="EM70" s="22">
        <f t="shared" si="73"/>
        <v>493.90769957319316</v>
      </c>
      <c r="EN70" s="62">
        <f t="shared" si="74"/>
        <v>758.86176688141006</v>
      </c>
      <c r="EO70" s="62">
        <f ca="1">AVERAGE(OFFSET($EN$3,0,0,'Données projet'!$E$15+1,1))-AVERAGE(OFFSET($H$3,0,0,'Données projet'!$E$15+1,1))</f>
        <v>293.59366973965774</v>
      </c>
      <c r="EP70" s="62">
        <f t="shared" si="100"/>
        <v>288.13804536120426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>
        <f>EXP(-LN(2)/35)*EV69+(1-EXP(-LN(2)/35))/(LN(2)/35)*ER70*ES70*VLOOKUP('Données projet'!$B$15,Paramètres!$A$1:$I$89,3,0)*0.475*44/12</f>
        <v>13.345102406610012</v>
      </c>
      <c r="EW70" s="23">
        <f>EXP(-LN(2)/25)*EW69+(1-EXP(-LN(2)/25))/(LN(2)/25)*Calculateur!ER70*Calculateur!ET70*VLOOKUP('Données projet'!$B$15,Paramètres!$A$1:$I$89,3,0)*0.475*44/12</f>
        <v>0</v>
      </c>
      <c r="EX70" s="23">
        <f>EXP(-LN(2)/2)*EX69+(1-EXP(-LN(2)/2))/(LN(2)/2)*ER70*EU70*VLOOKUP('Données projet'!$B$15,Paramètres!$A$1:$I$89,3,0)*0.475*44/12</f>
        <v>0</v>
      </c>
      <c r="EY70" s="24">
        <f t="shared" si="75"/>
        <v>13.345102406610012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8.6666666666666661</v>
      </c>
      <c r="FE70" s="13">
        <f>IF('Données projet'!$A$218&gt;35,FE69+FD70-FM69,IF(A70&lt;'Données projet'!$A$218,$FB$205^A70,IF(A70='Données projet'!$A$218,'Données projet'!$B$218,FE69+FD70-FM69)))</f>
        <v>310.66666666666669</v>
      </c>
      <c r="FF70" s="18">
        <f>FE70*VLOOKUP('Données projet'!$B$16,Paramètres!$A$1:$I$89,3,0)*VLOOKUP('Données projet'!$B$16,Paramètres!$A$1:$I$89,5,0)</f>
        <v>300.47680000000003</v>
      </c>
      <c r="FG70" s="14">
        <f t="shared" si="101"/>
        <v>71.276409829429667</v>
      </c>
      <c r="FH70" s="22">
        <f t="shared" si="76"/>
        <v>647.47017378625662</v>
      </c>
      <c r="FI70" s="62">
        <f t="shared" si="77"/>
        <v>912.42424109447347</v>
      </c>
      <c r="FJ70" s="62">
        <f ca="1">AVERAGE(OFFSET($FI$3,0,0,'Données projet'!$E$16+1,1))-AVERAGE(OFFSET($H$3,0,0,'Données projet'!$E$16+1,1))</f>
        <v>369.69145521630799</v>
      </c>
      <c r="FK70" s="62">
        <f t="shared" si="102"/>
        <v>360.24112103688719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>
        <f>EXP(-LN(2)/35)*FQ69+(1-EXP(-LN(2)/35))/(LN(2)/35)*FM70*FN70*VLOOKUP('Données projet'!$B$16,Paramètres!$A$1:$I$89,3,0)*0.475*44/12</f>
        <v>17.604177642762142</v>
      </c>
      <c r="FR70" s="23">
        <f>EXP(-LN(2)/25)*FR69+(1-EXP(-LN(2)/25))/(LN(2)/25)*Calculateur!FM70*Calculateur!FO70*VLOOKUP('Données projet'!$B$16,Paramètres!$A$1:$I$89,3,0)*0.475*44/12</f>
        <v>0</v>
      </c>
      <c r="FS70" s="23">
        <f>EXP(-LN(2)/2)*FS69+(1-EXP(-LN(2)/2))/(LN(2)/2)*FM70*FP70*VLOOKUP('Données projet'!$B$16,Paramètres!$A$1:$I$89,3,0)*0.475*44/12</f>
        <v>0</v>
      </c>
      <c r="FT70" s="24">
        <f t="shared" si="78"/>
        <v>17.604177642762142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8.6666666666666661</v>
      </c>
      <c r="FZ70" s="13">
        <f>IF('Données projet'!$A$244&gt;35,FZ69+FY70-GH69,IF(A70&lt;'Données projet'!$A$244,$FW$205^A70,IF(A70='Données projet'!$A$244,'Données projet'!$B$244,FZ69+FY70-GH69)))</f>
        <v>310.66666666666669</v>
      </c>
      <c r="GA70" s="18">
        <f>FZ70*VLOOKUP('Données projet'!$B$17,Paramètres!$A$1:$I$89,3,0)*VLOOKUP('Données projet'!$B$17,Paramètres!$A$1:$I$89,5,0)</f>
        <v>334.40159999999997</v>
      </c>
      <c r="GB70" s="14">
        <f t="shared" si="103"/>
        <v>78.342166236006221</v>
      </c>
      <c r="GC70" s="22">
        <f t="shared" si="79"/>
        <v>718.8620595277107</v>
      </c>
      <c r="GD70" s="62">
        <f t="shared" si="80"/>
        <v>983.81612683592766</v>
      </c>
      <c r="GE70" s="62">
        <f ca="1">AVERAGE(OFFSET($GD$3,0,0,'Données projet'!$E$17+1,1))-AVERAGE(OFFSET($H$3,0,0,'Données projet'!$E$17+1,1))</f>
        <v>405.06394904053946</v>
      </c>
      <c r="GF70" s="62">
        <f t="shared" si="104"/>
        <v>393.75247087518198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>
        <f>EXP(-LN(2)/35)*GL69+(1-EXP(-LN(2)/35))/(LN(2)/35)*GH70*GI70*VLOOKUP('Données projet'!$B$17,Paramètres!$A$1:$I$89,3,0)*0.475*44/12</f>
        <v>19.591746086299807</v>
      </c>
      <c r="GM70" s="23">
        <f>EXP(-LN(2)/25)*GM69+(1-EXP(-LN(2)/25))/(LN(2)/25)*Calculateur!GH70*Calculateur!GJ70*VLOOKUP('Données projet'!$B$17,Paramètres!$A$1:$I$89,3,0)*0.475*44/12</f>
        <v>0</v>
      </c>
      <c r="GN70" s="23">
        <f>EXP(-LN(2)/2)*GN69+(1-EXP(-LN(2)/2))/(LN(2)/2)*GH70*GK70*VLOOKUP('Données projet'!$B$17,Paramètres!$A$1:$I$89,3,0)*0.475*44/12</f>
        <v>0</v>
      </c>
      <c r="GO70" s="23">
        <f t="shared" si="81"/>
        <v>19.591746086299807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8.6666666666666661</v>
      </c>
      <c r="GU70" s="13">
        <f>IF('Données projet'!$A$270&gt;35,GU69+GT70-HC69,IF(A70&lt;'Données projet'!$A$270,$GR$205^A70,IF(A70='Données projet'!$A$270,'Données projet'!$B$270,GU69+GT70-HC69)))</f>
        <v>310.66666666666669</v>
      </c>
      <c r="GV70" s="18">
        <f>GU70*VLOOKUP('Données projet'!$B$18,Paramètres!$A$1:$I$89,3,0)*VLOOKUP('Données projet'!$B$18,Paramètres!$A$1:$I$89,5,0)</f>
        <v>208.39520000000002</v>
      </c>
      <c r="GW70" s="14">
        <f t="shared" si="105"/>
        <v>51.584740104647317</v>
      </c>
      <c r="GX70" s="22">
        <f t="shared" si="82"/>
        <v>452.79839568226072</v>
      </c>
      <c r="GY70" s="62">
        <f t="shared" si="83"/>
        <v>717.75246299047762</v>
      </c>
      <c r="GZ70" s="62">
        <f ca="1">AVERAGE(OFFSET($GY$3,0,0,'Données projet'!$E$18+1,1))-AVERAGE(OFFSET($H$3,0,0,'Données projet'!$E$18+1,1))</f>
        <v>273.21861937609918</v>
      </c>
      <c r="HA70" s="62">
        <f t="shared" si="106"/>
        <v>268.83004886965318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>
        <f>EXP(-LN(2)/35)*HG69+(1-EXP(-LN(2)/35))/(LN(2)/35)*HC70*HD70*VLOOKUP('Données projet'!$B$18,Paramètres!$A$1:$I$89,3,0)*0.475*44/12</f>
        <v>15.048732501070864</v>
      </c>
      <c r="HH70" s="23">
        <f>EXP(-LN(2)/25)*HH69+(1-EXP(-LN(2)/25))/(LN(2)/25)*Calculateur!HC70*Calculateur!HE70*VLOOKUP('Données projet'!$B$18,Paramètres!$A$1:$I$89,3,0)*0.475*44/12</f>
        <v>0</v>
      </c>
      <c r="HI70" s="23">
        <f>EXP(-LN(2)/2)*HI69+(1-EXP(-LN(2)/2))/(LN(2)/2)*HC70*HF70*VLOOKUP('Données projet'!$B$18,Paramètres!$A$1:$I$89,3,0)*0.475*44/12</f>
        <v>0</v>
      </c>
      <c r="HJ70" s="24">
        <f t="shared" si="84"/>
        <v>15.048732501070864</v>
      </c>
    </row>
    <row r="71" spans="1:218" s="5" customFormat="1" x14ac:dyDescent="0.4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>
        <f>VLOOKUP(A71,'Données projet'!$A$35:$I$55,2,0)</f>
        <v>166</v>
      </c>
      <c r="L71" s="13">
        <f>VLOOKUP(A71,'Données projet'!$A$35:$I$55,9,0)</f>
        <v>6.125</v>
      </c>
      <c r="M71" s="13">
        <f t="array" ref="M71">INDEX(L:L,MIN(IF(ISNUMBER(L71:L267),ROW(L71:L267),"")))</f>
        <v>6.125</v>
      </c>
      <c r="N71" s="14">
        <f>IF('Données projet'!$A$36&gt;35,N70+M71-V70,IF(A71&lt;'Données projet'!$A$36,$K$205^A71,IF(A71='Données projet'!$A$36,'Données projet'!$B$36,N70+M71-V70)))</f>
        <v>166.00000000000006</v>
      </c>
      <c r="O71" s="14">
        <f>N71*VLOOKUP('Données projet'!$B$9,Paramètres!$A$1:$I$89,3,0)*VLOOKUP('Données projet'!$B$9,Paramètres!$A$1:$I$89,5,0)</f>
        <v>150.19680000000005</v>
      </c>
      <c r="P71" s="14">
        <f t="shared" si="87"/>
        <v>38.623305713694506</v>
      </c>
      <c r="Q71" s="22">
        <f t="shared" si="54"/>
        <v>328.86168411801799</v>
      </c>
      <c r="R71" s="62">
        <f t="shared" si="55"/>
        <v>594.30806824523688</v>
      </c>
      <c r="S71" s="62">
        <f ca="1">AVERAGE(OFFSET($R$3,0,0,'Données projet'!$E$9+1,1))-AVERAGE(OFFSET($H$3,0,0,'Données projet'!$E$9+1,1))</f>
        <v>432.80275651765203</v>
      </c>
      <c r="T71" s="62">
        <f t="shared" si="88"/>
        <v>203.89279893419919</v>
      </c>
      <c r="U71" s="16">
        <f>IF(ISNA(VLOOKUP(A71,'Données projet'!$A$35:$I$55,3,0)),0,VLOOKUP(A71,'Données projet'!$A$35:$I$55,3,0))</f>
        <v>3</v>
      </c>
      <c r="V71" s="16">
        <f>IF(ISNA(VLOOKUP(A71,'Données projet'!$A$35:$I$55,4,0)),0,VLOOKUP(A71,'Données projet'!$A$35:$I$55,4,0))</f>
        <v>31</v>
      </c>
      <c r="W71" s="17">
        <f>IF(ISNA(VLOOKUP(A71,'Données projet'!$A$35:$I$55,5,0)),0%,VLOOKUP(A71,'Données projet'!$A$35:$I$55,5,0)*VLOOKUP('Données projet'!$B$9,Paramètres!$A$1:$I$89,7,0))</f>
        <v>0.215</v>
      </c>
      <c r="X71" s="17">
        <f>IF(ISNA(VLOOKUP(A71,'Données projet'!$A$35:$I$55,6,0)),0%,VLOOKUP(A71,'Données projet'!$A$35:$I$55,6,0)*VLOOKUP('Données projet'!$B$9,Paramètres!$A$1:$I$89,7,0))</f>
        <v>0.17200000000000001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6.6665302800104191</v>
      </c>
      <c r="AA71" s="23">
        <f>EXP(-LN(2)/25)*AA70+(1-EXP(-LN(2)/25))/(LN(2)/25)*Calculateur!V71*Calculateur!X71*VLOOKUP('Données projet'!$B$9,Paramètres!$A$1:$I$89,3,0)*0.475*44/12</f>
        <v>5.3122252881206702</v>
      </c>
      <c r="AB71" s="23">
        <f>EXP(-LN(2)/2)*AB70+(1-EXP(-LN(2)/2))/(LN(2)/2)*V71*Y71*VLOOKUP('Données projet'!$B$9,Paramètres!$A$1:$I$89,3,0)*0.475*44/12</f>
        <v>0</v>
      </c>
      <c r="AC71" s="24">
        <f t="shared" si="57"/>
        <v>11.978755568131088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54.000000000000341</v>
      </c>
      <c r="AJ71" s="14">
        <f>AI71*VLOOKUP('Données projet'!$B$10,Paramètres!$A$1:$I$89,3,0)*VLOOKUP('Données projet'!$B$10,Paramètres!$A$1:$I$89,5,0)</f>
        <v>23.868000000000151</v>
      </c>
      <c r="AK71" s="14">
        <f t="shared" si="89"/>
        <v>7.6030930962115804</v>
      </c>
      <c r="AL71" s="22">
        <f t="shared" si="58"/>
        <v>54.812153809235433</v>
      </c>
      <c r="AM71" s="62">
        <f t="shared" si="59"/>
        <v>320.25853793645427</v>
      </c>
      <c r="AN71" s="62">
        <f ca="1">AVERAGE(OFFSET($AM$3,0,0,'Données projet'!$E$10+1,1))-AVERAGE(OFFSET($H$3,0,0,'Données projet'!$E$10+1,1))</f>
        <v>413.08876898406481</v>
      </c>
      <c r="AO71" s="62">
        <f t="shared" si="90"/>
        <v>520.31320932826566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234.49703892130321</v>
      </c>
      <c r="AV71" s="23">
        <f>EXP(-LN(2)/25)*AV70+(1-EXP(-LN(2)/25))/(LN(2)/25)*Calculateur!AQ71*Calculateur!AS71*VLOOKUP('Données projet'!$B$10,Paramètres!$A$1:$I$89,3,0)*0.475*44/12</f>
        <v>16.164119320306948</v>
      </c>
      <c r="AW71" s="23">
        <f>EXP(-LN(2)/2)*AW70+(1-EXP(-LN(2)/2))/(LN(2)/2)*AQ71*AT71*VLOOKUP('Données projet'!$B$10,Paramètres!$A$1:$I$89,3,0)*0.475*44/12</f>
        <v>1.390776691979119E-3</v>
      </c>
      <c r="AX71" s="23">
        <f t="shared" si="60"/>
        <v>250.66254901830214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0</v>
      </c>
      <c r="BD71" s="13">
        <f>IF('Données projet'!$A$88&gt;35,BD70+BC71-BL70,IF(A71&lt;'Données projet'!$A$88,$BA$205^A71,IF(A71='Données projet'!$A$88,'Données projet'!$B$88,BD70+BC71-BL70)))</f>
        <v>54.000000000000341</v>
      </c>
      <c r="BE71" s="14">
        <f>BD71*VLOOKUP('Données projet'!$B$11,Paramètres!$A$1:$I$89,3,0)*VLOOKUP('Données projet'!$B$11,Paramètres!$A$1:$I$89,5,0)</f>
        <v>30.186000000000188</v>
      </c>
      <c r="BF71" s="14">
        <f t="shared" si="91"/>
        <v>9.3563888882899153</v>
      </c>
      <c r="BG71" s="22">
        <f t="shared" si="61"/>
        <v>68.869660647105263</v>
      </c>
      <c r="BH71" s="62">
        <f t="shared" si="62"/>
        <v>334.3160447743241</v>
      </c>
      <c r="BI71" s="62">
        <f ca="1">AVERAGE(OFFSET($BH$3,0,0,'Données projet'!$E$11+1,1))-AVERAGE(OFFSET($H$3,0,0,'Données projet'!$E$11+1,1))</f>
        <v>507.66185230065889</v>
      </c>
      <c r="BJ71" s="62">
        <f t="shared" si="92"/>
        <v>640.14375617778342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296.56978451811875</v>
      </c>
      <c r="BQ71" s="23">
        <f>EXP(-LN(2)/25)*BQ70+(1-EXP(-LN(2)/25))/(LN(2)/25)*Calculateur!BL71*Calculateur!BN71*VLOOKUP('Données projet'!$B$11,Paramètres!$A$1:$I$89,3,0)*0.475*44/12</f>
        <v>20.442856787447035</v>
      </c>
      <c r="BR71" s="23">
        <f>EXP(-LN(2)/2)*BR70+(1-EXP(-LN(2)/2))/(LN(2)/2)*BL71*BO71*VLOOKUP('Données projet'!$B$11,Paramètres!$A$1:$I$89,3,0)*0.475*44/12</f>
        <v>1.7589234633853576E-3</v>
      </c>
      <c r="BS71" s="24">
        <f t="shared" si="63"/>
        <v>317.01440022902921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11.157975389000001</v>
      </c>
      <c r="BY71" s="13">
        <f>IF('Données projet'!$A$114&gt;35,BY70+BX71-CG70,IF(A71&lt;'Données projet'!$A$114,$BV$205^A71,IF(A71='Données projet'!$A$114,'Données projet'!$B$114,BY70+BX71-CG70)))</f>
        <v>324.50814472199994</v>
      </c>
      <c r="BZ71" s="14">
        <f>BY71*VLOOKUP('Données projet'!$B$12,Paramètres!$A$1:$I$89,3,0)*VLOOKUP('Données projet'!$B$12,Paramètres!$A$1:$I$89,5,0)</f>
        <v>151.86981172989596</v>
      </c>
      <c r="CA71" s="14">
        <f t="shared" si="93"/>
        <v>39.003200191753564</v>
      </c>
      <c r="CB71" s="22">
        <f t="shared" si="64"/>
        <v>332.43716243020623</v>
      </c>
      <c r="CC71" s="62">
        <f t="shared" si="65"/>
        <v>597.88354655742501</v>
      </c>
      <c r="CD71" s="62">
        <f ca="1">AVERAGE(OFFSET($CC$3,0,0,'Données projet'!$E$12+1,1))-AVERAGE(OFFSET($H$3,0,0,'Données projet'!$E$12+1,1))</f>
        <v>289.21044803824958</v>
      </c>
      <c r="CE71" s="62">
        <f t="shared" si="94"/>
        <v>196.11836398299445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>
        <f>EXP(-LN(2)/35)*CK70+(1-EXP(-LN(2)/35))/(LN(2)/35)*CG71*CH71*VLOOKUP('Données projet'!$B$12,Paramètres!$A$1:$I$89,3,0)*0.475*44/12</f>
        <v>8.5695741667443404</v>
      </c>
      <c r="CL71" s="23">
        <f>EXP(-LN(2)/25)*CL70+(1-EXP(-LN(2)/25))/(LN(2)/25)*Calculateur!CG71*Calculateur!CI71*VLOOKUP('Données projet'!$B$12,Paramètres!$A$1:$I$89,3,0)*0.475*44/12</f>
        <v>17.377778757356829</v>
      </c>
      <c r="CM71" s="23">
        <f>EXP(-LN(2)/2)*CM70+(1-EXP(-LN(2)/2))/(LN(2)/2)*CG71*CJ71*VLOOKUP('Données projet'!$B$12,Paramètres!$A$1:$I$89,3,0)*0.475*44/12</f>
        <v>0</v>
      </c>
      <c r="CN71" s="24">
        <f t="shared" si="66"/>
        <v>25.947352924101168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-5.6843418860808015E-14</v>
      </c>
      <c r="CU71" s="18">
        <f>CT71*VLOOKUP('Données projet'!$B$13,Paramètres!$A$1:$I$89,3,0)*VLOOKUP('Données projet'!$B$13,Paramètres!$A$1:$I$89,5,0)</f>
        <v>-5.1431925385259088E-14</v>
      </c>
      <c r="CV71" s="14" t="e">
        <f t="shared" si="95"/>
        <v>#NUM!</v>
      </c>
      <c r="CW71" s="22" t="e">
        <f t="shared" si="67"/>
        <v>#NUM!</v>
      </c>
      <c r="CX71" s="62" t="e">
        <f t="shared" si="68"/>
        <v>#NUM!</v>
      </c>
      <c r="CY71" s="62">
        <f ca="1">AVERAGE(OFFSET($CX$3,0,0,'Données projet'!$E$13+1,1))-AVERAGE(OFFSET($H$3,0,0,'Données projet'!$E$13+1,1))</f>
        <v>376.68007030857598</v>
      </c>
      <c r="CZ71" s="62">
        <f t="shared" si="96"/>
        <v>532.90758914457626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>
        <f>EXP(-LN(2)/35)*DF70+(1-EXP(-LN(2)/35))/(LN(2)/35)*DB71*DC71*VLOOKUP('Données projet'!$B$13,Paramètres!$A$1:$I$89,3,0)*0.475*44/12</f>
        <v>59.36846765601782</v>
      </c>
      <c r="DG71" s="23">
        <f>EXP(-LN(2)/25)*DG70+(1-EXP(-LN(2)/25))/(LN(2)/25)*Calculateur!DB71*Calculateur!DD71*VLOOKUP('Données projet'!$B$13,Paramètres!$A$1:$I$89,3,0)*0.475*44/12</f>
        <v>4.5678732900221446</v>
      </c>
      <c r="DH71" s="23">
        <f>EXP(-LN(2)/2)*DH70+(1-EXP(-LN(2)/2))/(LN(2)/2)*DB71*DE71*VLOOKUP('Données projet'!$B$13,Paramètres!$A$1:$I$89,3,0)*0.475*44/12</f>
        <v>0</v>
      </c>
      <c r="DI71" s="24">
        <f t="shared" si="69"/>
        <v>63.936340946039962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8.6666666666666661</v>
      </c>
      <c r="DO71" s="13">
        <f>IF('Données projet'!$A$166&gt;35,DO70+DN71-DW70,IF(A71&lt;'Données projet'!$A$166,$DL$205^A71,IF(A71='Données projet'!$A$166,'Données projet'!$B$166,DO70+DN71-DW70)))</f>
        <v>319.33333333333337</v>
      </c>
      <c r="DP71" s="18">
        <f>DO71*VLOOKUP('Données projet'!$B$14,Paramètres!$A$1:$I$89,3,0)*VLOOKUP('Données projet'!$B$14,Paramètres!$A$1:$I$89,5,0)</f>
        <v>303.87760000000003</v>
      </c>
      <c r="DQ71" s="14">
        <f t="shared" si="97"/>
        <v>71.988748794277186</v>
      </c>
      <c r="DR71" s="22">
        <f t="shared" si="70"/>
        <v>654.63389081669948</v>
      </c>
      <c r="DS71" s="62">
        <f t="shared" si="71"/>
        <v>920.08027494391831</v>
      </c>
      <c r="DT71" s="62">
        <f ca="1">AVERAGE(OFFSET($DS$3,0,0,'Données projet'!$E$14+1,1))-AVERAGE(OFFSET($H$3,0,0,'Données projet'!$E$14+1,1))</f>
        <v>364.63161066507769</v>
      </c>
      <c r="DU71" s="62">
        <f t="shared" si="98"/>
        <v>355.44729904860708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>
        <f>EXP(-LN(2)/35)*EA70+(1-EXP(-LN(2)/35))/(LN(2)/35)*DW71*DX71*VLOOKUP('Données projet'!$B$14,Paramètres!$A$1:$I$89,3,0)*0.475*44/12</f>
        <v>16.980599965438998</v>
      </c>
      <c r="EB71" s="23">
        <f>EXP(-LN(2)/25)*EB70+(1-EXP(-LN(2)/25))/(LN(2)/25)*Calculateur!DW71*Calculateur!DY71*VLOOKUP('Données projet'!$B$14,Paramètres!$A$1:$I$89,3,0)*0.475*44/12</f>
        <v>0</v>
      </c>
      <c r="EC71" s="23">
        <f>EXP(-LN(2)/2)*EC70+(1-EXP(-LN(2)/2))/(LN(2)/2)*DW71*DZ71*VLOOKUP('Données projet'!$B$14,Paramètres!$A$1:$I$89,3,0)*0.475*44/12</f>
        <v>0</v>
      </c>
      <c r="ED71" s="24">
        <f t="shared" si="72"/>
        <v>16.980599965438998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8.6666666666666661</v>
      </c>
      <c r="EJ71" s="13">
        <f>IF('Données projet'!$A$192&gt;35,EJ70+EI71-ER70,IF(A71&lt;'Données projet'!$A$192,$EG$205^A71,IF(A71='Données projet'!$A$192,'Données projet'!$B$192,EJ70+EI71-ER70)))</f>
        <v>319.33333333333337</v>
      </c>
      <c r="EK71" s="18">
        <f>EJ71*VLOOKUP('Données projet'!$B$15,Paramètres!$A$1:$I$89,3,0)*VLOOKUP('Données projet'!$B$15,Paramètres!$A$1:$I$89,5,0)</f>
        <v>234.13520000000003</v>
      </c>
      <c r="EL71" s="14">
        <f t="shared" si="99"/>
        <v>57.175879051662896</v>
      </c>
      <c r="EM71" s="22">
        <f t="shared" si="73"/>
        <v>507.36679601497957</v>
      </c>
      <c r="EN71" s="62">
        <f t="shared" si="74"/>
        <v>772.81318014219846</v>
      </c>
      <c r="EO71" s="62">
        <f ca="1">AVERAGE(OFFSET($EN$3,0,0,'Données projet'!$E$15+1,1))-AVERAGE(OFFSET($H$3,0,0,'Données projet'!$E$15+1,1))</f>
        <v>293.59366973965774</v>
      </c>
      <c r="EP71" s="62">
        <f t="shared" si="100"/>
        <v>288.13804536120426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>
        <f>EXP(-LN(2)/35)*EV70+(1-EXP(-LN(2)/35))/(LN(2)/35)*ER71*ES71*VLOOKUP('Données projet'!$B$15,Paramètres!$A$1:$I$89,3,0)*0.475*44/12</f>
        <v>13.083413088125129</v>
      </c>
      <c r="EW71" s="23">
        <f>EXP(-LN(2)/25)*EW70+(1-EXP(-LN(2)/25))/(LN(2)/25)*Calculateur!ER71*Calculateur!ET71*VLOOKUP('Données projet'!$B$15,Paramètres!$A$1:$I$89,3,0)*0.475*44/12</f>
        <v>0</v>
      </c>
      <c r="EX71" s="23">
        <f>EXP(-LN(2)/2)*EX70+(1-EXP(-LN(2)/2))/(LN(2)/2)*ER71*EU71*VLOOKUP('Données projet'!$B$15,Paramètres!$A$1:$I$89,3,0)*0.475*44/12</f>
        <v>0</v>
      </c>
      <c r="EY71" s="24">
        <f t="shared" si="75"/>
        <v>13.083413088125129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8.6666666666666661</v>
      </c>
      <c r="FE71" s="13">
        <f>IF('Données projet'!$A$218&gt;35,FE70+FD71-FM70,IF(A71&lt;'Données projet'!$A$218,$FB$205^A71,IF(A71='Données projet'!$A$218,'Données projet'!$B$218,FE70+FD71-FM70)))</f>
        <v>319.33333333333337</v>
      </c>
      <c r="FF71" s="18">
        <f>FE71*VLOOKUP('Données projet'!$B$16,Paramètres!$A$1:$I$89,3,0)*VLOOKUP('Données projet'!$B$16,Paramètres!$A$1:$I$89,5,0)</f>
        <v>308.85920000000004</v>
      </c>
      <c r="FG71" s="14">
        <f t="shared" si="101"/>
        <v>73.03053463043382</v>
      </c>
      <c r="FH71" s="22">
        <f t="shared" si="76"/>
        <v>665.12462114800553</v>
      </c>
      <c r="FI71" s="62">
        <f t="shared" si="77"/>
        <v>930.57100527522437</v>
      </c>
      <c r="FJ71" s="62">
        <f ca="1">AVERAGE(OFFSET($FI$3,0,0,'Données projet'!$E$16+1,1))-AVERAGE(OFFSET($H$3,0,0,'Données projet'!$E$16+1,1))</f>
        <v>369.69145521630799</v>
      </c>
      <c r="FK71" s="62">
        <f t="shared" si="102"/>
        <v>360.24112103688719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>
        <f>EXP(-LN(2)/35)*FQ70+(1-EXP(-LN(2)/35))/(LN(2)/35)*FM71*FN71*VLOOKUP('Données projet'!$B$16,Paramètres!$A$1:$I$89,3,0)*0.475*44/12</f>
        <v>17.258970456675701</v>
      </c>
      <c r="FR71" s="23">
        <f>EXP(-LN(2)/25)*FR70+(1-EXP(-LN(2)/25))/(LN(2)/25)*Calculateur!FM71*Calculateur!FO71*VLOOKUP('Données projet'!$B$16,Paramètres!$A$1:$I$89,3,0)*0.475*44/12</f>
        <v>0</v>
      </c>
      <c r="FS71" s="23">
        <f>EXP(-LN(2)/2)*FS70+(1-EXP(-LN(2)/2))/(LN(2)/2)*FM71*FP71*VLOOKUP('Données projet'!$B$16,Paramètres!$A$1:$I$89,3,0)*0.475*44/12</f>
        <v>0</v>
      </c>
      <c r="FT71" s="24">
        <f t="shared" si="78"/>
        <v>17.258970456675701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8.6666666666666661</v>
      </c>
      <c r="FZ71" s="13">
        <f>IF('Données projet'!$A$244&gt;35,FZ70+FY71-GH70,IF(A71&lt;'Données projet'!$A$244,$FW$205^A71,IF(A71='Données projet'!$A$244,'Données projet'!$B$244,FZ70+FY71-GH70)))</f>
        <v>319.33333333333337</v>
      </c>
      <c r="GA71" s="18">
        <f>FZ71*VLOOKUP('Données projet'!$B$17,Paramètres!$A$1:$I$89,3,0)*VLOOKUP('Données projet'!$B$17,Paramètres!$A$1:$I$89,5,0)</f>
        <v>343.73040000000003</v>
      </c>
      <c r="GB71" s="14">
        <f t="shared" si="103"/>
        <v>80.270180526959379</v>
      </c>
      <c r="GC71" s="22">
        <f t="shared" si="79"/>
        <v>738.46767775112096</v>
      </c>
      <c r="GD71" s="62">
        <f t="shared" si="80"/>
        <v>1003.9140618783398</v>
      </c>
      <c r="GE71" s="62">
        <f ca="1">AVERAGE(OFFSET($GD$3,0,0,'Données projet'!$E$17+1,1))-AVERAGE(OFFSET($H$3,0,0,'Données projet'!$E$17+1,1))</f>
        <v>405.06394904053946</v>
      </c>
      <c r="GF71" s="62">
        <f t="shared" si="104"/>
        <v>393.75247087518198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>
        <f>EXP(-LN(2)/35)*GL70+(1-EXP(-LN(2)/35))/(LN(2)/35)*GH71*GI71*VLOOKUP('Données projet'!$B$17,Paramètres!$A$1:$I$89,3,0)*0.475*44/12</f>
        <v>19.207563895332637</v>
      </c>
      <c r="GM71" s="23">
        <f>EXP(-LN(2)/25)*GM70+(1-EXP(-LN(2)/25))/(LN(2)/25)*Calculateur!GH71*Calculateur!GJ71*VLOOKUP('Données projet'!$B$17,Paramètres!$A$1:$I$89,3,0)*0.475*44/12</f>
        <v>0</v>
      </c>
      <c r="GN71" s="23">
        <f>EXP(-LN(2)/2)*GN70+(1-EXP(-LN(2)/2))/(LN(2)/2)*GH71*GK71*VLOOKUP('Données projet'!$B$17,Paramètres!$A$1:$I$89,3,0)*0.475*44/12</f>
        <v>0</v>
      </c>
      <c r="GO71" s="23">
        <f t="shared" si="81"/>
        <v>19.207563895332637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8.6666666666666661</v>
      </c>
      <c r="GU71" s="13">
        <f>IF('Données projet'!$A$270&gt;35,GU70+GT71-HC70,IF(A71&lt;'Données projet'!$A$270,$GR$205^A71,IF(A71='Données projet'!$A$270,'Données projet'!$B$270,GU70+GT71-HC70)))</f>
        <v>319.33333333333337</v>
      </c>
      <c r="GV71" s="18">
        <f>GU71*VLOOKUP('Données projet'!$B$18,Paramètres!$A$1:$I$89,3,0)*VLOOKUP('Données projet'!$B$18,Paramètres!$A$1:$I$89,5,0)</f>
        <v>214.20880000000005</v>
      </c>
      <c r="GW71" s="14">
        <f t="shared" si="105"/>
        <v>52.854249500357014</v>
      </c>
      <c r="GX71" s="22">
        <f t="shared" si="82"/>
        <v>465.13481121312185</v>
      </c>
      <c r="GY71" s="62">
        <f t="shared" si="83"/>
        <v>730.58119534034063</v>
      </c>
      <c r="GZ71" s="62">
        <f ca="1">AVERAGE(OFFSET($GY$3,0,0,'Données projet'!$E$18+1,1))-AVERAGE(OFFSET($H$3,0,0,'Données projet'!$E$18+1,1))</f>
        <v>273.21861937609918</v>
      </c>
      <c r="HA71" s="62">
        <f t="shared" si="106"/>
        <v>268.83004886965318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>
        <f>EXP(-LN(2)/35)*HG70+(1-EXP(-LN(2)/35))/(LN(2)/35)*HC71*HD71*VLOOKUP('Données projet'!$B$18,Paramètres!$A$1:$I$89,3,0)*0.475*44/12</f>
        <v>14.753636035545357</v>
      </c>
      <c r="HH71" s="23">
        <f>EXP(-LN(2)/25)*HH70+(1-EXP(-LN(2)/25))/(LN(2)/25)*Calculateur!HC71*Calculateur!HE71*VLOOKUP('Données projet'!$B$18,Paramètres!$A$1:$I$89,3,0)*0.475*44/12</f>
        <v>0</v>
      </c>
      <c r="HI71" s="23">
        <f>EXP(-LN(2)/2)*HI70+(1-EXP(-LN(2)/2))/(LN(2)/2)*HC71*HF71*VLOOKUP('Données projet'!$B$18,Paramètres!$A$1:$I$89,3,0)*0.475*44/12</f>
        <v>0</v>
      </c>
      <c r="HJ71" s="24">
        <f t="shared" si="84"/>
        <v>14.753636035545357</v>
      </c>
    </row>
    <row r="72" spans="1:218" s="5" customFormat="1" x14ac:dyDescent="0.4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5.9</v>
      </c>
      <c r="N72" s="14">
        <f>IF('Données projet'!$A$36&gt;35,N71+M72-V71,IF(A72&lt;'Données projet'!$A$36,$K$205^A72,IF(A72='Données projet'!$A$36,'Données projet'!$B$36,N71+M72-V71)))</f>
        <v>140.90000000000006</v>
      </c>
      <c r="O72" s="14">
        <f>N72*VLOOKUP('Données projet'!$B$9,Paramètres!$A$1:$I$89,3,0)*VLOOKUP('Données projet'!$B$9,Paramètres!$A$1:$I$89,5,0)</f>
        <v>127.48632000000006</v>
      </c>
      <c r="P72" s="14">
        <f t="shared" si="87"/>
        <v>33.414863287066048</v>
      </c>
      <c r="Q72" s="22">
        <f t="shared" si="54"/>
        <v>280.23622755830678</v>
      </c>
      <c r="R72" s="62">
        <f t="shared" si="55"/>
        <v>546.16638790837328</v>
      </c>
      <c r="S72" s="62">
        <f ca="1">AVERAGE(OFFSET($R$3,0,0,'Données projet'!$E$9+1,1))-AVERAGE(OFFSET($H$3,0,0,'Données projet'!$E$9+1,1))</f>
        <v>432.80275651765203</v>
      </c>
      <c r="T72" s="62">
        <f t="shared" si="88"/>
        <v>203.89279893419919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6.5358036874013834</v>
      </c>
      <c r="AA72" s="23">
        <f>EXP(-LN(2)/25)*AA71+(1-EXP(-LN(2)/25))/(LN(2)/25)*Calculateur!V72*Calculateur!X72*VLOOKUP('Données projet'!$B$9,Paramètres!$A$1:$I$89,3,0)*0.475*44/12</f>
        <v>5.1669622082592239</v>
      </c>
      <c r="AB72" s="23">
        <f>EXP(-LN(2)/2)*AB71+(1-EXP(-LN(2)/2))/(LN(2)/2)*V72*Y72*VLOOKUP('Données projet'!$B$9,Paramètres!$A$1:$I$89,3,0)*0.475*44/12</f>
        <v>0</v>
      </c>
      <c r="AC72" s="24">
        <f t="shared" si="57"/>
        <v>11.702765895660608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54.000000000000341</v>
      </c>
      <c r="AJ72" s="14">
        <f>AI72*VLOOKUP('Données projet'!$B$10,Paramètres!$A$1:$I$89,3,0)*VLOOKUP('Données projet'!$B$10,Paramètres!$A$1:$I$89,5,0)</f>
        <v>23.868000000000151</v>
      </c>
      <c r="AK72" s="14">
        <f t="shared" si="89"/>
        <v>7.6030930962115804</v>
      </c>
      <c r="AL72" s="22">
        <f t="shared" si="58"/>
        <v>54.812153809235433</v>
      </c>
      <c r="AM72" s="62">
        <f t="shared" si="59"/>
        <v>320.742314159302</v>
      </c>
      <c r="AN72" s="62">
        <f ca="1">AVERAGE(OFFSET($AM$3,0,0,'Données projet'!$E$10+1,1))-AVERAGE(OFFSET($H$3,0,0,'Données projet'!$E$10+1,1))</f>
        <v>413.08876898406481</v>
      </c>
      <c r="AO72" s="62">
        <f t="shared" si="90"/>
        <v>520.31320932826566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229.89869501712727</v>
      </c>
      <c r="AV72" s="23">
        <f>EXP(-LN(2)/25)*AV71+(1-EXP(-LN(2)/25))/(LN(2)/25)*Calculateur!AQ72*Calculateur!AS72*VLOOKUP('Données projet'!$B$10,Paramètres!$A$1:$I$89,3,0)*0.475*44/12</f>
        <v>15.722110627459063</v>
      </c>
      <c r="AW72" s="23">
        <f>EXP(-LN(2)/2)*AW71+(1-EXP(-LN(2)/2))/(LN(2)/2)*AQ72*AT72*VLOOKUP('Données projet'!$B$10,Paramètres!$A$1:$I$89,3,0)*0.475*44/12</f>
        <v>9.8342763001462927E-4</v>
      </c>
      <c r="AX72" s="23">
        <f t="shared" si="60"/>
        <v>245.62178907221636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0</v>
      </c>
      <c r="BD72" s="13">
        <f>IF('Données projet'!$A$88&gt;35,BD71+BC72-BL71,IF(A72&lt;'Données projet'!$A$88,$BA$205^A72,IF(A72='Données projet'!$A$88,'Données projet'!$B$88,BD71+BC72-BL71)))</f>
        <v>54.000000000000341</v>
      </c>
      <c r="BE72" s="14">
        <f>BD72*VLOOKUP('Données projet'!$B$11,Paramètres!$A$1:$I$89,3,0)*VLOOKUP('Données projet'!$B$11,Paramètres!$A$1:$I$89,5,0)</f>
        <v>30.186000000000188</v>
      </c>
      <c r="BF72" s="14">
        <f t="shared" si="91"/>
        <v>9.3563888882899153</v>
      </c>
      <c r="BG72" s="22">
        <f t="shared" si="61"/>
        <v>68.869660647105263</v>
      </c>
      <c r="BH72" s="62">
        <f t="shared" si="62"/>
        <v>334.79982099717182</v>
      </c>
      <c r="BI72" s="62">
        <f ca="1">AVERAGE(OFFSET($BH$3,0,0,'Données projet'!$E$11+1,1))-AVERAGE(OFFSET($H$3,0,0,'Données projet'!$E$11+1,1))</f>
        <v>507.66185230065889</v>
      </c>
      <c r="BJ72" s="62">
        <f t="shared" si="92"/>
        <v>640.14375617778342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290.75423193342561</v>
      </c>
      <c r="BQ72" s="23">
        <f>EXP(-LN(2)/25)*BQ71+(1-EXP(-LN(2)/25))/(LN(2)/25)*Calculateur!BL72*Calculateur!BN72*VLOOKUP('Données projet'!$B$11,Paramètres!$A$1:$I$89,3,0)*0.475*44/12</f>
        <v>19.883845793551181</v>
      </c>
      <c r="BR72" s="23">
        <f>EXP(-LN(2)/2)*BR71+(1-EXP(-LN(2)/2))/(LN(2)/2)*BL72*BO72*VLOOKUP('Données projet'!$B$11,Paramètres!$A$1:$I$89,3,0)*0.475*44/12</f>
        <v>1.2437467085479144E-3</v>
      </c>
      <c r="BS72" s="24">
        <f t="shared" si="63"/>
        <v>310.63932147368536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11.157975389000001</v>
      </c>
      <c r="BY72" s="13">
        <f>IF('Données projet'!$A$114&gt;35,BY71+BX72-CG71,IF(A72&lt;'Données projet'!$A$114,$BV$205^A72,IF(A72='Données projet'!$A$114,'Données projet'!$B$114,BY71+BX72-CG71)))</f>
        <v>335.66612011099994</v>
      </c>
      <c r="BZ72" s="14">
        <f>BY72*VLOOKUP('Données projet'!$B$12,Paramètres!$A$1:$I$89,3,0)*VLOOKUP('Données projet'!$B$12,Paramètres!$A$1:$I$89,5,0)</f>
        <v>157.09174421194797</v>
      </c>
      <c r="CA72" s="14">
        <f t="shared" si="93"/>
        <v>40.185851525103175</v>
      </c>
      <c r="CB72" s="22">
        <f t="shared" si="64"/>
        <v>343.59181257536403</v>
      </c>
      <c r="CC72" s="62">
        <f t="shared" si="65"/>
        <v>609.52197292543065</v>
      </c>
      <c r="CD72" s="62">
        <f ca="1">AVERAGE(OFFSET($CC$3,0,0,'Données projet'!$E$12+1,1))-AVERAGE(OFFSET($H$3,0,0,'Données projet'!$E$12+1,1))</f>
        <v>289.21044803824958</v>
      </c>
      <c r="CE72" s="62">
        <f t="shared" si="94"/>
        <v>196.11836398299445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>
        <f>EXP(-LN(2)/35)*CK71+(1-EXP(-LN(2)/35))/(LN(2)/35)*CG72*CH72*VLOOKUP('Données projet'!$B$12,Paramètres!$A$1:$I$89,3,0)*0.475*44/12</f>
        <v>8.4015300442586103</v>
      </c>
      <c r="CL72" s="23">
        <f>EXP(-LN(2)/25)*CL71+(1-EXP(-LN(2)/25))/(LN(2)/25)*Calculateur!CG72*Calculateur!CI72*VLOOKUP('Données projet'!$B$12,Paramètres!$A$1:$I$89,3,0)*0.475*44/12</f>
        <v>16.902582483379238</v>
      </c>
      <c r="CM72" s="23">
        <f>EXP(-LN(2)/2)*CM71+(1-EXP(-LN(2)/2))/(LN(2)/2)*CG72*CJ72*VLOOKUP('Données projet'!$B$12,Paramètres!$A$1:$I$89,3,0)*0.475*44/12</f>
        <v>0</v>
      </c>
      <c r="CN72" s="24">
        <f t="shared" si="66"/>
        <v>25.304112527637848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-5.6843418860808015E-14</v>
      </c>
      <c r="CU72" s="18">
        <f>CT72*VLOOKUP('Données projet'!$B$13,Paramètres!$A$1:$I$89,3,0)*VLOOKUP('Données projet'!$B$13,Paramètres!$A$1:$I$89,5,0)</f>
        <v>-5.1431925385259088E-14</v>
      </c>
      <c r="CV72" s="14" t="e">
        <f t="shared" si="95"/>
        <v>#NUM!</v>
      </c>
      <c r="CW72" s="22" t="e">
        <f t="shared" si="67"/>
        <v>#NUM!</v>
      </c>
      <c r="CX72" s="62" t="e">
        <f t="shared" si="68"/>
        <v>#NUM!</v>
      </c>
      <c r="CY72" s="62">
        <f ca="1">AVERAGE(OFFSET($CX$3,0,0,'Données projet'!$E$13+1,1))-AVERAGE(OFFSET($H$3,0,0,'Données projet'!$E$13+1,1))</f>
        <v>376.68007030857598</v>
      </c>
      <c r="CZ72" s="62">
        <f t="shared" si="96"/>
        <v>532.90758914457626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>
        <f>EXP(-LN(2)/35)*DF71+(1-EXP(-LN(2)/35))/(LN(2)/35)*DB72*DC72*VLOOKUP('Données projet'!$B$13,Paramètres!$A$1:$I$89,3,0)*0.475*44/12</f>
        <v>58.204288216473024</v>
      </c>
      <c r="DG72" s="23">
        <f>EXP(-LN(2)/25)*DG71+(1-EXP(-LN(2)/25))/(LN(2)/25)*Calculateur!DB72*Calculateur!DD72*VLOOKUP('Données projet'!$B$13,Paramètres!$A$1:$I$89,3,0)*0.475*44/12</f>
        <v>4.4429645546924723</v>
      </c>
      <c r="DH72" s="23">
        <f>EXP(-LN(2)/2)*DH71+(1-EXP(-LN(2)/2))/(LN(2)/2)*DB72*DE72*VLOOKUP('Données projet'!$B$13,Paramètres!$A$1:$I$89,3,0)*0.475*44/12</f>
        <v>0</v>
      </c>
      <c r="DI72" s="24">
        <f t="shared" si="69"/>
        <v>62.647252771165498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>
        <f>VLOOKUP(A72,'Données projet'!$A$165:$I$185,2,0)</f>
        <v>328</v>
      </c>
      <c r="DM72" s="13">
        <f>VLOOKUP(A72,'Données projet'!$A$165:$I$185,9,0)</f>
        <v>8.6666666666666661</v>
      </c>
      <c r="DN72" s="13">
        <f t="array" ref="DN72">INDEX(DM:DM,MIN(IF(ISNUMBER(DM72:DM268),ROW(DM72:DM268),"")))</f>
        <v>8.6666666666666661</v>
      </c>
      <c r="DO72" s="13">
        <f>IF('Données projet'!$A$166&gt;35,DO71+DN72-DW71,IF(A72&lt;'Données projet'!$A$166,$DL$205^A72,IF(A72='Données projet'!$A$166,'Données projet'!$B$166,DO71+DN72-DW71)))</f>
        <v>328.00000000000006</v>
      </c>
      <c r="DP72" s="18">
        <f>DO72*VLOOKUP('Données projet'!$B$14,Paramètres!$A$1:$I$89,3,0)*VLOOKUP('Données projet'!$B$14,Paramètres!$A$1:$I$89,5,0)</f>
        <v>312.12480000000005</v>
      </c>
      <c r="DQ72" s="14">
        <f t="shared" si="97"/>
        <v>73.712396415779821</v>
      </c>
      <c r="DR72" s="22">
        <f t="shared" si="70"/>
        <v>671.99978375748333</v>
      </c>
      <c r="DS72" s="62">
        <f t="shared" si="71"/>
        <v>937.92994410754989</v>
      </c>
      <c r="DT72" s="62">
        <f ca="1">AVERAGE(OFFSET($DS$3,0,0,'Données projet'!$E$14+1,1))-AVERAGE(OFFSET($H$3,0,0,'Données projet'!$E$14+1,1))</f>
        <v>364.63161066507769</v>
      </c>
      <c r="DU72" s="62">
        <f t="shared" si="98"/>
        <v>355.44729904860708</v>
      </c>
      <c r="DV72" s="16" t="str">
        <f>IF(ISNA(VLOOKUP(A72,'Données projet'!$A$165:$I$185,3,0)),0,VLOOKUP(A72,'Données projet'!$A$165:$I$185,3,0))</f>
        <v>CR</v>
      </c>
      <c r="DW72" s="16">
        <f>IF(ISNA(VLOOKUP(A72,'Données projet'!$A$165:$I$185,4,0)),0,VLOOKUP(A72,'Données projet'!$A$165:$I$185,4,0))</f>
        <v>328</v>
      </c>
      <c r="DX72" s="17">
        <f>IF(ISNA(VLOOKUP(A72,'Données projet'!$A$165:$I$185,5,0)),0%,VLOOKUP(A72,'Données projet'!$A$165:$I$185,5,0)*VLOOKUP('Données projet'!$B$14,Paramètres!$A$1:$I$89,7,0))</f>
        <v>0.43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>
        <f>EXP(-LN(2)/35)*EA71+(1-EXP(-LN(2)/35))/(LN(2)/35)*DW72*DX72*VLOOKUP('Données projet'!$B$14,Paramètres!$A$1:$I$89,3,0)*0.475*44/12</f>
        <v>165.0168508378479</v>
      </c>
      <c r="EB72" s="23">
        <f>EXP(-LN(2)/25)*EB71+(1-EXP(-LN(2)/25))/(LN(2)/25)*Calculateur!DW72*Calculateur!DY72*VLOOKUP('Données projet'!$B$14,Paramètres!$A$1:$I$89,3,0)*0.475*44/12</f>
        <v>0</v>
      </c>
      <c r="EC72" s="23">
        <f>EXP(-LN(2)/2)*EC71+(1-EXP(-LN(2)/2))/(LN(2)/2)*DW72*DZ72*VLOOKUP('Données projet'!$B$14,Paramètres!$A$1:$I$89,3,0)*0.475*44/12</f>
        <v>0</v>
      </c>
      <c r="ED72" s="24">
        <f t="shared" si="72"/>
        <v>165.0168508378479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>
        <f>VLOOKUP(A72,'Données projet'!$A$191:$I$211,2,0)</f>
        <v>328</v>
      </c>
      <c r="EH72" s="13">
        <f>VLOOKUP(A72,'Données projet'!$A$191:$I$211,9,0)</f>
        <v>8.6666666666666661</v>
      </c>
      <c r="EI72" s="13">
        <f t="array" ref="EI72">INDEX(EH:EH,MIN(IF(ISNUMBER(EH72:EH268),ROW(EH72:EH268),"")))</f>
        <v>8.6666666666666661</v>
      </c>
      <c r="EJ72" s="13">
        <f>IF('Données projet'!$A$192&gt;35,EJ71+EI72-ER71,IF(A72&lt;'Données projet'!$A$192,$EG$205^A72,IF(A72='Données projet'!$A$192,'Données projet'!$B$192,EJ71+EI72-ER71)))</f>
        <v>328.00000000000006</v>
      </c>
      <c r="EK72" s="18">
        <f>EJ72*VLOOKUP('Données projet'!$B$15,Paramètres!$A$1:$I$89,3,0)*VLOOKUP('Données projet'!$B$15,Paramètres!$A$1:$I$89,5,0)</f>
        <v>240.48960000000005</v>
      </c>
      <c r="EL72" s="14">
        <f t="shared" si="99"/>
        <v>58.544857809945633</v>
      </c>
      <c r="EM72" s="22">
        <f t="shared" si="73"/>
        <v>520.81834735232212</v>
      </c>
      <c r="EN72" s="62">
        <f t="shared" si="74"/>
        <v>786.74850770238868</v>
      </c>
      <c r="EO72" s="62">
        <f ca="1">AVERAGE(OFFSET($EN$3,0,0,'Données projet'!$E$15+1,1))-AVERAGE(OFFSET($H$3,0,0,'Données projet'!$E$15+1,1))</f>
        <v>293.59366973965774</v>
      </c>
      <c r="EP72" s="62">
        <f t="shared" si="100"/>
        <v>288.13804536120426</v>
      </c>
      <c r="EQ72" s="16" t="str">
        <f>IF(ISNA(VLOOKUP(A72,'Données projet'!$A$191:$I$211,3,0)),0,VLOOKUP(A72,'Données projet'!$A$191:$I$211,3,0))</f>
        <v>CR</v>
      </c>
      <c r="ER72" s="16">
        <f>IF(ISNA(VLOOKUP(A72,'Données projet'!$A$191:$I$211,4,0)),0,VLOOKUP(A72,'Données projet'!$A$191:$I$211,4,0))</f>
        <v>328</v>
      </c>
      <c r="ES72" s="17">
        <f>IF(ISNA(VLOOKUP(A72,'Données projet'!$A$191:$I$211,5,0)),0%,VLOOKUP(A72,'Données projet'!$A$191:$I$211,5,0)*VLOOKUP('Données projet'!$B$15,Paramètres!$A$1:$I$89,7,0))</f>
        <v>0.43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>
        <f>EXP(-LN(2)/35)*EV71+(1-EXP(-LN(2)/35))/(LN(2)/35)*ER72*ES72*VLOOKUP('Données projet'!$B$15,Paramètres!$A$1:$I$89,3,0)*0.475*44/12</f>
        <v>127.14413097342377</v>
      </c>
      <c r="EW72" s="23">
        <f>EXP(-LN(2)/25)*EW71+(1-EXP(-LN(2)/25))/(LN(2)/25)*Calculateur!ER72*Calculateur!ET72*VLOOKUP('Données projet'!$B$15,Paramètres!$A$1:$I$89,3,0)*0.475*44/12</f>
        <v>0</v>
      </c>
      <c r="EX72" s="23">
        <f>EXP(-LN(2)/2)*EX71+(1-EXP(-LN(2)/2))/(LN(2)/2)*ER72*EU72*VLOOKUP('Données projet'!$B$15,Paramètres!$A$1:$I$89,3,0)*0.475*44/12</f>
        <v>0</v>
      </c>
      <c r="EY72" s="24">
        <f t="shared" si="75"/>
        <v>127.14413097342377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>
        <f>VLOOKUP(A72,'Données projet'!$A$217:$I$237,2,0)</f>
        <v>328</v>
      </c>
      <c r="FC72" s="13">
        <f>VLOOKUP(A72,'Données projet'!$A$217:$I$237,9,0)</f>
        <v>8.6666666666666661</v>
      </c>
      <c r="FD72" s="13">
        <f t="array" ref="FD72">INDEX(FC:FC,MIN(IF(ISNUMBER(FC72:FC268),ROW(FC72:FC268),"")))</f>
        <v>8.6666666666666661</v>
      </c>
      <c r="FE72" s="13">
        <f>IF('Données projet'!$A$218&gt;35,FE71+FD72-FM71,IF(A72&lt;'Données projet'!$A$218,$FB$205^A72,IF(A72='Données projet'!$A$218,'Données projet'!$B$218,FE71+FD72-FM71)))</f>
        <v>328.00000000000006</v>
      </c>
      <c r="FF72" s="18">
        <f>FE72*VLOOKUP('Données projet'!$B$16,Paramètres!$A$1:$I$89,3,0)*VLOOKUP('Données projet'!$B$16,Paramètres!$A$1:$I$89,5,0)</f>
        <v>317.24160000000006</v>
      </c>
      <c r="FG72" s="14">
        <f t="shared" si="101"/>
        <v>74.779126034245252</v>
      </c>
      <c r="FH72" s="22">
        <f t="shared" si="76"/>
        <v>682.7694311763106</v>
      </c>
      <c r="FI72" s="62">
        <f t="shared" si="77"/>
        <v>948.69959152637716</v>
      </c>
      <c r="FJ72" s="62">
        <f ca="1">AVERAGE(OFFSET($FI$3,0,0,'Données projet'!$E$16+1,1))-AVERAGE(OFFSET($H$3,0,0,'Données projet'!$E$16+1,1))</f>
        <v>369.69145521630799</v>
      </c>
      <c r="FK72" s="62">
        <f t="shared" si="102"/>
        <v>360.24112103688719</v>
      </c>
      <c r="FL72" s="16" t="str">
        <f>IF(ISNA(VLOOKUP(A72,'Données projet'!$A$217:$I$237,3,0)),0,VLOOKUP(A72,'Données projet'!$A$217:$I$237,3,0))</f>
        <v>CR</v>
      </c>
      <c r="FM72" s="16">
        <f>IF(ISNA(VLOOKUP(A72,'Données projet'!$A$217:$I$237,4,0)),0,VLOOKUP(A72,'Données projet'!$A$217:$I$237,4,0))</f>
        <v>328</v>
      </c>
      <c r="FN72" s="17">
        <f>IF(ISNA(VLOOKUP(A72,'Données projet'!$A$217:$I$237,5,0)),0%,VLOOKUP(A72,'Données projet'!$A$217:$I$237,5,0)*VLOOKUP('Données projet'!$B$16,Paramètres!$A$1:$I$89,7,0))</f>
        <v>0.43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>
        <f>EXP(-LN(2)/35)*FQ71+(1-EXP(-LN(2)/35))/(LN(2)/35)*FM72*FN72*VLOOKUP('Données projet'!$B$16,Paramètres!$A$1:$I$89,3,0)*0.475*44/12</f>
        <v>167.72204511387818</v>
      </c>
      <c r="FR72" s="23">
        <f>EXP(-LN(2)/25)*FR71+(1-EXP(-LN(2)/25))/(LN(2)/25)*Calculateur!FM72*Calculateur!FO72*VLOOKUP('Données projet'!$B$16,Paramètres!$A$1:$I$89,3,0)*0.475*44/12</f>
        <v>0</v>
      </c>
      <c r="FS72" s="23">
        <f>EXP(-LN(2)/2)*FS71+(1-EXP(-LN(2)/2))/(LN(2)/2)*FM72*FP72*VLOOKUP('Données projet'!$B$16,Paramètres!$A$1:$I$89,3,0)*0.475*44/12</f>
        <v>0</v>
      </c>
      <c r="FT72" s="24">
        <f t="shared" si="78"/>
        <v>167.72204511387818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>
        <f>VLOOKUP(A72,'Données projet'!$A$243:$I$263,2,0)</f>
        <v>328</v>
      </c>
      <c r="FX72" s="13">
        <f>VLOOKUP(A72,'Données projet'!$A$243:$I$263,9,0)</f>
        <v>8.6666666666666661</v>
      </c>
      <c r="FY72" s="13">
        <f t="array" ref="FY72">INDEX(FX:FX,MIN(IF(ISNUMBER(FX72:FX268),ROW(FX72:FX268),"")))</f>
        <v>8.6666666666666661</v>
      </c>
      <c r="FZ72" s="13">
        <f>IF('Données projet'!$A$244&gt;35,FZ71+FY72-GH71,IF(A72&lt;'Données projet'!$A$244,$FW$205^A72,IF(A72='Données projet'!$A$244,'Données projet'!$B$244,FZ71+FY72-GH71)))</f>
        <v>328.00000000000006</v>
      </c>
      <c r="GA72" s="18">
        <f>FZ72*VLOOKUP('Données projet'!$B$17,Paramètres!$A$1:$I$89,3,0)*VLOOKUP('Données projet'!$B$17,Paramètres!$A$1:$I$89,5,0)</f>
        <v>353.05920000000003</v>
      </c>
      <c r="GB72" s="14">
        <f t="shared" si="103"/>
        <v>82.192112885281944</v>
      </c>
      <c r="GC72" s="22">
        <f t="shared" si="79"/>
        <v>758.06270327519951</v>
      </c>
      <c r="GD72" s="62">
        <f t="shared" si="80"/>
        <v>1023.9928636252661</v>
      </c>
      <c r="GE72" s="62">
        <f ca="1">AVERAGE(OFFSET($GD$3,0,0,'Données projet'!$E$17+1,1))-AVERAGE(OFFSET($H$3,0,0,'Données projet'!$E$17+1,1))</f>
        <v>405.06394904053946</v>
      </c>
      <c r="GF72" s="62">
        <f t="shared" si="104"/>
        <v>393.75247087518198</v>
      </c>
      <c r="GG72" s="16" t="str">
        <f>IF(ISNA(VLOOKUP(A72,'Données projet'!$A$243:$I$263,3,0)),0,VLOOKUP(A72,'Données projet'!$A$243:$I$263,3,0))</f>
        <v>CR</v>
      </c>
      <c r="GH72" s="16">
        <f>IF(ISNA(VLOOKUP(A72,'Données projet'!$A$243:$I$263,4,0)),0,VLOOKUP(A72,'Données projet'!$A$243:$I$263,4,0))</f>
        <v>328</v>
      </c>
      <c r="GI72" s="17">
        <f>IF(ISNA(VLOOKUP(A72,'Données projet'!$A$243:$I$263,5,0)),0%,VLOOKUP(A72,'Données projet'!$A$243:$I$263,5,0)*VLOOKUP('Données projet'!$B$17,Paramètres!$A$1:$I$89,7,0))</f>
        <v>0.43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>
        <f>EXP(-LN(2)/35)*GL71+(1-EXP(-LN(2)/35))/(LN(2)/35)*GH72*GI72*VLOOKUP('Données projet'!$B$17,Paramètres!$A$1:$I$89,3,0)*0.475*44/12</f>
        <v>186.65840504609019</v>
      </c>
      <c r="GM72" s="23">
        <f>EXP(-LN(2)/25)*GM71+(1-EXP(-LN(2)/25))/(LN(2)/25)*Calculateur!GH72*Calculateur!GJ72*VLOOKUP('Données projet'!$B$17,Paramètres!$A$1:$I$89,3,0)*0.475*44/12</f>
        <v>0</v>
      </c>
      <c r="GN72" s="23">
        <f>EXP(-LN(2)/2)*GN71+(1-EXP(-LN(2)/2))/(LN(2)/2)*GH72*GK72*VLOOKUP('Données projet'!$B$17,Paramètres!$A$1:$I$89,3,0)*0.475*44/12</f>
        <v>0</v>
      </c>
      <c r="GO72" s="23">
        <f t="shared" si="81"/>
        <v>186.65840504609019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>
        <f>VLOOKUP(A72,'Données projet'!$A$269:$I$289,2,0)</f>
        <v>328</v>
      </c>
      <c r="GS72" s="13">
        <f>VLOOKUP(A72,'Données projet'!$A$269:$I$289,9,0)</f>
        <v>8.6666666666666661</v>
      </c>
      <c r="GT72" s="13">
        <f t="array" ref="GT72">INDEX(GS:GS,MIN(IF(ISNUMBER(GS72:GS268),ROW(GS72:GS268),"")))</f>
        <v>8.6666666666666661</v>
      </c>
      <c r="GU72" s="13">
        <f>IF('Données projet'!$A$270&gt;35,GU71+GT72-HC71,IF(A72&lt;'Données projet'!$A$270,$GR$205^A72,IF(A72='Données projet'!$A$270,'Données projet'!$B$270,GU71+GT72-HC71)))</f>
        <v>328.00000000000006</v>
      </c>
      <c r="GV72" s="18">
        <f>GU72*VLOOKUP('Données projet'!$B$18,Paramètres!$A$1:$I$89,3,0)*VLOOKUP('Données projet'!$B$18,Paramètres!$A$1:$I$89,5,0)</f>
        <v>220.02240000000003</v>
      </c>
      <c r="GW72" s="14">
        <f t="shared" si="105"/>
        <v>54.11975422107303</v>
      </c>
      <c r="GX72" s="22">
        <f t="shared" si="82"/>
        <v>477.46425193503552</v>
      </c>
      <c r="GY72" s="62">
        <f t="shared" si="83"/>
        <v>743.39441228510213</v>
      </c>
      <c r="GZ72" s="62">
        <f ca="1">AVERAGE(OFFSET($GY$3,0,0,'Données projet'!$E$18+1,1))-AVERAGE(OFFSET($H$3,0,0,'Données projet'!$E$18+1,1))</f>
        <v>273.21861937609918</v>
      </c>
      <c r="HA72" s="62">
        <f t="shared" si="106"/>
        <v>268.83004886965318</v>
      </c>
      <c r="HB72" s="16" t="str">
        <f>IF(ISNA(VLOOKUP(A72,'Données projet'!$A$269:$I$289,3,0)),0,VLOOKUP(A72,'Données projet'!$A$269:$I$289,3,0))</f>
        <v>CR</v>
      </c>
      <c r="HC72" s="16">
        <f>IF(ISNA(VLOOKUP(A72,'Données projet'!$A$269:$I$289,4,0)),0,VLOOKUP(A72,'Données projet'!$A$269:$I$289,4,0))</f>
        <v>328</v>
      </c>
      <c r="HD72" s="17">
        <f>IF(ISNA(VLOOKUP(A72,'Données projet'!$A$269:$I$289,5,0)),0%,VLOOKUP(A72,'Données projet'!$A$269:$I$289,5,0)*VLOOKUP('Données projet'!$B$18,Paramètres!$A$1:$I$89,7,0))</f>
        <v>0.53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>
        <f>EXP(-LN(2)/35)*HG71+(1-EXP(-LN(2)/35))/(LN(2)/35)*HC72*HD72*VLOOKUP('Données projet'!$B$18,Paramètres!$A$1:$I$89,3,0)*0.475*44/12</f>
        <v>143.37529662960557</v>
      </c>
      <c r="HH72" s="23">
        <f>EXP(-LN(2)/25)*HH71+(1-EXP(-LN(2)/25))/(LN(2)/25)*Calculateur!HC72*Calculateur!HE72*VLOOKUP('Données projet'!$B$18,Paramètres!$A$1:$I$89,3,0)*0.475*44/12</f>
        <v>0</v>
      </c>
      <c r="HI72" s="23">
        <f>EXP(-LN(2)/2)*HI71+(1-EXP(-LN(2)/2))/(LN(2)/2)*HC72*HF72*VLOOKUP('Données projet'!$B$18,Paramètres!$A$1:$I$89,3,0)*0.475*44/12</f>
        <v>0</v>
      </c>
      <c r="HJ72" s="24">
        <f t="shared" si="84"/>
        <v>143.37529662960557</v>
      </c>
    </row>
    <row r="73" spans="1:218" s="5" customFormat="1" x14ac:dyDescent="0.4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5.9</v>
      </c>
      <c r="N73" s="14">
        <f>IF('Données projet'!$A$36&gt;35,N72+M73-V72,IF(A73&lt;'Données projet'!$A$36,$K$205^A73,IF(A73='Données projet'!$A$36,'Données projet'!$B$36,N72+M73-V72)))</f>
        <v>146.80000000000007</v>
      </c>
      <c r="O73" s="14">
        <f>N73*VLOOKUP('Données projet'!$B$9,Paramètres!$A$1:$I$89,3,0)*VLOOKUP('Données projet'!$B$9,Paramètres!$A$1:$I$89,5,0)</f>
        <v>132.82464000000004</v>
      </c>
      <c r="P73" s="14">
        <f t="shared" si="87"/>
        <v>34.648231927248233</v>
      </c>
      <c r="Q73" s="22">
        <f t="shared" si="54"/>
        <v>291.68191860662404</v>
      </c>
      <c r="R73" s="62">
        <f t="shared" si="55"/>
        <v>558.08746274363352</v>
      </c>
      <c r="S73" s="62">
        <f ca="1">AVERAGE(OFFSET($R$3,0,0,'Données projet'!$E$9+1,1))-AVERAGE(OFFSET($H$3,0,0,'Données projet'!$E$9+1,1))</f>
        <v>432.80275651765203</v>
      </c>
      <c r="T73" s="62">
        <f t="shared" si="88"/>
        <v>203.89279893419919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6.4076405635380631</v>
      </c>
      <c r="AA73" s="23">
        <f>EXP(-LN(2)/25)*AA72+(1-EXP(-LN(2)/25))/(LN(2)/25)*Calculateur!V73*Calculateur!X73*VLOOKUP('Données projet'!$B$9,Paramètres!$A$1:$I$89,3,0)*0.475*44/12</f>
        <v>5.0256713549556418</v>
      </c>
      <c r="AB73" s="23">
        <f>EXP(-LN(2)/2)*AB72+(1-EXP(-LN(2)/2))/(LN(2)/2)*V73*Y73*VLOOKUP('Données projet'!$B$9,Paramètres!$A$1:$I$89,3,0)*0.475*44/12</f>
        <v>0</v>
      </c>
      <c r="AC73" s="24">
        <f t="shared" si="57"/>
        <v>11.433311918493704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54.000000000000341</v>
      </c>
      <c r="AJ73" s="14">
        <f>AI73*VLOOKUP('Données projet'!$B$10,Paramètres!$A$1:$I$89,3,0)*VLOOKUP('Données projet'!$B$10,Paramètres!$A$1:$I$89,5,0)</f>
        <v>23.868000000000151</v>
      </c>
      <c r="AK73" s="14">
        <f t="shared" si="89"/>
        <v>7.6030930962115804</v>
      </c>
      <c r="AL73" s="22">
        <f t="shared" si="58"/>
        <v>54.812153809235433</v>
      </c>
      <c r="AM73" s="62">
        <f t="shared" si="59"/>
        <v>321.21769794624493</v>
      </c>
      <c r="AN73" s="62">
        <f ca="1">AVERAGE(OFFSET($AM$3,0,0,'Données projet'!$E$10+1,1))-AVERAGE(OFFSET($H$3,0,0,'Données projet'!$E$10+1,1))</f>
        <v>413.08876898406481</v>
      </c>
      <c r="AO73" s="62">
        <f t="shared" si="90"/>
        <v>520.31320932826566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225.39052183219937</v>
      </c>
      <c r="AV73" s="23">
        <f>EXP(-LN(2)/25)*AV72+(1-EXP(-LN(2)/25))/(LN(2)/25)*Calculateur!AQ73*Calculateur!AS73*VLOOKUP('Données projet'!$B$10,Paramètres!$A$1:$I$89,3,0)*0.475*44/12</f>
        <v>15.29218868556133</v>
      </c>
      <c r="AW73" s="23">
        <f>EXP(-LN(2)/2)*AW72+(1-EXP(-LN(2)/2))/(LN(2)/2)*AQ73*AT73*VLOOKUP('Données projet'!$B$10,Paramètres!$A$1:$I$89,3,0)*0.475*44/12</f>
        <v>6.953883459895595E-4</v>
      </c>
      <c r="AX73" s="23">
        <f t="shared" si="60"/>
        <v>240.68340590610671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 t="e">
        <f>VLOOKUP(A73,'Données projet'!$A$87:$I$107,2,0)</f>
        <v>#N/A</v>
      </c>
      <c r="BB73" s="13" t="e">
        <f>VLOOKUP(A73,'Données projet'!$A$87:$I$107,9,0)</f>
        <v>#N/A</v>
      </c>
      <c r="BC73" s="13">
        <f t="array" ref="BC73">INDEX(BB:BB,MIN(IF(ISNUMBER(BB73:BB269),ROW(BB73:BB269),"")))</f>
        <v>0</v>
      </c>
      <c r="BD73" s="13">
        <f>IF('Données projet'!$A$88&gt;35,BD72+BC73-BL72,IF(A73&lt;'Données projet'!$A$88,$BA$205^A73,IF(A73='Données projet'!$A$88,'Données projet'!$B$88,BD72+BC73-BL72)))</f>
        <v>54.000000000000341</v>
      </c>
      <c r="BE73" s="14">
        <f>BD73*VLOOKUP('Données projet'!$B$11,Paramètres!$A$1:$I$89,3,0)*VLOOKUP('Données projet'!$B$11,Paramètres!$A$1:$I$89,5,0)</f>
        <v>30.186000000000188</v>
      </c>
      <c r="BF73" s="14">
        <f t="shared" si="91"/>
        <v>9.3563888882899153</v>
      </c>
      <c r="BG73" s="22">
        <f t="shared" si="61"/>
        <v>68.869660647105263</v>
      </c>
      <c r="BH73" s="62">
        <f t="shared" si="62"/>
        <v>335.27520478411475</v>
      </c>
      <c r="BI73" s="62">
        <f ca="1">AVERAGE(OFFSET($BH$3,0,0,'Données projet'!$E$11+1,1))-AVERAGE(OFFSET($H$3,0,0,'Données projet'!$E$11+1,1))</f>
        <v>507.66185230065889</v>
      </c>
      <c r="BJ73" s="62">
        <f t="shared" si="92"/>
        <v>640.14375617778342</v>
      </c>
      <c r="BK73" s="16">
        <f>IF(ISNA(VLOOKUP(A73,'Données projet'!$A$87:$I$107,3,0)),0,VLOOKUP(A73,'Données projet'!$A$87:$I$107,3,0))</f>
        <v>0</v>
      </c>
      <c r="BL73" s="16">
        <f>IF(ISNA(VLOOKUP(A73,'Données projet'!$A$87:$I$107,4,0)),0,VLOOKUP(A73,'Données projet'!$A$87:$I$107,4,0))</f>
        <v>0</v>
      </c>
      <c r="BM73" s="17">
        <f>IF(ISNA(VLOOKUP(A73,'Données projet'!$A$87:$I$107,5,0)),0%,VLOOKUP(A73,'Données projet'!$A$87:$I$107,5,0)*VLOOKUP('Données projet'!$B$11,Paramètres!$A$1:$I$89,7,0))</f>
        <v>0</v>
      </c>
      <c r="BN73" s="17">
        <f>IF(ISNA(VLOOKUP(A73,'Données projet'!$A$87:$I$107,6,0)),0%,VLOOKUP(A73,'Données projet'!$A$87:$I$107,6,0)*VLOOKUP('Données projet'!$B$11,Paramètres!$A$1:$I$89,7,0))</f>
        <v>0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285.05271878778149</v>
      </c>
      <c r="BQ73" s="23">
        <f>EXP(-LN(2)/25)*BQ72+(1-EXP(-LN(2)/25))/(LN(2)/25)*Calculateur!BL73*Calculateur!BN73*VLOOKUP('Données projet'!$B$11,Paramètres!$A$1:$I$89,3,0)*0.475*44/12</f>
        <v>19.340120984680517</v>
      </c>
      <c r="BR73" s="23">
        <f>EXP(-LN(2)/2)*BR72+(1-EXP(-LN(2)/2))/(LN(2)/2)*BL73*BO73*VLOOKUP('Données projet'!$B$11,Paramètres!$A$1:$I$89,3,0)*0.475*44/12</f>
        <v>8.7946173169267878E-4</v>
      </c>
      <c r="BS73" s="24">
        <f t="shared" si="63"/>
        <v>304.39371923419372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>
        <f>VLOOKUP(A73,'Données projet'!$A$113:$I$133,2,0)</f>
        <v>346.8240955</v>
      </c>
      <c r="BW73" s="13">
        <f>VLOOKUP(A73,'Données projet'!$A$113:$I$133,9,0)</f>
        <v>11.157975389000001</v>
      </c>
      <c r="BX73" s="13">
        <f t="array" ref="BX73">INDEX(BW:BW,MIN(IF(ISNUMBER(BW73:BW269),ROW(BW73:BW269),"")))</f>
        <v>11.157975389000001</v>
      </c>
      <c r="BY73" s="13">
        <f>IF('Données projet'!$A$114&gt;35,BY72+BX73-CG72,IF(A73&lt;'Données projet'!$A$114,$BV$205^A73,IF(A73='Données projet'!$A$114,'Données projet'!$B$114,BY72+BX73-CG72)))</f>
        <v>346.82409549999994</v>
      </c>
      <c r="BZ73" s="14">
        <f>BY73*VLOOKUP('Données projet'!$B$12,Paramètres!$A$1:$I$89,3,0)*VLOOKUP('Données projet'!$B$12,Paramètres!$A$1:$I$89,5,0)</f>
        <v>162.31367669399998</v>
      </c>
      <c r="CA73" s="14">
        <f t="shared" si="93"/>
        <v>41.36393479459759</v>
      </c>
      <c r="CB73" s="22">
        <f t="shared" si="64"/>
        <v>354.73850667597412</v>
      </c>
      <c r="CC73" s="62">
        <f t="shared" si="65"/>
        <v>621.14405081298355</v>
      </c>
      <c r="CD73" s="62">
        <f ca="1">AVERAGE(OFFSET($CC$3,0,0,'Données projet'!$E$12+1,1))-AVERAGE(OFFSET($H$3,0,0,'Données projet'!$E$12+1,1))</f>
        <v>289.21044803824958</v>
      </c>
      <c r="CE73" s="62">
        <f t="shared" si="94"/>
        <v>196.11836398299445</v>
      </c>
      <c r="CF73" s="16">
        <f>IF(ISNA(VLOOKUP(A73,'Données projet'!$A$113:$I$133,3,0)),0,VLOOKUP(A73,'Données projet'!$A$113:$I$133,3,0))</f>
        <v>6</v>
      </c>
      <c r="CG73" s="16">
        <f>IF(ISNA(VLOOKUP(A73,'Données projet'!$A$113:$I$133,4,0)),0,VLOOKUP(A73,'Données projet'!$A$113:$I$133,4,0))</f>
        <v>69.364819100000005</v>
      </c>
      <c r="CH73" s="17">
        <f>IF(ISNA(VLOOKUP(A73,'Données projet'!$A$113:$I$133,5,0)),0%,VLOOKUP(A73,'Données projet'!$A$113:$I$133,5,0)*VLOOKUP('Données projet'!$B$12,Paramètres!$A$1:$I$89,7,0))</f>
        <v>0.27500000000000002</v>
      </c>
      <c r="CI73" s="17">
        <f>IF(ISNA(VLOOKUP(A73,'Données projet'!$A$113:$I$133,6,0)),0%,VLOOKUP(A73,'Données projet'!$A$113:$I$133,6,0)*VLOOKUP('Données projet'!$B$12,Paramètres!$A$1:$I$89,7,0))</f>
        <v>0.27500000000000002</v>
      </c>
      <c r="CJ73" s="17">
        <f>IF(ISNA(VLOOKUP(A73,'Données projet'!$A$113:$I$133,7,0)),0%,VLOOKUP(A73,'Données projet'!$A$113:$I$133,7,0))</f>
        <v>0</v>
      </c>
      <c r="CK73" s="23">
        <f>EXP(-LN(2)/35)*CK72+(1-EXP(-LN(2)/35))/(LN(2)/35)*CG73*CH73*VLOOKUP('Données projet'!$B$12,Paramètres!$A$1:$I$89,3,0)*0.475*44/12</f>
        <v>20.079356641886143</v>
      </c>
      <c r="CL73" s="23">
        <f>EXP(-LN(2)/25)*CL72+(1-EXP(-LN(2)/25))/(LN(2)/25)*Calculateur!CG73*Calculateur!CI73*VLOOKUP('Données projet'!$B$12,Paramètres!$A$1:$I$89,3,0)*0.475*44/12</f>
        <v>28.236327221841748</v>
      </c>
      <c r="CM73" s="23">
        <f>EXP(-LN(2)/2)*CM72+(1-EXP(-LN(2)/2))/(LN(2)/2)*CG73*CJ73*VLOOKUP('Données projet'!$B$12,Paramètres!$A$1:$I$89,3,0)*0.475*44/12</f>
        <v>0</v>
      </c>
      <c r="CN73" s="24">
        <f t="shared" si="66"/>
        <v>48.315683863727891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-5.6843418860808015E-14</v>
      </c>
      <c r="CU73" s="18">
        <f>CT73*VLOOKUP('Données projet'!$B$13,Paramètres!$A$1:$I$89,3,0)*VLOOKUP('Données projet'!$B$13,Paramètres!$A$1:$I$89,5,0)</f>
        <v>-5.1431925385259088E-14</v>
      </c>
      <c r="CV73" s="14" t="e">
        <f t="shared" si="95"/>
        <v>#NUM!</v>
      </c>
      <c r="CW73" s="22" t="e">
        <f t="shared" si="67"/>
        <v>#NUM!</v>
      </c>
      <c r="CX73" s="62" t="e">
        <f t="shared" si="68"/>
        <v>#NUM!</v>
      </c>
      <c r="CY73" s="62">
        <f ca="1">AVERAGE(OFFSET($CX$3,0,0,'Données projet'!$E$13+1,1))-AVERAGE(OFFSET($H$3,0,0,'Données projet'!$E$13+1,1))</f>
        <v>376.68007030857598</v>
      </c>
      <c r="CZ73" s="62">
        <f t="shared" si="96"/>
        <v>532.90758914457626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>
        <f>EXP(-LN(2)/35)*DF72+(1-EXP(-LN(2)/35))/(LN(2)/35)*DB73*DC73*VLOOKUP('Données projet'!$B$13,Paramètres!$A$1:$I$89,3,0)*0.475*44/12</f>
        <v>57.062937625658357</v>
      </c>
      <c r="DG73" s="23">
        <f>EXP(-LN(2)/25)*DG72+(1-EXP(-LN(2)/25))/(LN(2)/25)*Calculateur!DB73*Calculateur!DD73*VLOOKUP('Données projet'!$B$13,Paramètres!$A$1:$I$89,3,0)*0.475*44/12</f>
        <v>4.3214714552990552</v>
      </c>
      <c r="DH73" s="23">
        <f>EXP(-LN(2)/2)*DH72+(1-EXP(-LN(2)/2))/(LN(2)/2)*DB73*DE73*VLOOKUP('Données projet'!$B$13,Paramètres!$A$1:$I$89,3,0)*0.475*44/12</f>
        <v>0</v>
      </c>
      <c r="DI73" s="24">
        <f t="shared" si="69"/>
        <v>61.384409080957411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5.6843418860808015E-14</v>
      </c>
      <c r="DP73" s="18">
        <f>DO73*VLOOKUP('Données projet'!$B$14,Paramètres!$A$1:$I$89,3,0)*VLOOKUP('Données projet'!$B$14,Paramètres!$A$1:$I$89,5,0)</f>
        <v>5.4092197387944907E-14</v>
      </c>
      <c r="DQ73" s="14">
        <f t="shared" si="97"/>
        <v>8.7287050538073676E-13</v>
      </c>
      <c r="DR73" s="22">
        <f t="shared" si="70"/>
        <v>1.6144600406554537E-12</v>
      </c>
      <c r="DS73" s="62">
        <f t="shared" si="71"/>
        <v>266.40554413701108</v>
      </c>
      <c r="DT73" s="62">
        <f ca="1">AVERAGE(OFFSET($DS$3,0,0,'Données projet'!$E$14+1,1))-AVERAGE(OFFSET($H$3,0,0,'Données projet'!$E$14+1,1))</f>
        <v>364.63161066507769</v>
      </c>
      <c r="DU73" s="62">
        <f t="shared" si="98"/>
        <v>355.44729904860708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>
        <f>EXP(-LN(2)/35)*EA72+(1-EXP(-LN(2)/35))/(LN(2)/35)*DW73*DX73*VLOOKUP('Données projet'!$B$14,Paramètres!$A$1:$I$89,3,0)*0.475*44/12</f>
        <v>161.78097104325832</v>
      </c>
      <c r="EB73" s="23">
        <f>EXP(-LN(2)/25)*EB72+(1-EXP(-LN(2)/25))/(LN(2)/25)*Calculateur!DW73*Calculateur!DY73*VLOOKUP('Données projet'!$B$14,Paramètres!$A$1:$I$89,3,0)*0.475*44/12</f>
        <v>0</v>
      </c>
      <c r="EC73" s="23">
        <f>EXP(-LN(2)/2)*EC72+(1-EXP(-LN(2)/2))/(LN(2)/2)*DW73*DZ73*VLOOKUP('Données projet'!$B$14,Paramètres!$A$1:$I$89,3,0)*0.475*44/12</f>
        <v>0</v>
      </c>
      <c r="ED73" s="24">
        <f t="shared" si="72"/>
        <v>161.78097104325832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5.6843418860808015E-14</v>
      </c>
      <c r="EK73" s="18">
        <f>EJ73*VLOOKUP('Données projet'!$B$15,Paramètres!$A$1:$I$89,3,0)*VLOOKUP('Données projet'!$B$15,Paramètres!$A$1:$I$89,5,0)</f>
        <v>4.1677594708744434E-14</v>
      </c>
      <c r="EL73" s="14">
        <f t="shared" si="99"/>
        <v>6.9326303456159188E-13</v>
      </c>
      <c r="EM73" s="22">
        <f t="shared" si="73"/>
        <v>1.2800215959791691E-12</v>
      </c>
      <c r="EN73" s="62">
        <f t="shared" si="74"/>
        <v>266.40554413701079</v>
      </c>
      <c r="EO73" s="62">
        <f ca="1">AVERAGE(OFFSET($EN$3,0,0,'Données projet'!$E$15+1,1))-AVERAGE(OFFSET($H$3,0,0,'Données projet'!$E$15+1,1))</f>
        <v>293.59366973965774</v>
      </c>
      <c r="EP73" s="62">
        <f t="shared" si="100"/>
        <v>288.13804536120426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>
        <f>EXP(-LN(2)/35)*EV72+(1-EXP(-LN(2)/35))/(LN(2)/35)*ER73*ES73*VLOOKUP('Données projet'!$B$15,Paramètres!$A$1:$I$89,3,0)*0.475*44/12</f>
        <v>124.65091211529737</v>
      </c>
      <c r="EW73" s="23">
        <f>EXP(-LN(2)/25)*EW72+(1-EXP(-LN(2)/25))/(LN(2)/25)*Calculateur!ER73*Calculateur!ET73*VLOOKUP('Données projet'!$B$15,Paramètres!$A$1:$I$89,3,0)*0.475*44/12</f>
        <v>0</v>
      </c>
      <c r="EX73" s="23">
        <f>EXP(-LN(2)/2)*EX72+(1-EXP(-LN(2)/2))/(LN(2)/2)*ER73*EU73*VLOOKUP('Données projet'!$B$15,Paramètres!$A$1:$I$89,3,0)*0.475*44/12</f>
        <v>0</v>
      </c>
      <c r="EY73" s="24">
        <f t="shared" si="75"/>
        <v>124.65091211529737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5.6843418860808015E-14</v>
      </c>
      <c r="FF73" s="18">
        <f>FE73*VLOOKUP('Données projet'!$B$16,Paramètres!$A$1:$I$89,3,0)*VLOOKUP('Données projet'!$B$16,Paramètres!$A$1:$I$89,5,0)</f>
        <v>5.4978954722173515E-14</v>
      </c>
      <c r="FG73" s="14">
        <f t="shared" si="101"/>
        <v>8.8550225887742724E-13</v>
      </c>
      <c r="FH73" s="22">
        <f t="shared" si="76"/>
        <v>1.6380047803526383E-12</v>
      </c>
      <c r="FI73" s="62">
        <f t="shared" si="77"/>
        <v>266.40554413701113</v>
      </c>
      <c r="FJ73" s="62">
        <f ca="1">AVERAGE(OFFSET($FI$3,0,0,'Données projet'!$E$16+1,1))-AVERAGE(OFFSET($H$3,0,0,'Données projet'!$E$16+1,1))</f>
        <v>369.69145521630799</v>
      </c>
      <c r="FK73" s="62">
        <f t="shared" si="102"/>
        <v>360.24112103688719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>
        <f>EXP(-LN(2)/35)*FQ72+(1-EXP(-LN(2)/35))/(LN(2)/35)*FM73*FN73*VLOOKUP('Données projet'!$B$16,Paramètres!$A$1:$I$89,3,0)*0.475*44/12</f>
        <v>164.43311810954123</v>
      </c>
      <c r="FR73" s="23">
        <f>EXP(-LN(2)/25)*FR72+(1-EXP(-LN(2)/25))/(LN(2)/25)*Calculateur!FM73*Calculateur!FO73*VLOOKUP('Données projet'!$B$16,Paramètres!$A$1:$I$89,3,0)*0.475*44/12</f>
        <v>0</v>
      </c>
      <c r="FS73" s="23">
        <f>EXP(-LN(2)/2)*FS72+(1-EXP(-LN(2)/2))/(LN(2)/2)*FM73*FP73*VLOOKUP('Données projet'!$B$16,Paramètres!$A$1:$I$89,3,0)*0.475*44/12</f>
        <v>0</v>
      </c>
      <c r="FT73" s="24">
        <f t="shared" si="78"/>
        <v>164.43311810954123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5.6843418860808015E-14</v>
      </c>
      <c r="GA73" s="18">
        <f>FZ73*VLOOKUP('Données projet'!$B$17,Paramètres!$A$1:$I$89,3,0)*VLOOKUP('Données projet'!$B$17,Paramètres!$A$1:$I$89,5,0)</f>
        <v>6.1186256061773749E-14</v>
      </c>
      <c r="GB73" s="14">
        <f t="shared" si="103"/>
        <v>9.7328366192051127E-13</v>
      </c>
      <c r="GC73" s="22">
        <f t="shared" si="79"/>
        <v>1.8017017738191463E-12</v>
      </c>
      <c r="GD73" s="62">
        <f t="shared" si="80"/>
        <v>266.4055441370113</v>
      </c>
      <c r="GE73" s="62">
        <f ca="1">AVERAGE(OFFSET($GD$3,0,0,'Données projet'!$E$17+1,1))-AVERAGE(OFFSET($H$3,0,0,'Données projet'!$E$17+1,1))</f>
        <v>405.06394904053946</v>
      </c>
      <c r="GF73" s="62">
        <f t="shared" si="104"/>
        <v>393.75247087518198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>
        <f>EXP(-LN(2)/35)*GL72+(1-EXP(-LN(2)/35))/(LN(2)/35)*GH73*GI73*VLOOKUP('Données projet'!$B$17,Paramètres!$A$1:$I$89,3,0)*0.475*44/12</f>
        <v>182.99814757352166</v>
      </c>
      <c r="GM73" s="23">
        <f>EXP(-LN(2)/25)*GM72+(1-EXP(-LN(2)/25))/(LN(2)/25)*Calculateur!GH73*Calculateur!GJ73*VLOOKUP('Données projet'!$B$17,Paramètres!$A$1:$I$89,3,0)*0.475*44/12</f>
        <v>0</v>
      </c>
      <c r="GN73" s="23">
        <f>EXP(-LN(2)/2)*GN72+(1-EXP(-LN(2)/2))/(LN(2)/2)*GH73*GK73*VLOOKUP('Données projet'!$B$17,Paramètres!$A$1:$I$89,3,0)*0.475*44/12</f>
        <v>0</v>
      </c>
      <c r="GO73" s="23">
        <f t="shared" si="81"/>
        <v>182.99814757352166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5.6843418860808015E-14</v>
      </c>
      <c r="GV73" s="18">
        <f>GU73*VLOOKUP('Données projet'!$B$18,Paramètres!$A$1:$I$89,3,0)*VLOOKUP('Données projet'!$B$18,Paramètres!$A$1:$I$89,5,0)</f>
        <v>3.813056537183002E-14</v>
      </c>
      <c r="GW73" s="14">
        <f t="shared" si="105"/>
        <v>6.4086286045526829E-13</v>
      </c>
      <c r="GX73" s="22">
        <f t="shared" si="82"/>
        <v>1.1825802166488628E-12</v>
      </c>
      <c r="GY73" s="62">
        <f t="shared" si="83"/>
        <v>266.40554413701068</v>
      </c>
      <c r="GZ73" s="62">
        <f ca="1">AVERAGE(OFFSET($GY$3,0,0,'Données projet'!$E$18+1,1))-AVERAGE(OFFSET($H$3,0,0,'Données projet'!$E$18+1,1))</f>
        <v>273.21861937609918</v>
      </c>
      <c r="HA73" s="62">
        <f t="shared" si="106"/>
        <v>268.83004886965318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>
        <f>EXP(-LN(2)/35)*HG72+(1-EXP(-LN(2)/35))/(LN(2)/35)*HC73*HD73*VLOOKUP('Données projet'!$B$18,Paramètres!$A$1:$I$89,3,0)*0.475*44/12</f>
        <v>140.56379451299495</v>
      </c>
      <c r="HH73" s="23">
        <f>EXP(-LN(2)/25)*HH72+(1-EXP(-LN(2)/25))/(LN(2)/25)*Calculateur!HC73*Calculateur!HE73*VLOOKUP('Données projet'!$B$18,Paramètres!$A$1:$I$89,3,0)*0.475*44/12</f>
        <v>0</v>
      </c>
      <c r="HI73" s="23">
        <f>EXP(-LN(2)/2)*HI72+(1-EXP(-LN(2)/2))/(LN(2)/2)*HC73*HF73*VLOOKUP('Données projet'!$B$18,Paramètres!$A$1:$I$89,3,0)*0.475*44/12</f>
        <v>0</v>
      </c>
      <c r="HJ73" s="24">
        <f t="shared" si="84"/>
        <v>140.56379451299495</v>
      </c>
    </row>
    <row r="74" spans="1:218" s="5" customFormat="1" x14ac:dyDescent="0.4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5.9</v>
      </c>
      <c r="N74" s="14">
        <f>IF('Données projet'!$A$36&gt;35,N73+M74-V73,IF(A74&lt;'Données projet'!$A$36,$K$205^A74,IF(A74='Données projet'!$A$36,'Données projet'!$B$36,N73+M74-V73)))</f>
        <v>152.70000000000007</v>
      </c>
      <c r="O74" s="14">
        <f>N74*VLOOKUP('Données projet'!$B$9,Paramètres!$A$1:$I$89,3,0)*VLOOKUP('Données projet'!$B$9,Paramètres!$A$1:$I$89,5,0)</f>
        <v>138.16296000000006</v>
      </c>
      <c r="P74" s="14">
        <f t="shared" si="87"/>
        <v>35.87584245850627</v>
      </c>
      <c r="Q74" s="22">
        <f t="shared" si="54"/>
        <v>303.11758094856515</v>
      </c>
      <c r="R74" s="62">
        <f t="shared" si="55"/>
        <v>569.9902620266131</v>
      </c>
      <c r="S74" s="62">
        <f ca="1">AVERAGE(OFFSET($R$3,0,0,'Données projet'!$E$9+1,1))-AVERAGE(OFFSET($H$3,0,0,'Données projet'!$E$9+1,1))</f>
        <v>432.80275651765203</v>
      </c>
      <c r="T74" s="62">
        <f t="shared" si="88"/>
        <v>203.89279893419919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6.281990640361915</v>
      </c>
      <c r="AA74" s="23">
        <f>EXP(-LN(2)/25)*AA73+(1-EXP(-LN(2)/25))/(LN(2)/25)*Calculateur!V74*Calculateur!X74*VLOOKUP('Données projet'!$B$9,Paramètres!$A$1:$I$89,3,0)*0.475*44/12</f>
        <v>4.8882441074658098</v>
      </c>
      <c r="AB74" s="23">
        <f>EXP(-LN(2)/2)*AB73+(1-EXP(-LN(2)/2))/(LN(2)/2)*V74*Y74*VLOOKUP('Données projet'!$B$9,Paramètres!$A$1:$I$89,3,0)*0.475*44/12</f>
        <v>0</v>
      </c>
      <c r="AC74" s="24">
        <f t="shared" si="57"/>
        <v>11.170234747827724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54.000000000000341</v>
      </c>
      <c r="AJ74" s="14">
        <f>AI74*VLOOKUP('Données projet'!$B$10,Paramètres!$A$1:$I$89,3,0)*VLOOKUP('Données projet'!$B$10,Paramètres!$A$1:$I$89,5,0)</f>
        <v>23.868000000000151</v>
      </c>
      <c r="AK74" s="14">
        <f t="shared" si="89"/>
        <v>7.6030930962115804</v>
      </c>
      <c r="AL74" s="22">
        <f t="shared" si="58"/>
        <v>54.812153809235433</v>
      </c>
      <c r="AM74" s="62">
        <f t="shared" si="59"/>
        <v>321.68483488728339</v>
      </c>
      <c r="AN74" s="62">
        <f ca="1">AVERAGE(OFFSET($AM$3,0,0,'Données projet'!$E$10+1,1))-AVERAGE(OFFSET($H$3,0,0,'Données projet'!$E$10+1,1))</f>
        <v>413.08876898406481</v>
      </c>
      <c r="AO74" s="62">
        <f t="shared" si="90"/>
        <v>520.31320932826566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220.97075117371375</v>
      </c>
      <c r="AV74" s="23">
        <f>EXP(-LN(2)/25)*AV73+(1-EXP(-LN(2)/25))/(LN(2)/25)*Calculateur!AQ74*Calculateur!AS74*VLOOKUP('Données projet'!$B$10,Paramètres!$A$1:$I$89,3,0)*0.475*44/12</f>
        <v>14.874022981773402</v>
      </c>
      <c r="AW74" s="23">
        <f>EXP(-LN(2)/2)*AW73+(1-EXP(-LN(2)/2))/(LN(2)/2)*AQ74*AT74*VLOOKUP('Données projet'!$B$10,Paramètres!$A$1:$I$89,3,0)*0.475*44/12</f>
        <v>4.9171381500731463E-4</v>
      </c>
      <c r="AX74" s="23">
        <f t="shared" si="60"/>
        <v>235.84526586930215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0</v>
      </c>
      <c r="BD74" s="13">
        <f>IF('Données projet'!$A$88&gt;35,BD73+BC74-BL73,IF(A74&lt;'Données projet'!$A$88,$BA$205^A74,IF(A74='Données projet'!$A$88,'Données projet'!$B$88,BD73+BC74-BL73)))</f>
        <v>54.000000000000341</v>
      </c>
      <c r="BE74" s="14">
        <f>BD74*VLOOKUP('Données projet'!$B$11,Paramètres!$A$1:$I$89,3,0)*VLOOKUP('Données projet'!$B$11,Paramètres!$A$1:$I$89,5,0)</f>
        <v>30.186000000000188</v>
      </c>
      <c r="BF74" s="14">
        <f t="shared" si="91"/>
        <v>9.3563888882899153</v>
      </c>
      <c r="BG74" s="22">
        <f t="shared" si="61"/>
        <v>68.869660647105263</v>
      </c>
      <c r="BH74" s="62">
        <f t="shared" si="62"/>
        <v>335.74234172515321</v>
      </c>
      <c r="BI74" s="62">
        <f ca="1">AVERAGE(OFFSET($BH$3,0,0,'Données projet'!$E$11+1,1))-AVERAGE(OFFSET($H$3,0,0,'Données projet'!$E$11+1,1))</f>
        <v>507.66185230065889</v>
      </c>
      <c r="BJ74" s="62">
        <f t="shared" si="92"/>
        <v>640.14375617778342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279.46300883734381</v>
      </c>
      <c r="BQ74" s="23">
        <f>EXP(-LN(2)/25)*BQ73+(1-EXP(-LN(2)/25))/(LN(2)/25)*Calculateur!BL74*Calculateur!BN74*VLOOKUP('Données projet'!$B$11,Paramètres!$A$1:$I$89,3,0)*0.475*44/12</f>
        <v>18.811264359301667</v>
      </c>
      <c r="BR74" s="23">
        <f>EXP(-LN(2)/2)*BR73+(1-EXP(-LN(2)/2))/(LN(2)/2)*BL74*BO74*VLOOKUP('Données projet'!$B$11,Paramètres!$A$1:$I$89,3,0)*0.475*44/12</f>
        <v>6.2187335427395718E-4</v>
      </c>
      <c r="BS74" s="24">
        <f t="shared" si="63"/>
        <v>298.27489506999973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12.473670769999995</v>
      </c>
      <c r="BY74" s="13">
        <f>IF('Données projet'!$A$114&gt;35,BY73+BX74-CG73,IF(A74&lt;'Données projet'!$A$114,$BV$205^A74,IF(A74='Données projet'!$A$114,'Données projet'!$B$114,BY73+BX74-CG73)))</f>
        <v>289.93294716999992</v>
      </c>
      <c r="BZ74" s="14">
        <f>BY74*VLOOKUP('Données projet'!$B$12,Paramètres!$A$1:$I$89,3,0)*VLOOKUP('Données projet'!$B$12,Paramètres!$A$1:$I$89,5,0)</f>
        <v>135.68861927555994</v>
      </c>
      <c r="CA74" s="14">
        <f t="shared" si="93"/>
        <v>35.307537874002627</v>
      </c>
      <c r="CB74" s="22">
        <f t="shared" si="64"/>
        <v>297.81830703548815</v>
      </c>
      <c r="CC74" s="62">
        <f t="shared" si="65"/>
        <v>564.69098811353615</v>
      </c>
      <c r="CD74" s="62">
        <f ca="1">AVERAGE(OFFSET($CC$3,0,0,'Données projet'!$E$12+1,1))-AVERAGE(OFFSET($H$3,0,0,'Données projet'!$E$12+1,1))</f>
        <v>289.21044803824958</v>
      </c>
      <c r="CE74" s="62">
        <f t="shared" si="94"/>
        <v>196.11836398299445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>
        <f>EXP(-LN(2)/35)*CK73+(1-EXP(-LN(2)/35))/(LN(2)/35)*CG74*CH74*VLOOKUP('Données projet'!$B$12,Paramètres!$A$1:$I$89,3,0)*0.475*44/12</f>
        <v>19.685612705336997</v>
      </c>
      <c r="CL74" s="23">
        <f>EXP(-LN(2)/25)*CL73+(1-EXP(-LN(2)/25))/(LN(2)/25)*Calculateur!CG74*Calculateur!CI74*VLOOKUP('Données projet'!$B$12,Paramètres!$A$1:$I$89,3,0)*0.475*44/12</f>
        <v>27.464203369076571</v>
      </c>
      <c r="CM74" s="23">
        <f>EXP(-LN(2)/2)*CM73+(1-EXP(-LN(2)/2))/(LN(2)/2)*CG74*CJ74*VLOOKUP('Données projet'!$B$12,Paramètres!$A$1:$I$89,3,0)*0.475*44/12</f>
        <v>0</v>
      </c>
      <c r="CN74" s="24">
        <f t="shared" si="66"/>
        <v>47.149816074413565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-5.6843418860808015E-14</v>
      </c>
      <c r="CU74" s="18">
        <f>CT74*VLOOKUP('Données projet'!$B$13,Paramètres!$A$1:$I$89,3,0)*VLOOKUP('Données projet'!$B$13,Paramètres!$A$1:$I$89,5,0)</f>
        <v>-5.1431925385259088E-14</v>
      </c>
      <c r="CV74" s="14" t="e">
        <f t="shared" si="95"/>
        <v>#NUM!</v>
      </c>
      <c r="CW74" s="22" t="e">
        <f t="shared" si="67"/>
        <v>#NUM!</v>
      </c>
      <c r="CX74" s="62" t="e">
        <f t="shared" si="68"/>
        <v>#NUM!</v>
      </c>
      <c r="CY74" s="62">
        <f ca="1">AVERAGE(OFFSET($CX$3,0,0,'Données projet'!$E$13+1,1))-AVERAGE(OFFSET($H$3,0,0,'Données projet'!$E$13+1,1))</f>
        <v>376.68007030857598</v>
      </c>
      <c r="CZ74" s="62">
        <f t="shared" si="96"/>
        <v>532.90758914457626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>
        <f>EXP(-LN(2)/35)*DF73+(1-EXP(-LN(2)/35))/(LN(2)/35)*DB74*DC74*VLOOKUP('Données projet'!$B$13,Paramètres!$A$1:$I$89,3,0)*0.475*44/12</f>
        <v>55.943968223774448</v>
      </c>
      <c r="DG74" s="23">
        <f>EXP(-LN(2)/25)*DG73+(1-EXP(-LN(2)/25))/(LN(2)/25)*Calculateur!DB74*Calculateur!DD74*VLOOKUP('Données projet'!$B$13,Paramètres!$A$1:$I$89,3,0)*0.475*44/12</f>
        <v>4.2033005910975954</v>
      </c>
      <c r="DH74" s="23">
        <f>EXP(-LN(2)/2)*DH73+(1-EXP(-LN(2)/2))/(LN(2)/2)*DB74*DE74*VLOOKUP('Données projet'!$B$13,Paramètres!$A$1:$I$89,3,0)*0.475*44/12</f>
        <v>0</v>
      </c>
      <c r="DI74" s="24">
        <f t="shared" si="69"/>
        <v>60.147268814872042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5.6843418860808015E-14</v>
      </c>
      <c r="DP74" s="18">
        <f>DO74*VLOOKUP('Données projet'!$B$14,Paramètres!$A$1:$I$89,3,0)*VLOOKUP('Données projet'!$B$14,Paramètres!$A$1:$I$89,5,0)</f>
        <v>5.4092197387944907E-14</v>
      </c>
      <c r="DQ74" s="14">
        <f t="shared" si="97"/>
        <v>8.7287050538073676E-13</v>
      </c>
      <c r="DR74" s="22">
        <f t="shared" si="70"/>
        <v>1.6144600406554537E-12</v>
      </c>
      <c r="DS74" s="62">
        <f t="shared" si="71"/>
        <v>266.87268107804954</v>
      </c>
      <c r="DT74" s="62">
        <f ca="1">AVERAGE(OFFSET($DS$3,0,0,'Données projet'!$E$14+1,1))-AVERAGE(OFFSET($H$3,0,0,'Données projet'!$E$14+1,1))</f>
        <v>364.63161066507769</v>
      </c>
      <c r="DU74" s="62">
        <f t="shared" si="98"/>
        <v>355.44729904860708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>
        <f>EXP(-LN(2)/35)*EA73+(1-EXP(-LN(2)/35))/(LN(2)/35)*DW74*DX74*VLOOKUP('Données projet'!$B$14,Paramètres!$A$1:$I$89,3,0)*0.475*44/12</f>
        <v>158.60854487774884</v>
      </c>
      <c r="EB74" s="23">
        <f>EXP(-LN(2)/25)*EB73+(1-EXP(-LN(2)/25))/(LN(2)/25)*Calculateur!DW74*Calculateur!DY74*VLOOKUP('Données projet'!$B$14,Paramètres!$A$1:$I$89,3,0)*0.475*44/12</f>
        <v>0</v>
      </c>
      <c r="EC74" s="23">
        <f>EXP(-LN(2)/2)*EC73+(1-EXP(-LN(2)/2))/(LN(2)/2)*DW74*DZ74*VLOOKUP('Données projet'!$B$14,Paramètres!$A$1:$I$89,3,0)*0.475*44/12</f>
        <v>0</v>
      </c>
      <c r="ED74" s="24">
        <f t="shared" si="72"/>
        <v>158.60854487774884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5.6843418860808015E-14</v>
      </c>
      <c r="EK74" s="18">
        <f>EJ74*VLOOKUP('Données projet'!$B$15,Paramètres!$A$1:$I$89,3,0)*VLOOKUP('Données projet'!$B$15,Paramètres!$A$1:$I$89,5,0)</f>
        <v>4.1677594708744434E-14</v>
      </c>
      <c r="EL74" s="14">
        <f t="shared" si="99"/>
        <v>6.9326303456159188E-13</v>
      </c>
      <c r="EM74" s="22">
        <f t="shared" si="73"/>
        <v>1.2800215959791691E-12</v>
      </c>
      <c r="EN74" s="62">
        <f t="shared" si="74"/>
        <v>266.87268107804925</v>
      </c>
      <c r="EO74" s="62">
        <f ca="1">AVERAGE(OFFSET($EN$3,0,0,'Données projet'!$E$15+1,1))-AVERAGE(OFFSET($H$3,0,0,'Données projet'!$E$15+1,1))</f>
        <v>293.59366973965774</v>
      </c>
      <c r="EP74" s="62">
        <f t="shared" si="100"/>
        <v>288.13804536120426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>
        <f>EXP(-LN(2)/35)*EV73+(1-EXP(-LN(2)/35))/(LN(2)/35)*ER74*ES74*VLOOKUP('Données projet'!$B$15,Paramètres!$A$1:$I$89,3,0)*0.475*44/12</f>
        <v>122.20658375826548</v>
      </c>
      <c r="EW74" s="23">
        <f>EXP(-LN(2)/25)*EW73+(1-EXP(-LN(2)/25))/(LN(2)/25)*Calculateur!ER74*Calculateur!ET74*VLOOKUP('Données projet'!$B$15,Paramètres!$A$1:$I$89,3,0)*0.475*44/12</f>
        <v>0</v>
      </c>
      <c r="EX74" s="23">
        <f>EXP(-LN(2)/2)*EX73+(1-EXP(-LN(2)/2))/(LN(2)/2)*ER74*EU74*VLOOKUP('Données projet'!$B$15,Paramètres!$A$1:$I$89,3,0)*0.475*44/12</f>
        <v>0</v>
      </c>
      <c r="EY74" s="24">
        <f t="shared" si="75"/>
        <v>122.20658375826548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5.6843418860808015E-14</v>
      </c>
      <c r="FF74" s="18">
        <f>FE74*VLOOKUP('Données projet'!$B$16,Paramètres!$A$1:$I$89,3,0)*VLOOKUP('Données projet'!$B$16,Paramètres!$A$1:$I$89,5,0)</f>
        <v>5.4978954722173515E-14</v>
      </c>
      <c r="FG74" s="14">
        <f t="shared" si="101"/>
        <v>8.8550225887742724E-13</v>
      </c>
      <c r="FH74" s="22">
        <f t="shared" si="76"/>
        <v>1.6380047803526383E-12</v>
      </c>
      <c r="FI74" s="62">
        <f t="shared" si="77"/>
        <v>266.8726810780496</v>
      </c>
      <c r="FJ74" s="62">
        <f ca="1">AVERAGE(OFFSET($FI$3,0,0,'Données projet'!$E$16+1,1))-AVERAGE(OFFSET($H$3,0,0,'Données projet'!$E$16+1,1))</f>
        <v>369.69145521630799</v>
      </c>
      <c r="FK74" s="62">
        <f t="shared" si="102"/>
        <v>360.24112103688719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>
        <f>EXP(-LN(2)/35)*FQ73+(1-EXP(-LN(2)/35))/(LN(2)/35)*FM74*FN74*VLOOKUP('Données projet'!$B$16,Paramètres!$A$1:$I$89,3,0)*0.475*44/12</f>
        <v>161.20868495771194</v>
      </c>
      <c r="FR74" s="23">
        <f>EXP(-LN(2)/25)*FR73+(1-EXP(-LN(2)/25))/(LN(2)/25)*Calculateur!FM74*Calculateur!FO74*VLOOKUP('Données projet'!$B$16,Paramètres!$A$1:$I$89,3,0)*0.475*44/12</f>
        <v>0</v>
      </c>
      <c r="FS74" s="23">
        <f>EXP(-LN(2)/2)*FS73+(1-EXP(-LN(2)/2))/(LN(2)/2)*FM74*FP74*VLOOKUP('Données projet'!$B$16,Paramètres!$A$1:$I$89,3,0)*0.475*44/12</f>
        <v>0</v>
      </c>
      <c r="FT74" s="24">
        <f t="shared" si="78"/>
        <v>161.20868495771194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5.6843418860808015E-14</v>
      </c>
      <c r="GA74" s="18">
        <f>FZ74*VLOOKUP('Données projet'!$B$17,Paramètres!$A$1:$I$89,3,0)*VLOOKUP('Données projet'!$B$17,Paramètres!$A$1:$I$89,5,0)</f>
        <v>6.1186256061773749E-14</v>
      </c>
      <c r="GB74" s="14">
        <f t="shared" si="103"/>
        <v>9.7328366192051127E-13</v>
      </c>
      <c r="GC74" s="22">
        <f t="shared" si="79"/>
        <v>1.8017017738191463E-12</v>
      </c>
      <c r="GD74" s="62">
        <f t="shared" si="80"/>
        <v>266.87268107804977</v>
      </c>
      <c r="GE74" s="62">
        <f ca="1">AVERAGE(OFFSET($GD$3,0,0,'Données projet'!$E$17+1,1))-AVERAGE(OFFSET($H$3,0,0,'Données projet'!$E$17+1,1))</f>
        <v>405.06394904053946</v>
      </c>
      <c r="GF74" s="62">
        <f t="shared" si="104"/>
        <v>393.75247087518198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>
        <f>EXP(-LN(2)/35)*GL73+(1-EXP(-LN(2)/35))/(LN(2)/35)*GH74*GI74*VLOOKUP('Données projet'!$B$17,Paramètres!$A$1:$I$89,3,0)*0.475*44/12</f>
        <v>179.40966551745359</v>
      </c>
      <c r="GM74" s="23">
        <f>EXP(-LN(2)/25)*GM73+(1-EXP(-LN(2)/25))/(LN(2)/25)*Calculateur!GH74*Calculateur!GJ74*VLOOKUP('Données projet'!$B$17,Paramètres!$A$1:$I$89,3,0)*0.475*44/12</f>
        <v>0</v>
      </c>
      <c r="GN74" s="23">
        <f>EXP(-LN(2)/2)*GN73+(1-EXP(-LN(2)/2))/(LN(2)/2)*GH74*GK74*VLOOKUP('Données projet'!$B$17,Paramètres!$A$1:$I$89,3,0)*0.475*44/12</f>
        <v>0</v>
      </c>
      <c r="GO74" s="23">
        <f t="shared" si="81"/>
        <v>179.40966551745359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5.6843418860808015E-14</v>
      </c>
      <c r="GV74" s="18">
        <f>GU74*VLOOKUP('Données projet'!$B$18,Paramètres!$A$1:$I$89,3,0)*VLOOKUP('Données projet'!$B$18,Paramètres!$A$1:$I$89,5,0)</f>
        <v>3.813056537183002E-14</v>
      </c>
      <c r="GW74" s="14">
        <f t="shared" si="105"/>
        <v>6.4086286045526829E-13</v>
      </c>
      <c r="GX74" s="22">
        <f t="shared" si="82"/>
        <v>1.1825802166488628E-12</v>
      </c>
      <c r="GY74" s="62">
        <f t="shared" si="83"/>
        <v>266.87268107804914</v>
      </c>
      <c r="GZ74" s="62">
        <f ca="1">AVERAGE(OFFSET($GY$3,0,0,'Données projet'!$E$18+1,1))-AVERAGE(OFFSET($H$3,0,0,'Données projet'!$E$18+1,1))</f>
        <v>273.21861937609918</v>
      </c>
      <c r="HA74" s="62">
        <f t="shared" si="106"/>
        <v>268.83004886965318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>
        <f>EXP(-LN(2)/35)*HG73+(1-EXP(-LN(2)/35))/(LN(2)/35)*HC74*HD74*VLOOKUP('Données projet'!$B$18,Paramètres!$A$1:$I$89,3,0)*0.475*44/12</f>
        <v>137.80742423804409</v>
      </c>
      <c r="HH74" s="23">
        <f>EXP(-LN(2)/25)*HH73+(1-EXP(-LN(2)/25))/(LN(2)/25)*Calculateur!HC74*Calculateur!HE74*VLOOKUP('Données projet'!$B$18,Paramètres!$A$1:$I$89,3,0)*0.475*44/12</f>
        <v>0</v>
      </c>
      <c r="HI74" s="23">
        <f>EXP(-LN(2)/2)*HI73+(1-EXP(-LN(2)/2))/(LN(2)/2)*HC74*HF74*VLOOKUP('Données projet'!$B$18,Paramètres!$A$1:$I$89,3,0)*0.475*44/12</f>
        <v>0</v>
      </c>
      <c r="HJ74" s="24">
        <f t="shared" si="84"/>
        <v>137.80742423804409</v>
      </c>
    </row>
    <row r="75" spans="1:218" s="5" customFormat="1" x14ac:dyDescent="0.4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5.9</v>
      </c>
      <c r="N75" s="14">
        <f>IF('Données projet'!$A$36&gt;35,N74+M75-V74,IF(A75&lt;'Données projet'!$A$36,$K$205^A75,IF(A75='Données projet'!$A$36,'Données projet'!$B$36,N74+M75-V74)))</f>
        <v>158.60000000000008</v>
      </c>
      <c r="O75" s="14">
        <f>N75*VLOOKUP('Données projet'!$B$9,Paramètres!$A$1:$I$89,3,0)*VLOOKUP('Données projet'!$B$9,Paramètres!$A$1:$I$89,5,0)</f>
        <v>143.50128000000007</v>
      </c>
      <c r="P75" s="14">
        <f t="shared" si="87"/>
        <v>37.097942826522427</v>
      </c>
      <c r="Q75" s="22">
        <f t="shared" si="54"/>
        <v>314.54364642285998</v>
      </c>
      <c r="R75" s="62">
        <f t="shared" si="55"/>
        <v>581.87536066038115</v>
      </c>
      <c r="S75" s="62">
        <f ca="1">AVERAGE(OFFSET($R$3,0,0,'Données projet'!$E$9+1,1))-AVERAGE(OFFSET($H$3,0,0,'Données projet'!$E$9+1,1))</f>
        <v>432.80275651765203</v>
      </c>
      <c r="T75" s="62">
        <f t="shared" si="88"/>
        <v>203.89279893419919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6.1588046355403661</v>
      </c>
      <c r="AA75" s="23">
        <f>EXP(-LN(2)/25)*AA74+(1-EXP(-LN(2)/25))/(LN(2)/25)*Calculateur!V75*Calculateur!X75*VLOOKUP('Données projet'!$B$9,Paramètres!$A$1:$I$89,3,0)*0.475*44/12</f>
        <v>4.7545748152855722</v>
      </c>
      <c r="AB75" s="23">
        <f>EXP(-LN(2)/2)*AB74+(1-EXP(-LN(2)/2))/(LN(2)/2)*V75*Y75*VLOOKUP('Données projet'!$B$9,Paramètres!$A$1:$I$89,3,0)*0.475*44/12</f>
        <v>0</v>
      </c>
      <c r="AC75" s="24">
        <f t="shared" si="57"/>
        <v>10.913379450825939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54.000000000000341</v>
      </c>
      <c r="AJ75" s="14">
        <f>AI75*VLOOKUP('Données projet'!$B$10,Paramètres!$A$1:$I$89,3,0)*VLOOKUP('Données projet'!$B$10,Paramètres!$A$1:$I$89,5,0)</f>
        <v>23.868000000000151</v>
      </c>
      <c r="AK75" s="14">
        <f t="shared" si="89"/>
        <v>7.6030930962115804</v>
      </c>
      <c r="AL75" s="22">
        <f t="shared" si="58"/>
        <v>54.812153809235433</v>
      </c>
      <c r="AM75" s="62">
        <f t="shared" si="59"/>
        <v>322.14386804675655</v>
      </c>
      <c r="AN75" s="62">
        <f ca="1">AVERAGE(OFFSET($AM$3,0,0,'Données projet'!$E$10+1,1))-AVERAGE(OFFSET($H$3,0,0,'Données projet'!$E$10+1,1))</f>
        <v>413.08876898406481</v>
      </c>
      <c r="AO75" s="62">
        <f t="shared" si="90"/>
        <v>520.31320932826566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216.63764952204713</v>
      </c>
      <c r="AV75" s="23">
        <f>EXP(-LN(2)/25)*AV74+(1-EXP(-LN(2)/25))/(LN(2)/25)*Calculateur!AQ75*Calculateur!AS75*VLOOKUP('Données projet'!$B$10,Paramètres!$A$1:$I$89,3,0)*0.475*44/12</f>
        <v>14.467292041145935</v>
      </c>
      <c r="AW75" s="23">
        <f>EXP(-LN(2)/2)*AW74+(1-EXP(-LN(2)/2))/(LN(2)/2)*AQ75*AT75*VLOOKUP('Données projet'!$B$10,Paramètres!$A$1:$I$89,3,0)*0.475*44/12</f>
        <v>3.4769417299477975E-4</v>
      </c>
      <c r="AX75" s="23">
        <f t="shared" si="60"/>
        <v>231.10528925736605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0</v>
      </c>
      <c r="BD75" s="13">
        <f>IF('Données projet'!$A$88&gt;35,BD74+BC75-BL74,IF(A75&lt;'Données projet'!$A$88,$BA$205^A75,IF(A75='Données projet'!$A$88,'Données projet'!$B$88,BD74+BC75-BL74)))</f>
        <v>54.000000000000341</v>
      </c>
      <c r="BE75" s="14">
        <f>BD75*VLOOKUP('Données projet'!$B$11,Paramètres!$A$1:$I$89,3,0)*VLOOKUP('Données projet'!$B$11,Paramètres!$A$1:$I$89,5,0)</f>
        <v>30.186000000000188</v>
      </c>
      <c r="BF75" s="14">
        <f t="shared" si="91"/>
        <v>9.3563888882899153</v>
      </c>
      <c r="BG75" s="22">
        <f t="shared" si="61"/>
        <v>68.869660647105263</v>
      </c>
      <c r="BH75" s="62">
        <f t="shared" si="62"/>
        <v>336.20137488462638</v>
      </c>
      <c r="BI75" s="62">
        <f ca="1">AVERAGE(OFFSET($BH$3,0,0,'Données projet'!$E$11+1,1))-AVERAGE(OFFSET($H$3,0,0,'Données projet'!$E$11+1,1))</f>
        <v>507.66185230065889</v>
      </c>
      <c r="BJ75" s="62">
        <f t="shared" si="92"/>
        <v>640.14375617778342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273.98290968964778</v>
      </c>
      <c r="BQ75" s="23">
        <f>EXP(-LN(2)/25)*BQ74+(1-EXP(-LN(2)/25))/(LN(2)/25)*Calculateur!BL75*Calculateur!BN75*VLOOKUP('Données projet'!$B$11,Paramètres!$A$1:$I$89,3,0)*0.475*44/12</f>
        <v>18.296869346155162</v>
      </c>
      <c r="BR75" s="23">
        <f>EXP(-LN(2)/2)*BR74+(1-EXP(-LN(2)/2))/(LN(2)/2)*BL75*BO75*VLOOKUP('Données projet'!$B$11,Paramètres!$A$1:$I$89,3,0)*0.475*44/12</f>
        <v>4.3973086584633939E-4</v>
      </c>
      <c r="BS75" s="24">
        <f t="shared" si="63"/>
        <v>292.28021876666878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12.473670769999995</v>
      </c>
      <c r="BY75" s="13">
        <f>IF('Données projet'!$A$114&gt;35,BY74+BX75-CG74,IF(A75&lt;'Données projet'!$A$114,$BV$205^A75,IF(A75='Données projet'!$A$114,'Données projet'!$B$114,BY74+BX75-CG74)))</f>
        <v>302.40661793999993</v>
      </c>
      <c r="BZ75" s="14">
        <f>BY75*VLOOKUP('Données projet'!$B$12,Paramètres!$A$1:$I$89,3,0)*VLOOKUP('Données projet'!$B$12,Paramètres!$A$1:$I$89,5,0)</f>
        <v>141.52629719591997</v>
      </c>
      <c r="CA75" s="14">
        <f t="shared" si="93"/>
        <v>36.646437788316213</v>
      </c>
      <c r="CB75" s="22">
        <f t="shared" si="64"/>
        <v>310.31751343087802</v>
      </c>
      <c r="CC75" s="62">
        <f t="shared" si="65"/>
        <v>577.64922766839913</v>
      </c>
      <c r="CD75" s="62">
        <f ca="1">AVERAGE(OFFSET($CC$3,0,0,'Données projet'!$E$12+1,1))-AVERAGE(OFFSET($H$3,0,0,'Données projet'!$E$12+1,1))</f>
        <v>289.21044803824958</v>
      </c>
      <c r="CE75" s="62">
        <f t="shared" si="94"/>
        <v>196.11836398299445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>
        <f>EXP(-LN(2)/35)*CK74+(1-EXP(-LN(2)/35))/(LN(2)/35)*CG75*CH75*VLOOKUP('Données projet'!$B$12,Paramètres!$A$1:$I$89,3,0)*0.475*44/12</f>
        <v>19.299589847223491</v>
      </c>
      <c r="CL75" s="23">
        <f>EXP(-LN(2)/25)*CL74+(1-EXP(-LN(2)/25))/(LN(2)/25)*Calculateur!CG75*Calculateur!CI75*VLOOKUP('Données projet'!$B$12,Paramètres!$A$1:$I$89,3,0)*0.475*44/12</f>
        <v>26.713193283669487</v>
      </c>
      <c r="CM75" s="23">
        <f>EXP(-LN(2)/2)*CM74+(1-EXP(-LN(2)/2))/(LN(2)/2)*CG75*CJ75*VLOOKUP('Données projet'!$B$12,Paramètres!$A$1:$I$89,3,0)*0.475*44/12</f>
        <v>0</v>
      </c>
      <c r="CN75" s="24">
        <f t="shared" si="66"/>
        <v>46.012783130892977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-5.6843418860808015E-14</v>
      </c>
      <c r="CU75" s="18">
        <f>CT75*VLOOKUP('Données projet'!$B$13,Paramètres!$A$1:$I$89,3,0)*VLOOKUP('Données projet'!$B$13,Paramètres!$A$1:$I$89,5,0)</f>
        <v>-5.1431925385259088E-14</v>
      </c>
      <c r="CV75" s="14" t="e">
        <f t="shared" si="95"/>
        <v>#NUM!</v>
      </c>
      <c r="CW75" s="22" t="e">
        <f t="shared" si="67"/>
        <v>#NUM!</v>
      </c>
      <c r="CX75" s="62" t="e">
        <f t="shared" si="68"/>
        <v>#NUM!</v>
      </c>
      <c r="CY75" s="62">
        <f ca="1">AVERAGE(OFFSET($CX$3,0,0,'Données projet'!$E$13+1,1))-AVERAGE(OFFSET($H$3,0,0,'Données projet'!$E$13+1,1))</f>
        <v>376.68007030857598</v>
      </c>
      <c r="CZ75" s="62">
        <f t="shared" si="96"/>
        <v>532.90758914457626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>
        <f>EXP(-LN(2)/35)*DF74+(1-EXP(-LN(2)/35))/(LN(2)/35)*DB75*DC75*VLOOKUP('Données projet'!$B$13,Paramètres!$A$1:$I$89,3,0)*0.475*44/12</f>
        <v>54.846941129357532</v>
      </c>
      <c r="DG75" s="23">
        <f>EXP(-LN(2)/25)*DG74+(1-EXP(-LN(2)/25))/(LN(2)/25)*Calculateur!DB75*Calculateur!DD75*VLOOKUP('Données projet'!$B$13,Paramètres!$A$1:$I$89,3,0)*0.475*44/12</f>
        <v>4.0883611153920603</v>
      </c>
      <c r="DH75" s="23">
        <f>EXP(-LN(2)/2)*DH74+(1-EXP(-LN(2)/2))/(LN(2)/2)*DB75*DE75*VLOOKUP('Données projet'!$B$13,Paramètres!$A$1:$I$89,3,0)*0.475*44/12</f>
        <v>0</v>
      </c>
      <c r="DI75" s="24">
        <f t="shared" si="69"/>
        <v>58.935302244749593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5.6843418860808015E-14</v>
      </c>
      <c r="DP75" s="18">
        <f>DO75*VLOOKUP('Données projet'!$B$14,Paramètres!$A$1:$I$89,3,0)*VLOOKUP('Données projet'!$B$14,Paramètres!$A$1:$I$89,5,0)</f>
        <v>5.4092197387944907E-14</v>
      </c>
      <c r="DQ75" s="14">
        <f t="shared" si="97"/>
        <v>8.7287050538073676E-13</v>
      </c>
      <c r="DR75" s="22">
        <f t="shared" si="70"/>
        <v>1.6144600406554537E-12</v>
      </c>
      <c r="DS75" s="62">
        <f t="shared" si="71"/>
        <v>267.3317142375227</v>
      </c>
      <c r="DT75" s="62">
        <f ca="1">AVERAGE(OFFSET($DS$3,0,0,'Données projet'!$E$14+1,1))-AVERAGE(OFFSET($H$3,0,0,'Données projet'!$E$14+1,1))</f>
        <v>364.63161066507769</v>
      </c>
      <c r="DU75" s="62">
        <f t="shared" si="98"/>
        <v>355.44729904860708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>
        <f>EXP(-LN(2)/35)*EA74+(1-EXP(-LN(2)/35))/(LN(2)/35)*DW75*DX75*VLOOKUP('Données projet'!$B$14,Paramètres!$A$1:$I$89,3,0)*0.475*44/12</f>
        <v>155.49832805435611</v>
      </c>
      <c r="EB75" s="23">
        <f>EXP(-LN(2)/25)*EB74+(1-EXP(-LN(2)/25))/(LN(2)/25)*Calculateur!DW75*Calculateur!DY75*VLOOKUP('Données projet'!$B$14,Paramètres!$A$1:$I$89,3,0)*0.475*44/12</f>
        <v>0</v>
      </c>
      <c r="EC75" s="23">
        <f>EXP(-LN(2)/2)*EC74+(1-EXP(-LN(2)/2))/(LN(2)/2)*DW75*DZ75*VLOOKUP('Données projet'!$B$14,Paramètres!$A$1:$I$89,3,0)*0.475*44/12</f>
        <v>0</v>
      </c>
      <c r="ED75" s="24">
        <f t="shared" si="72"/>
        <v>155.49832805435611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5.6843418860808015E-14</v>
      </c>
      <c r="EK75" s="18">
        <f>EJ75*VLOOKUP('Données projet'!$B$15,Paramètres!$A$1:$I$89,3,0)*VLOOKUP('Données projet'!$B$15,Paramètres!$A$1:$I$89,5,0)</f>
        <v>4.1677594708744434E-14</v>
      </c>
      <c r="EL75" s="14">
        <f t="shared" si="99"/>
        <v>6.9326303456159188E-13</v>
      </c>
      <c r="EM75" s="22">
        <f t="shared" si="73"/>
        <v>1.2800215959791691E-12</v>
      </c>
      <c r="EN75" s="62">
        <f t="shared" si="74"/>
        <v>267.33171423752242</v>
      </c>
      <c r="EO75" s="62">
        <f ca="1">AVERAGE(OFFSET($EN$3,0,0,'Données projet'!$E$15+1,1))-AVERAGE(OFFSET($H$3,0,0,'Données projet'!$E$15+1,1))</f>
        <v>293.59366973965774</v>
      </c>
      <c r="EP75" s="62">
        <f t="shared" si="100"/>
        <v>288.13804536120426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>
        <f>EXP(-LN(2)/35)*EV74+(1-EXP(-LN(2)/35))/(LN(2)/35)*ER75*ES75*VLOOKUP('Données projet'!$B$15,Paramètres!$A$1:$I$89,3,0)*0.475*44/12</f>
        <v>119.81018718942191</v>
      </c>
      <c r="EW75" s="23">
        <f>EXP(-LN(2)/25)*EW74+(1-EXP(-LN(2)/25))/(LN(2)/25)*Calculateur!ER75*Calculateur!ET75*VLOOKUP('Données projet'!$B$15,Paramètres!$A$1:$I$89,3,0)*0.475*44/12</f>
        <v>0</v>
      </c>
      <c r="EX75" s="23">
        <f>EXP(-LN(2)/2)*EX74+(1-EXP(-LN(2)/2))/(LN(2)/2)*ER75*EU75*VLOOKUP('Données projet'!$B$15,Paramètres!$A$1:$I$89,3,0)*0.475*44/12</f>
        <v>0</v>
      </c>
      <c r="EY75" s="24">
        <f t="shared" si="75"/>
        <v>119.81018718942191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5.6843418860808015E-14</v>
      </c>
      <c r="FF75" s="18">
        <f>FE75*VLOOKUP('Données projet'!$B$16,Paramètres!$A$1:$I$89,3,0)*VLOOKUP('Données projet'!$B$16,Paramètres!$A$1:$I$89,5,0)</f>
        <v>5.4978954722173515E-14</v>
      </c>
      <c r="FG75" s="14">
        <f t="shared" si="101"/>
        <v>8.8550225887742724E-13</v>
      </c>
      <c r="FH75" s="22">
        <f t="shared" si="76"/>
        <v>1.6380047803526383E-12</v>
      </c>
      <c r="FI75" s="62">
        <f t="shared" si="77"/>
        <v>267.33171423752276</v>
      </c>
      <c r="FJ75" s="62">
        <f ca="1">AVERAGE(OFFSET($FI$3,0,0,'Données projet'!$E$16+1,1))-AVERAGE(OFFSET($H$3,0,0,'Données projet'!$E$16+1,1))</f>
        <v>369.69145521630799</v>
      </c>
      <c r="FK75" s="62">
        <f t="shared" si="102"/>
        <v>360.24112103688719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>
        <f>EXP(-LN(2)/35)*FQ74+(1-EXP(-LN(2)/35))/(LN(2)/35)*FM75*FN75*VLOOKUP('Données projet'!$B$16,Paramètres!$A$1:$I$89,3,0)*0.475*44/12</f>
        <v>158.04748097327999</v>
      </c>
      <c r="FR75" s="23">
        <f>EXP(-LN(2)/25)*FR74+(1-EXP(-LN(2)/25))/(LN(2)/25)*Calculateur!FM75*Calculateur!FO75*VLOOKUP('Données projet'!$B$16,Paramètres!$A$1:$I$89,3,0)*0.475*44/12</f>
        <v>0</v>
      </c>
      <c r="FS75" s="23">
        <f>EXP(-LN(2)/2)*FS74+(1-EXP(-LN(2)/2))/(LN(2)/2)*FM75*FP75*VLOOKUP('Données projet'!$B$16,Paramètres!$A$1:$I$89,3,0)*0.475*44/12</f>
        <v>0</v>
      </c>
      <c r="FT75" s="24">
        <f t="shared" si="78"/>
        <v>158.04748097327999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5.6843418860808015E-14</v>
      </c>
      <c r="GA75" s="18">
        <f>FZ75*VLOOKUP('Données projet'!$B$17,Paramètres!$A$1:$I$89,3,0)*VLOOKUP('Données projet'!$B$17,Paramètres!$A$1:$I$89,5,0)</f>
        <v>6.1186256061773749E-14</v>
      </c>
      <c r="GB75" s="14">
        <f t="shared" si="103"/>
        <v>9.7328366192051127E-13</v>
      </c>
      <c r="GC75" s="22">
        <f t="shared" si="79"/>
        <v>1.8017017738191463E-12</v>
      </c>
      <c r="GD75" s="62">
        <f t="shared" si="80"/>
        <v>267.33171423752293</v>
      </c>
      <c r="GE75" s="62">
        <f ca="1">AVERAGE(OFFSET($GD$3,0,0,'Données projet'!$E$17+1,1))-AVERAGE(OFFSET($H$3,0,0,'Données projet'!$E$17+1,1))</f>
        <v>405.06394904053946</v>
      </c>
      <c r="GF75" s="62">
        <f t="shared" si="104"/>
        <v>393.75247087518198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>
        <f>EXP(-LN(2)/35)*GL74+(1-EXP(-LN(2)/35))/(LN(2)/35)*GH75*GI75*VLOOKUP('Données projet'!$B$17,Paramètres!$A$1:$I$89,3,0)*0.475*44/12</f>
        <v>175.89155140574707</v>
      </c>
      <c r="GM75" s="23">
        <f>EXP(-LN(2)/25)*GM74+(1-EXP(-LN(2)/25))/(LN(2)/25)*Calculateur!GH75*Calculateur!GJ75*VLOOKUP('Données projet'!$B$17,Paramètres!$A$1:$I$89,3,0)*0.475*44/12</f>
        <v>0</v>
      </c>
      <c r="GN75" s="23">
        <f>EXP(-LN(2)/2)*GN74+(1-EXP(-LN(2)/2))/(LN(2)/2)*GH75*GK75*VLOOKUP('Données projet'!$B$17,Paramètres!$A$1:$I$89,3,0)*0.475*44/12</f>
        <v>0</v>
      </c>
      <c r="GO75" s="23">
        <f t="shared" si="81"/>
        <v>175.89155140574707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5.6843418860808015E-14</v>
      </c>
      <c r="GV75" s="18">
        <f>GU75*VLOOKUP('Données projet'!$B$18,Paramètres!$A$1:$I$89,3,0)*VLOOKUP('Données projet'!$B$18,Paramètres!$A$1:$I$89,5,0)</f>
        <v>3.813056537183002E-14</v>
      </c>
      <c r="GW75" s="14">
        <f t="shared" si="105"/>
        <v>6.4086286045526829E-13</v>
      </c>
      <c r="GX75" s="22">
        <f t="shared" si="82"/>
        <v>1.1825802166488628E-12</v>
      </c>
      <c r="GY75" s="62">
        <f t="shared" si="83"/>
        <v>267.33171423752231</v>
      </c>
      <c r="GZ75" s="62">
        <f ca="1">AVERAGE(OFFSET($GY$3,0,0,'Données projet'!$E$18+1,1))-AVERAGE(OFFSET($H$3,0,0,'Données projet'!$E$18+1,1))</f>
        <v>273.21861937609918</v>
      </c>
      <c r="HA75" s="62">
        <f t="shared" si="106"/>
        <v>268.83004886965318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>
        <f>EXP(-LN(2)/35)*HG74+(1-EXP(-LN(2)/35))/(LN(2)/35)*HC75*HD75*VLOOKUP('Données projet'!$B$18,Paramètres!$A$1:$I$89,3,0)*0.475*44/12</f>
        <v>135.10510470296518</v>
      </c>
      <c r="HH75" s="23">
        <f>EXP(-LN(2)/25)*HH74+(1-EXP(-LN(2)/25))/(LN(2)/25)*Calculateur!HC75*Calculateur!HE75*VLOOKUP('Données projet'!$B$18,Paramètres!$A$1:$I$89,3,0)*0.475*44/12</f>
        <v>0</v>
      </c>
      <c r="HI75" s="23">
        <f>EXP(-LN(2)/2)*HI74+(1-EXP(-LN(2)/2))/(LN(2)/2)*HC75*HF75*VLOOKUP('Données projet'!$B$18,Paramètres!$A$1:$I$89,3,0)*0.475*44/12</f>
        <v>0</v>
      </c>
      <c r="HJ75" s="24">
        <f t="shared" si="84"/>
        <v>135.10510470296518</v>
      </c>
    </row>
    <row r="76" spans="1:218" s="5" customFormat="1" x14ac:dyDescent="0.4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5.9</v>
      </c>
      <c r="N76" s="14">
        <f>IF('Données projet'!$A$36&gt;35,N75+M76-V75,IF(A76&lt;'Données projet'!$A$36,$K$205^A76,IF(A76='Données projet'!$A$36,'Données projet'!$B$36,N75+M76-V75)))</f>
        <v>164.50000000000009</v>
      </c>
      <c r="O76" s="14">
        <f>N76*VLOOKUP('Données projet'!$B$9,Paramètres!$A$1:$I$89,3,0)*VLOOKUP('Données projet'!$B$9,Paramètres!$A$1:$I$89,5,0)</f>
        <v>148.83960000000008</v>
      </c>
      <c r="P76" s="14">
        <f t="shared" si="87"/>
        <v>38.314761484407519</v>
      </c>
      <c r="Q76" s="22">
        <f t="shared" si="54"/>
        <v>325.9605129186765</v>
      </c>
      <c r="R76" s="62">
        <f t="shared" si="55"/>
        <v>593.74329711659834</v>
      </c>
      <c r="S76" s="62">
        <f ca="1">AVERAGE(OFFSET($R$3,0,0,'Données projet'!$E$9+1,1))-AVERAGE(OFFSET($H$3,0,0,'Données projet'!$E$9+1,1))</f>
        <v>432.80275651765203</v>
      </c>
      <c r="T76" s="62">
        <f t="shared" si="88"/>
        <v>203.89279893419919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6.0380342331373233</v>
      </c>
      <c r="AA76" s="23">
        <f>EXP(-LN(2)/25)*AA75+(1-EXP(-LN(2)/25))/(LN(2)/25)*Calculateur!V76*Calculateur!X76*VLOOKUP('Données projet'!$B$9,Paramètres!$A$1:$I$89,3,0)*0.475*44/12</f>
        <v>4.6245607169293654</v>
      </c>
      <c r="AB76" s="23">
        <f>EXP(-LN(2)/2)*AB75+(1-EXP(-LN(2)/2))/(LN(2)/2)*V76*Y76*VLOOKUP('Données projet'!$B$9,Paramètres!$A$1:$I$89,3,0)*0.475*44/12</f>
        <v>0</v>
      </c>
      <c r="AC76" s="24">
        <f t="shared" si="57"/>
        <v>10.662594950066689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54.000000000000341</v>
      </c>
      <c r="AJ76" s="14">
        <f>AI76*VLOOKUP('Données projet'!$B$10,Paramètres!$A$1:$I$89,3,0)*VLOOKUP('Données projet'!$B$10,Paramètres!$A$1:$I$89,5,0)</f>
        <v>23.868000000000151</v>
      </c>
      <c r="AK76" s="14">
        <f t="shared" si="89"/>
        <v>7.6030930962115804</v>
      </c>
      <c r="AL76" s="22">
        <f t="shared" si="58"/>
        <v>54.812153809235433</v>
      </c>
      <c r="AM76" s="62">
        <f t="shared" si="59"/>
        <v>322.59493800715723</v>
      </c>
      <c r="AN76" s="62">
        <f ca="1">AVERAGE(OFFSET($AM$3,0,0,'Données projet'!$E$10+1,1))-AVERAGE(OFFSET($H$3,0,0,'Données projet'!$E$10+1,1))</f>
        <v>413.08876898406481</v>
      </c>
      <c r="AO76" s="62">
        <f t="shared" si="90"/>
        <v>520.31320932826566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212.38951735083864</v>
      </c>
      <c r="AV76" s="23">
        <f>EXP(-LN(2)/25)*AV75+(1-EXP(-LN(2)/25))/(LN(2)/25)*Calculateur!AQ76*Calculateur!AS76*VLOOKUP('Données projet'!$B$10,Paramètres!$A$1:$I$89,3,0)*0.475*44/12</f>
        <v>14.071683179478976</v>
      </c>
      <c r="AW76" s="23">
        <f>EXP(-LN(2)/2)*AW75+(1-EXP(-LN(2)/2))/(LN(2)/2)*AQ76*AT76*VLOOKUP('Données projet'!$B$10,Paramètres!$A$1:$I$89,3,0)*0.475*44/12</f>
        <v>2.4585690750365732E-4</v>
      </c>
      <c r="AX76" s="23">
        <f t="shared" si="60"/>
        <v>226.46144638722512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0</v>
      </c>
      <c r="BD76" s="13">
        <f>IF('Données projet'!$A$88&gt;35,BD75+BC76-BL75,IF(A76&lt;'Données projet'!$A$88,$BA$205^A76,IF(A76='Données projet'!$A$88,'Données projet'!$B$88,BD75+BC76-BL75)))</f>
        <v>54.000000000000341</v>
      </c>
      <c r="BE76" s="14">
        <f>BD76*VLOOKUP('Données projet'!$B$11,Paramètres!$A$1:$I$89,3,0)*VLOOKUP('Données projet'!$B$11,Paramètres!$A$1:$I$89,5,0)</f>
        <v>30.186000000000188</v>
      </c>
      <c r="BF76" s="14">
        <f t="shared" si="91"/>
        <v>9.3563888882899153</v>
      </c>
      <c r="BG76" s="22">
        <f t="shared" si="61"/>
        <v>68.869660647105263</v>
      </c>
      <c r="BH76" s="62">
        <f t="shared" si="62"/>
        <v>336.65244484502705</v>
      </c>
      <c r="BI76" s="62">
        <f ca="1">AVERAGE(OFFSET($BH$3,0,0,'Données projet'!$E$11+1,1))-AVERAGE(OFFSET($H$3,0,0,'Données projet'!$E$11+1,1))</f>
        <v>507.66185230065889</v>
      </c>
      <c r="BJ76" s="62">
        <f t="shared" si="92"/>
        <v>640.14375617778342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268.61027194370763</v>
      </c>
      <c r="BQ76" s="23">
        <f>EXP(-LN(2)/25)*BQ75+(1-EXP(-LN(2)/25))/(LN(2)/25)*Calculateur!BL76*Calculateur!BN76*VLOOKUP('Données projet'!$B$11,Paramètres!$A$1:$I$89,3,0)*0.475*44/12</f>
        <v>17.79654049169401</v>
      </c>
      <c r="BR76" s="23">
        <f>EXP(-LN(2)/2)*BR75+(1-EXP(-LN(2)/2))/(LN(2)/2)*BL76*BO76*VLOOKUP('Données projet'!$B$11,Paramètres!$A$1:$I$89,3,0)*0.475*44/12</f>
        <v>3.1093667713697859E-4</v>
      </c>
      <c r="BS76" s="24">
        <f t="shared" si="63"/>
        <v>286.40712337207879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12.473670769999995</v>
      </c>
      <c r="BY76" s="13">
        <f>IF('Données projet'!$A$114&gt;35,BY75+BX76-CG75,IF(A76&lt;'Données projet'!$A$114,$BV$205^A76,IF(A76='Données projet'!$A$114,'Données projet'!$B$114,BY75+BX76-CG75)))</f>
        <v>314.88028870999995</v>
      </c>
      <c r="BZ76" s="14">
        <f>BY76*VLOOKUP('Données projet'!$B$12,Paramètres!$A$1:$I$89,3,0)*VLOOKUP('Données projet'!$B$12,Paramètres!$A$1:$I$89,5,0)</f>
        <v>147.36397511627996</v>
      </c>
      <c r="CA76" s="14">
        <f t="shared" si="93"/>
        <v>37.978922771557457</v>
      </c>
      <c r="CB76" s="22">
        <f t="shared" si="64"/>
        <v>322.80554715465013</v>
      </c>
      <c r="CC76" s="62">
        <f t="shared" si="65"/>
        <v>590.58833135257191</v>
      </c>
      <c r="CD76" s="62">
        <f ca="1">AVERAGE(OFFSET($CC$3,0,0,'Données projet'!$E$12+1,1))-AVERAGE(OFFSET($H$3,0,0,'Données projet'!$E$12+1,1))</f>
        <v>289.21044803824958</v>
      </c>
      <c r="CE76" s="62">
        <f t="shared" si="94"/>
        <v>196.11836398299445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>
        <f>EXP(-LN(2)/35)*CK75+(1-EXP(-LN(2)/35))/(LN(2)/35)*CG76*CH76*VLOOKUP('Données projet'!$B$12,Paramètres!$A$1:$I$89,3,0)*0.475*44/12</f>
        <v>18.921136661906896</v>
      </c>
      <c r="CL76" s="23">
        <f>EXP(-LN(2)/25)*CL75+(1-EXP(-LN(2)/25))/(LN(2)/25)*Calculateur!CG76*Calculateur!CI76*VLOOKUP('Données projet'!$B$12,Paramètres!$A$1:$I$89,3,0)*0.475*44/12</f>
        <v>25.982719608541764</v>
      </c>
      <c r="CM76" s="23">
        <f>EXP(-LN(2)/2)*CM75+(1-EXP(-LN(2)/2))/(LN(2)/2)*CG76*CJ76*VLOOKUP('Données projet'!$B$12,Paramètres!$A$1:$I$89,3,0)*0.475*44/12</f>
        <v>0</v>
      </c>
      <c r="CN76" s="24">
        <f t="shared" si="66"/>
        <v>44.903856270448657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-5.6843418860808015E-14</v>
      </c>
      <c r="CU76" s="18">
        <f>CT76*VLOOKUP('Données projet'!$B$13,Paramètres!$A$1:$I$89,3,0)*VLOOKUP('Données projet'!$B$13,Paramètres!$A$1:$I$89,5,0)</f>
        <v>-5.1431925385259088E-14</v>
      </c>
      <c r="CV76" s="14" t="e">
        <f t="shared" si="95"/>
        <v>#NUM!</v>
      </c>
      <c r="CW76" s="22" t="e">
        <f t="shared" si="67"/>
        <v>#NUM!</v>
      </c>
      <c r="CX76" s="62" t="e">
        <f t="shared" si="68"/>
        <v>#NUM!</v>
      </c>
      <c r="CY76" s="62">
        <f ca="1">AVERAGE(OFFSET($CX$3,0,0,'Données projet'!$E$13+1,1))-AVERAGE(OFFSET($H$3,0,0,'Données projet'!$E$13+1,1))</f>
        <v>376.68007030857598</v>
      </c>
      <c r="CZ76" s="62">
        <f t="shared" si="96"/>
        <v>532.90758914457626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>
        <f>EXP(-LN(2)/35)*DF75+(1-EXP(-LN(2)/35))/(LN(2)/35)*DB76*DC76*VLOOKUP('Données projet'!$B$13,Paramètres!$A$1:$I$89,3,0)*0.475*44/12</f>
        <v>53.771426067141675</v>
      </c>
      <c r="DG76" s="23">
        <f>EXP(-LN(2)/25)*DG75+(1-EXP(-LN(2)/25))/(LN(2)/25)*Calculateur!DB76*Calculateur!DD76*VLOOKUP('Données projet'!$B$13,Paramètres!$A$1:$I$89,3,0)*0.475*44/12</f>
        <v>3.9765646656940974</v>
      </c>
      <c r="DH76" s="23">
        <f>EXP(-LN(2)/2)*DH75+(1-EXP(-LN(2)/2))/(LN(2)/2)*DB76*DE76*VLOOKUP('Données projet'!$B$13,Paramètres!$A$1:$I$89,3,0)*0.475*44/12</f>
        <v>0</v>
      </c>
      <c r="DI76" s="24">
        <f t="shared" si="69"/>
        <v>57.747990732835774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5.6843418860808015E-14</v>
      </c>
      <c r="DP76" s="18">
        <f>DO76*VLOOKUP('Données projet'!$B$14,Paramètres!$A$1:$I$89,3,0)*VLOOKUP('Données projet'!$B$14,Paramètres!$A$1:$I$89,5,0)</f>
        <v>5.4092197387944907E-14</v>
      </c>
      <c r="DQ76" s="14">
        <f t="shared" si="97"/>
        <v>8.7287050538073676E-13</v>
      </c>
      <c r="DR76" s="22">
        <f t="shared" si="70"/>
        <v>1.6144600406554537E-12</v>
      </c>
      <c r="DS76" s="62">
        <f t="shared" si="71"/>
        <v>267.78278419792338</v>
      </c>
      <c r="DT76" s="62">
        <f ca="1">AVERAGE(OFFSET($DS$3,0,0,'Données projet'!$E$14+1,1))-AVERAGE(OFFSET($H$3,0,0,'Données projet'!$E$14+1,1))</f>
        <v>364.63161066507769</v>
      </c>
      <c r="DU76" s="62">
        <f t="shared" si="98"/>
        <v>355.44729904860708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>
        <f>EXP(-LN(2)/35)*EA75+(1-EXP(-LN(2)/35))/(LN(2)/35)*DW76*DX76*VLOOKUP('Données projet'!$B$14,Paramètres!$A$1:$I$89,3,0)*0.475*44/12</f>
        <v>152.44910068582516</v>
      </c>
      <c r="EB76" s="23">
        <f>EXP(-LN(2)/25)*EB75+(1-EXP(-LN(2)/25))/(LN(2)/25)*Calculateur!DW76*Calculateur!DY76*VLOOKUP('Données projet'!$B$14,Paramètres!$A$1:$I$89,3,0)*0.475*44/12</f>
        <v>0</v>
      </c>
      <c r="EC76" s="23">
        <f>EXP(-LN(2)/2)*EC75+(1-EXP(-LN(2)/2))/(LN(2)/2)*DW76*DZ76*VLOOKUP('Données projet'!$B$14,Paramètres!$A$1:$I$89,3,0)*0.475*44/12</f>
        <v>0</v>
      </c>
      <c r="ED76" s="24">
        <f t="shared" si="72"/>
        <v>152.44910068582516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5.6843418860808015E-14</v>
      </c>
      <c r="EK76" s="18">
        <f>EJ76*VLOOKUP('Données projet'!$B$15,Paramètres!$A$1:$I$89,3,0)*VLOOKUP('Données projet'!$B$15,Paramètres!$A$1:$I$89,5,0)</f>
        <v>4.1677594708744434E-14</v>
      </c>
      <c r="EL76" s="14">
        <f t="shared" si="99"/>
        <v>6.9326303456159188E-13</v>
      </c>
      <c r="EM76" s="22">
        <f t="shared" si="73"/>
        <v>1.2800215959791691E-12</v>
      </c>
      <c r="EN76" s="62">
        <f t="shared" si="74"/>
        <v>267.78278419792309</v>
      </c>
      <c r="EO76" s="62">
        <f ca="1">AVERAGE(OFFSET($EN$3,0,0,'Données projet'!$E$15+1,1))-AVERAGE(OFFSET($H$3,0,0,'Données projet'!$E$15+1,1))</f>
        <v>293.59366973965774</v>
      </c>
      <c r="EP76" s="62">
        <f t="shared" si="100"/>
        <v>288.13804536120426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>
        <f>EXP(-LN(2)/35)*EV75+(1-EXP(-LN(2)/35))/(LN(2)/35)*ER76*ES76*VLOOKUP('Données projet'!$B$15,Paramètres!$A$1:$I$89,3,0)*0.475*44/12</f>
        <v>117.46078249563578</v>
      </c>
      <c r="EW76" s="23">
        <f>EXP(-LN(2)/25)*EW75+(1-EXP(-LN(2)/25))/(LN(2)/25)*Calculateur!ER76*Calculateur!ET76*VLOOKUP('Données projet'!$B$15,Paramètres!$A$1:$I$89,3,0)*0.475*44/12</f>
        <v>0</v>
      </c>
      <c r="EX76" s="23">
        <f>EXP(-LN(2)/2)*EX75+(1-EXP(-LN(2)/2))/(LN(2)/2)*ER76*EU76*VLOOKUP('Données projet'!$B$15,Paramètres!$A$1:$I$89,3,0)*0.475*44/12</f>
        <v>0</v>
      </c>
      <c r="EY76" s="24">
        <f t="shared" si="75"/>
        <v>117.46078249563578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5.6843418860808015E-14</v>
      </c>
      <c r="FF76" s="18">
        <f>FE76*VLOOKUP('Données projet'!$B$16,Paramètres!$A$1:$I$89,3,0)*VLOOKUP('Données projet'!$B$16,Paramètres!$A$1:$I$89,5,0)</f>
        <v>5.4978954722173515E-14</v>
      </c>
      <c r="FG76" s="14">
        <f t="shared" si="101"/>
        <v>8.8550225887742724E-13</v>
      </c>
      <c r="FH76" s="22">
        <f t="shared" si="76"/>
        <v>1.6380047803526383E-12</v>
      </c>
      <c r="FI76" s="62">
        <f t="shared" si="77"/>
        <v>267.78278419792343</v>
      </c>
      <c r="FJ76" s="62">
        <f ca="1">AVERAGE(OFFSET($FI$3,0,0,'Données projet'!$E$16+1,1))-AVERAGE(OFFSET($H$3,0,0,'Données projet'!$E$16+1,1))</f>
        <v>369.69145521630799</v>
      </c>
      <c r="FK76" s="62">
        <f t="shared" si="102"/>
        <v>360.24112103688719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>
        <f>EXP(-LN(2)/35)*FQ75+(1-EXP(-LN(2)/35))/(LN(2)/35)*FM76*FN76*VLOOKUP('Données projet'!$B$16,Paramètres!$A$1:$I$89,3,0)*0.475*44/12</f>
        <v>154.9482662708387</v>
      </c>
      <c r="FR76" s="23">
        <f>EXP(-LN(2)/25)*FR75+(1-EXP(-LN(2)/25))/(LN(2)/25)*Calculateur!FM76*Calculateur!FO76*VLOOKUP('Données projet'!$B$16,Paramètres!$A$1:$I$89,3,0)*0.475*44/12</f>
        <v>0</v>
      </c>
      <c r="FS76" s="23">
        <f>EXP(-LN(2)/2)*FS75+(1-EXP(-LN(2)/2))/(LN(2)/2)*FM76*FP76*VLOOKUP('Données projet'!$B$16,Paramètres!$A$1:$I$89,3,0)*0.475*44/12</f>
        <v>0</v>
      </c>
      <c r="FT76" s="24">
        <f t="shared" si="78"/>
        <v>154.9482662708387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5.6843418860808015E-14</v>
      </c>
      <c r="GA76" s="18">
        <f>FZ76*VLOOKUP('Données projet'!$B$17,Paramètres!$A$1:$I$89,3,0)*VLOOKUP('Données projet'!$B$17,Paramètres!$A$1:$I$89,5,0)</f>
        <v>6.1186256061773749E-14</v>
      </c>
      <c r="GB76" s="14">
        <f t="shared" si="103"/>
        <v>9.7328366192051127E-13</v>
      </c>
      <c r="GC76" s="22">
        <f t="shared" si="79"/>
        <v>1.8017017738191463E-12</v>
      </c>
      <c r="GD76" s="62">
        <f t="shared" si="80"/>
        <v>267.7827841979236</v>
      </c>
      <c r="GE76" s="62">
        <f ca="1">AVERAGE(OFFSET($GD$3,0,0,'Données projet'!$E$17+1,1))-AVERAGE(OFFSET($H$3,0,0,'Données projet'!$E$17+1,1))</f>
        <v>405.06394904053946</v>
      </c>
      <c r="GF76" s="62">
        <f t="shared" si="104"/>
        <v>393.75247087518198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>
        <f>EXP(-LN(2)/35)*GL75+(1-EXP(-LN(2)/35))/(LN(2)/35)*GH76*GI76*VLOOKUP('Données projet'!$B$17,Paramètres!$A$1:$I$89,3,0)*0.475*44/12</f>
        <v>172.44242536593339</v>
      </c>
      <c r="GM76" s="23">
        <f>EXP(-LN(2)/25)*GM75+(1-EXP(-LN(2)/25))/(LN(2)/25)*Calculateur!GH76*Calculateur!GJ76*VLOOKUP('Données projet'!$B$17,Paramètres!$A$1:$I$89,3,0)*0.475*44/12</f>
        <v>0</v>
      </c>
      <c r="GN76" s="23">
        <f>EXP(-LN(2)/2)*GN75+(1-EXP(-LN(2)/2))/(LN(2)/2)*GH76*GK76*VLOOKUP('Données projet'!$B$17,Paramètres!$A$1:$I$89,3,0)*0.475*44/12</f>
        <v>0</v>
      </c>
      <c r="GO76" s="23">
        <f t="shared" si="81"/>
        <v>172.44242536593339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5.6843418860808015E-14</v>
      </c>
      <c r="GV76" s="18">
        <f>GU76*VLOOKUP('Données projet'!$B$18,Paramètres!$A$1:$I$89,3,0)*VLOOKUP('Données projet'!$B$18,Paramètres!$A$1:$I$89,5,0)</f>
        <v>3.813056537183002E-14</v>
      </c>
      <c r="GW76" s="14">
        <f t="shared" si="105"/>
        <v>6.4086286045526829E-13</v>
      </c>
      <c r="GX76" s="22">
        <f t="shared" si="82"/>
        <v>1.1825802166488628E-12</v>
      </c>
      <c r="GY76" s="62">
        <f t="shared" si="83"/>
        <v>267.78278419792298</v>
      </c>
      <c r="GZ76" s="62">
        <f ca="1">AVERAGE(OFFSET($GY$3,0,0,'Données projet'!$E$18+1,1))-AVERAGE(OFFSET($H$3,0,0,'Données projet'!$E$18+1,1))</f>
        <v>273.21861937609918</v>
      </c>
      <c r="HA76" s="62">
        <f t="shared" si="106"/>
        <v>268.83004886965318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>
        <f>EXP(-LN(2)/35)*HG75+(1-EXP(-LN(2)/35))/(LN(2)/35)*HC76*HD76*VLOOKUP('Données projet'!$B$18,Paramètres!$A$1:$I$89,3,0)*0.475*44/12</f>
        <v>132.45577600571698</v>
      </c>
      <c r="HH76" s="23">
        <f>EXP(-LN(2)/25)*HH75+(1-EXP(-LN(2)/25))/(LN(2)/25)*Calculateur!HC76*Calculateur!HE76*VLOOKUP('Données projet'!$B$18,Paramètres!$A$1:$I$89,3,0)*0.475*44/12</f>
        <v>0</v>
      </c>
      <c r="HI76" s="23">
        <f>EXP(-LN(2)/2)*HI75+(1-EXP(-LN(2)/2))/(LN(2)/2)*HC76*HF76*VLOOKUP('Données projet'!$B$18,Paramètres!$A$1:$I$89,3,0)*0.475*44/12</f>
        <v>0</v>
      </c>
      <c r="HJ76" s="24">
        <f t="shared" si="84"/>
        <v>132.45577600571698</v>
      </c>
    </row>
    <row r="77" spans="1:218" s="5" customFormat="1" x14ac:dyDescent="0.4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 t="e">
        <f>VLOOKUP(A77,'Données projet'!$A$35:$I$55,2,0)</f>
        <v>#N/A</v>
      </c>
      <c r="L77" s="13" t="e">
        <f>VLOOKUP(A77,'Données projet'!$A$35:$I$55,9,0)</f>
        <v>#N/A</v>
      </c>
      <c r="M77" s="13">
        <f t="array" ref="M77">INDEX(L:L,MIN(IF(ISNUMBER(L77:L273),ROW(L77:L273),"")))</f>
        <v>5.9</v>
      </c>
      <c r="N77" s="14">
        <f>IF('Données projet'!$A$36&gt;35,N76+M77-V76,IF(A77&lt;'Données projet'!$A$36,$K$205^A77,IF(A77='Données projet'!$A$36,'Données projet'!$B$36,N76+M77-V76)))</f>
        <v>170.40000000000009</v>
      </c>
      <c r="O77" s="14">
        <f>N77*VLOOKUP('Données projet'!$B$9,Paramètres!$A$1:$I$89,3,0)*VLOOKUP('Données projet'!$B$9,Paramètres!$A$1:$I$89,5,0)</f>
        <v>154.17792000000009</v>
      </c>
      <c r="P77" s="14">
        <f t="shared" si="87"/>
        <v>39.526509568829269</v>
      </c>
      <c r="Q77" s="22">
        <f t="shared" si="54"/>
        <v>337.3685481657111</v>
      </c>
      <c r="R77" s="62">
        <f t="shared" si="55"/>
        <v>605.59457726866196</v>
      </c>
      <c r="S77" s="62">
        <f ca="1">AVERAGE(OFFSET($R$3,0,0,'Données projet'!$E$9+1,1))-AVERAGE(OFFSET($H$3,0,0,'Données projet'!$E$9+1,1))</f>
        <v>432.80275651765203</v>
      </c>
      <c r="T77" s="62">
        <f t="shared" si="88"/>
        <v>203.89279893419919</v>
      </c>
      <c r="U77" s="16">
        <f>IF(ISNA(VLOOKUP(A77,'Données projet'!$A$35:$I$55,3,0)),0,VLOOKUP(A77,'Données projet'!$A$35:$I$55,3,0))</f>
        <v>0</v>
      </c>
      <c r="V77" s="16">
        <f>IF(ISNA(VLOOKUP(A77,'Données projet'!$A$35:$I$55,4,0)),0,VLOOKUP(A77,'Données projet'!$A$35:$I$55,4,0))</f>
        <v>0</v>
      </c>
      <c r="W77" s="17">
        <f>IF(ISNA(VLOOKUP(A77,'Données projet'!$A$35:$I$55,5,0)),0%,VLOOKUP(A77,'Données projet'!$A$35:$I$55,5,0)*VLOOKUP('Données projet'!$B$9,Paramètres!$A$1:$I$89,7,0))</f>
        <v>0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</v>
      </c>
      <c r="Z77" s="23">
        <f>EXP(-LN(2)/35)*Z76+(1-EXP(-LN(2)/35))/(LN(2)/35)*V77*W77*VLOOKUP('Données projet'!$B$9,Paramètres!$A$1:$I$89,3,0)*0.475*44/12</f>
        <v>5.919632064662733</v>
      </c>
      <c r="AA77" s="23">
        <f>EXP(-LN(2)/25)*AA76+(1-EXP(-LN(2)/25))/(LN(2)/25)*Calculateur!V77*Calculateur!X77*VLOOKUP('Données projet'!$B$9,Paramètres!$A$1:$I$89,3,0)*0.475*44/12</f>
        <v>4.4981018609298538</v>
      </c>
      <c r="AB77" s="23">
        <f>EXP(-LN(2)/2)*AB76+(1-EXP(-LN(2)/2))/(LN(2)/2)*V77*Y77*VLOOKUP('Données projet'!$B$9,Paramètres!$A$1:$I$89,3,0)*0.475*44/12</f>
        <v>0</v>
      </c>
      <c r="AC77" s="24">
        <f t="shared" si="57"/>
        <v>10.417733925592586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54.000000000000341</v>
      </c>
      <c r="AJ77" s="14">
        <f>AI77*VLOOKUP('Données projet'!$B$10,Paramètres!$A$1:$I$89,3,0)*VLOOKUP('Données projet'!$B$10,Paramètres!$A$1:$I$89,5,0)</f>
        <v>23.868000000000151</v>
      </c>
      <c r="AK77" s="14">
        <f t="shared" si="89"/>
        <v>7.6030930962115804</v>
      </c>
      <c r="AL77" s="22">
        <f t="shared" si="58"/>
        <v>54.812153809235433</v>
      </c>
      <c r="AM77" s="62">
        <f t="shared" si="59"/>
        <v>323.0381829121863</v>
      </c>
      <c r="AN77" s="62">
        <f ca="1">AVERAGE(OFFSET($AM$3,0,0,'Données projet'!$E$10+1,1))-AVERAGE(OFFSET($H$3,0,0,'Données projet'!$E$10+1,1))</f>
        <v>413.08876898406481</v>
      </c>
      <c r="AO77" s="62">
        <f t="shared" si="90"/>
        <v>520.31320932826566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208.2246884604028</v>
      </c>
      <c r="AV77" s="23">
        <f>EXP(-LN(2)/25)*AV76+(1-EXP(-LN(2)/25))/(LN(2)/25)*Calculateur!AQ77*Calculateur!AS77*VLOOKUP('Données projet'!$B$10,Paramètres!$A$1:$I$89,3,0)*0.475*44/12</f>
        <v>13.686892262938466</v>
      </c>
      <c r="AW77" s="23">
        <f>EXP(-LN(2)/2)*AW76+(1-EXP(-LN(2)/2))/(LN(2)/2)*AQ77*AT77*VLOOKUP('Données projet'!$B$10,Paramètres!$A$1:$I$89,3,0)*0.475*44/12</f>
        <v>1.7384708649738988E-4</v>
      </c>
      <c r="AX77" s="23">
        <f t="shared" si="60"/>
        <v>221.91175457042777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0</v>
      </c>
      <c r="BD77" s="13">
        <f>IF('Données projet'!$A$88&gt;35,BD76+BC77-BL76,IF(A77&lt;'Données projet'!$A$88,$BA$205^A77,IF(A77='Données projet'!$A$88,'Données projet'!$B$88,BD76+BC77-BL76)))</f>
        <v>54.000000000000341</v>
      </c>
      <c r="BE77" s="14">
        <f>BD77*VLOOKUP('Données projet'!$B$11,Paramètres!$A$1:$I$89,3,0)*VLOOKUP('Données projet'!$B$11,Paramètres!$A$1:$I$89,5,0)</f>
        <v>30.186000000000188</v>
      </c>
      <c r="BF77" s="14">
        <f t="shared" si="91"/>
        <v>9.3563888882899153</v>
      </c>
      <c r="BG77" s="22">
        <f t="shared" si="61"/>
        <v>68.869660647105263</v>
      </c>
      <c r="BH77" s="62">
        <f t="shared" si="62"/>
        <v>337.09568975005612</v>
      </c>
      <c r="BI77" s="62">
        <f ca="1">AVERAGE(OFFSET($BH$3,0,0,'Données projet'!$E$11+1,1))-AVERAGE(OFFSET($H$3,0,0,'Données projet'!$E$11+1,1))</f>
        <v>507.66185230065889</v>
      </c>
      <c r="BJ77" s="62">
        <f t="shared" si="92"/>
        <v>640.14375617778342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263.34298834697995</v>
      </c>
      <c r="BQ77" s="23">
        <f>EXP(-LN(2)/25)*BQ76+(1-EXP(-LN(2)/25))/(LN(2)/25)*Calculateur!BL77*Calculateur!BN77*VLOOKUP('Données projet'!$B$11,Paramètres!$A$1:$I$89,3,0)*0.475*44/12</f>
        <v>17.309893156069247</v>
      </c>
      <c r="BR77" s="23">
        <f>EXP(-LN(2)/2)*BR76+(1-EXP(-LN(2)/2))/(LN(2)/2)*BL77*BO77*VLOOKUP('Données projet'!$B$11,Paramètres!$A$1:$I$89,3,0)*0.475*44/12</f>
        <v>2.1986543292316969E-4</v>
      </c>
      <c r="BS77" s="24">
        <f t="shared" si="63"/>
        <v>280.65310136848211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12.473670769999995</v>
      </c>
      <c r="BY77" s="13">
        <f>IF('Données projet'!$A$114&gt;35,BY76+BX77-CG76,IF(A77&lt;'Données projet'!$A$114,$BV$205^A77,IF(A77='Données projet'!$A$114,'Données projet'!$B$114,BY76+BX77-CG76)))</f>
        <v>327.35395947999996</v>
      </c>
      <c r="BZ77" s="14">
        <f>BY77*VLOOKUP('Données projet'!$B$12,Paramètres!$A$1:$I$89,3,0)*VLOOKUP('Données projet'!$B$12,Paramètres!$A$1:$I$89,5,0)</f>
        <v>153.20165303663998</v>
      </c>
      <c r="CA77" s="14">
        <f t="shared" si="93"/>
        <v>39.305276022402737</v>
      </c>
      <c r="CB77" s="22">
        <f t="shared" si="64"/>
        <v>335.28290144449937</v>
      </c>
      <c r="CC77" s="62">
        <f t="shared" si="65"/>
        <v>603.50893054745029</v>
      </c>
      <c r="CD77" s="62">
        <f ca="1">AVERAGE(OFFSET($CC$3,0,0,'Données projet'!$E$12+1,1))-AVERAGE(OFFSET($H$3,0,0,'Données projet'!$E$12+1,1))</f>
        <v>289.21044803824958</v>
      </c>
      <c r="CE77" s="62">
        <f t="shared" si="94"/>
        <v>196.11836398299445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>
        <f>EXP(-LN(2)/35)*CK76+(1-EXP(-LN(2)/35))/(LN(2)/35)*CG77*CH77*VLOOKUP('Données projet'!$B$12,Paramètres!$A$1:$I$89,3,0)*0.475*44/12</f>
        <v>18.55010471272071</v>
      </c>
      <c r="CL77" s="23">
        <f>EXP(-LN(2)/25)*CL76+(1-EXP(-LN(2)/25))/(LN(2)/25)*Calculateur!CG77*Calculateur!CI77*VLOOKUP('Données projet'!$B$12,Paramètres!$A$1:$I$89,3,0)*0.475*44/12</f>
        <v>25.272220774474349</v>
      </c>
      <c r="CM77" s="23">
        <f>EXP(-LN(2)/2)*CM76+(1-EXP(-LN(2)/2))/(LN(2)/2)*CG77*CJ77*VLOOKUP('Données projet'!$B$12,Paramètres!$A$1:$I$89,3,0)*0.475*44/12</f>
        <v>0</v>
      </c>
      <c r="CN77" s="24">
        <f t="shared" si="66"/>
        <v>43.822325487195059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-5.6843418860808015E-14</v>
      </c>
      <c r="CU77" s="18">
        <f>CT77*VLOOKUP('Données projet'!$B$13,Paramètres!$A$1:$I$89,3,0)*VLOOKUP('Données projet'!$B$13,Paramètres!$A$1:$I$89,5,0)</f>
        <v>-5.1431925385259088E-14</v>
      </c>
      <c r="CV77" s="14" t="e">
        <f t="shared" si="95"/>
        <v>#NUM!</v>
      </c>
      <c r="CW77" s="22" t="e">
        <f t="shared" si="67"/>
        <v>#NUM!</v>
      </c>
      <c r="CX77" s="62" t="e">
        <f t="shared" si="68"/>
        <v>#NUM!</v>
      </c>
      <c r="CY77" s="62">
        <f ca="1">AVERAGE(OFFSET($CX$3,0,0,'Données projet'!$E$13+1,1))-AVERAGE(OFFSET($H$3,0,0,'Données projet'!$E$13+1,1))</f>
        <v>376.68007030857598</v>
      </c>
      <c r="CZ77" s="62">
        <f t="shared" si="96"/>
        <v>532.90758914457626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>
        <f>EXP(-LN(2)/35)*DF76+(1-EXP(-LN(2)/35))/(LN(2)/35)*DB77*DC77*VLOOKUP('Données projet'!$B$13,Paramètres!$A$1:$I$89,3,0)*0.475*44/12</f>
        <v>52.717001199296462</v>
      </c>
      <c r="DG77" s="23">
        <f>EXP(-LN(2)/25)*DG76+(1-EXP(-LN(2)/25))/(LN(2)/25)*Calculateur!DB77*Calculateur!DD77*VLOOKUP('Données projet'!$B$13,Paramètres!$A$1:$I$89,3,0)*0.475*44/12</f>
        <v>3.8678252957922452</v>
      </c>
      <c r="DH77" s="23">
        <f>EXP(-LN(2)/2)*DH76+(1-EXP(-LN(2)/2))/(LN(2)/2)*DB77*DE77*VLOOKUP('Données projet'!$B$13,Paramètres!$A$1:$I$89,3,0)*0.475*44/12</f>
        <v>0</v>
      </c>
      <c r="DI77" s="24">
        <f t="shared" si="69"/>
        <v>56.584826495088706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5.6843418860808015E-14</v>
      </c>
      <c r="DP77" s="18">
        <f>DO77*VLOOKUP('Données projet'!$B$14,Paramètres!$A$1:$I$89,3,0)*VLOOKUP('Données projet'!$B$14,Paramètres!$A$1:$I$89,5,0)</f>
        <v>5.4092197387944907E-14</v>
      </c>
      <c r="DQ77" s="14">
        <f t="shared" si="97"/>
        <v>8.7287050538073676E-13</v>
      </c>
      <c r="DR77" s="22">
        <f t="shared" si="70"/>
        <v>1.6144600406554537E-12</v>
      </c>
      <c r="DS77" s="62">
        <f t="shared" si="71"/>
        <v>268.22602910295245</v>
      </c>
      <c r="DT77" s="62">
        <f ca="1">AVERAGE(OFFSET($DS$3,0,0,'Données projet'!$E$14+1,1))-AVERAGE(OFFSET($H$3,0,0,'Données projet'!$E$14+1,1))</f>
        <v>364.63161066507769</v>
      </c>
      <c r="DU77" s="62">
        <f t="shared" si="98"/>
        <v>355.44729904860708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>
        <f>EXP(-LN(2)/35)*EA76+(1-EXP(-LN(2)/35))/(LN(2)/35)*DW77*DX77*VLOOKUP('Données projet'!$B$14,Paramètres!$A$1:$I$89,3,0)*0.475*44/12</f>
        <v>149.45966680614606</v>
      </c>
      <c r="EB77" s="23">
        <f>EXP(-LN(2)/25)*EB76+(1-EXP(-LN(2)/25))/(LN(2)/25)*Calculateur!DW77*Calculateur!DY77*VLOOKUP('Données projet'!$B$14,Paramètres!$A$1:$I$89,3,0)*0.475*44/12</f>
        <v>0</v>
      </c>
      <c r="EC77" s="23">
        <f>EXP(-LN(2)/2)*EC76+(1-EXP(-LN(2)/2))/(LN(2)/2)*DW77*DZ77*VLOOKUP('Données projet'!$B$14,Paramètres!$A$1:$I$89,3,0)*0.475*44/12</f>
        <v>0</v>
      </c>
      <c r="ED77" s="24">
        <f t="shared" si="72"/>
        <v>149.45966680614606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5.6843418860808015E-14</v>
      </c>
      <c r="EK77" s="18">
        <f>EJ77*VLOOKUP('Données projet'!$B$15,Paramètres!$A$1:$I$89,3,0)*VLOOKUP('Données projet'!$B$15,Paramètres!$A$1:$I$89,5,0)</f>
        <v>4.1677594708744434E-14</v>
      </c>
      <c r="EL77" s="14">
        <f t="shared" si="99"/>
        <v>6.9326303456159188E-13</v>
      </c>
      <c r="EM77" s="22">
        <f t="shared" si="73"/>
        <v>1.2800215959791691E-12</v>
      </c>
      <c r="EN77" s="62">
        <f t="shared" si="74"/>
        <v>268.22602910295217</v>
      </c>
      <c r="EO77" s="62">
        <f ca="1">AVERAGE(OFFSET($EN$3,0,0,'Données projet'!$E$15+1,1))-AVERAGE(OFFSET($H$3,0,0,'Données projet'!$E$15+1,1))</f>
        <v>293.59366973965774</v>
      </c>
      <c r="EP77" s="62">
        <f t="shared" si="100"/>
        <v>288.13804536120426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>
        <f>EXP(-LN(2)/35)*EV76+(1-EXP(-LN(2)/35))/(LN(2)/35)*ER77*ES77*VLOOKUP('Données projet'!$B$15,Paramètres!$A$1:$I$89,3,0)*0.475*44/12</f>
        <v>115.15744819489943</v>
      </c>
      <c r="EW77" s="23">
        <f>EXP(-LN(2)/25)*EW76+(1-EXP(-LN(2)/25))/(LN(2)/25)*Calculateur!ER77*Calculateur!ET77*VLOOKUP('Données projet'!$B$15,Paramètres!$A$1:$I$89,3,0)*0.475*44/12</f>
        <v>0</v>
      </c>
      <c r="EX77" s="23">
        <f>EXP(-LN(2)/2)*EX76+(1-EXP(-LN(2)/2))/(LN(2)/2)*ER77*EU77*VLOOKUP('Données projet'!$B$15,Paramètres!$A$1:$I$89,3,0)*0.475*44/12</f>
        <v>0</v>
      </c>
      <c r="EY77" s="24">
        <f t="shared" si="75"/>
        <v>115.15744819489943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5.6843418860808015E-14</v>
      </c>
      <c r="FF77" s="18">
        <f>FE77*VLOOKUP('Données projet'!$B$16,Paramètres!$A$1:$I$89,3,0)*VLOOKUP('Données projet'!$B$16,Paramètres!$A$1:$I$89,5,0)</f>
        <v>5.4978954722173515E-14</v>
      </c>
      <c r="FG77" s="14">
        <f t="shared" si="101"/>
        <v>8.8550225887742724E-13</v>
      </c>
      <c r="FH77" s="22">
        <f t="shared" si="76"/>
        <v>1.6380047803526383E-12</v>
      </c>
      <c r="FI77" s="62">
        <f t="shared" si="77"/>
        <v>268.22602910295251</v>
      </c>
      <c r="FJ77" s="62">
        <f ca="1">AVERAGE(OFFSET($FI$3,0,0,'Données projet'!$E$16+1,1))-AVERAGE(OFFSET($H$3,0,0,'Données projet'!$E$16+1,1))</f>
        <v>369.69145521630799</v>
      </c>
      <c r="FK77" s="62">
        <f t="shared" si="102"/>
        <v>360.24112103688719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>
        <f>EXP(-LN(2)/35)*FQ76+(1-EXP(-LN(2)/35))/(LN(2)/35)*FM77*FN77*VLOOKUP('Données projet'!$B$16,Paramètres!$A$1:$I$89,3,0)*0.475*44/12</f>
        <v>151.90982527837798</v>
      </c>
      <c r="FR77" s="23">
        <f>EXP(-LN(2)/25)*FR76+(1-EXP(-LN(2)/25))/(LN(2)/25)*Calculateur!FM77*Calculateur!FO77*VLOOKUP('Données projet'!$B$16,Paramètres!$A$1:$I$89,3,0)*0.475*44/12</f>
        <v>0</v>
      </c>
      <c r="FS77" s="23">
        <f>EXP(-LN(2)/2)*FS76+(1-EXP(-LN(2)/2))/(LN(2)/2)*FM77*FP77*VLOOKUP('Données projet'!$B$16,Paramètres!$A$1:$I$89,3,0)*0.475*44/12</f>
        <v>0</v>
      </c>
      <c r="FT77" s="24">
        <f t="shared" si="78"/>
        <v>151.90982527837798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5.6843418860808015E-14</v>
      </c>
      <c r="GA77" s="18">
        <f>FZ77*VLOOKUP('Données projet'!$B$17,Paramètres!$A$1:$I$89,3,0)*VLOOKUP('Données projet'!$B$17,Paramètres!$A$1:$I$89,5,0)</f>
        <v>6.1186256061773749E-14</v>
      </c>
      <c r="GB77" s="14">
        <f t="shared" si="103"/>
        <v>9.7328366192051127E-13</v>
      </c>
      <c r="GC77" s="22">
        <f t="shared" si="79"/>
        <v>1.8017017738191463E-12</v>
      </c>
      <c r="GD77" s="62">
        <f t="shared" si="80"/>
        <v>268.22602910295268</v>
      </c>
      <c r="GE77" s="62">
        <f ca="1">AVERAGE(OFFSET($GD$3,0,0,'Données projet'!$E$17+1,1))-AVERAGE(OFFSET($H$3,0,0,'Données projet'!$E$17+1,1))</f>
        <v>405.06394904053946</v>
      </c>
      <c r="GF77" s="62">
        <f t="shared" si="104"/>
        <v>393.75247087518198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>
        <f>EXP(-LN(2)/35)*GL76+(1-EXP(-LN(2)/35))/(LN(2)/35)*GH77*GI77*VLOOKUP('Données projet'!$B$17,Paramètres!$A$1:$I$89,3,0)*0.475*44/12</f>
        <v>169.0609345840013</v>
      </c>
      <c r="GM77" s="23">
        <f>EXP(-LN(2)/25)*GM76+(1-EXP(-LN(2)/25))/(LN(2)/25)*Calculateur!GH77*Calculateur!GJ77*VLOOKUP('Données projet'!$B$17,Paramètres!$A$1:$I$89,3,0)*0.475*44/12</f>
        <v>0</v>
      </c>
      <c r="GN77" s="23">
        <f>EXP(-LN(2)/2)*GN76+(1-EXP(-LN(2)/2))/(LN(2)/2)*GH77*GK77*VLOOKUP('Données projet'!$B$17,Paramètres!$A$1:$I$89,3,0)*0.475*44/12</f>
        <v>0</v>
      </c>
      <c r="GO77" s="23">
        <f t="shared" si="81"/>
        <v>169.0609345840013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5.6843418860808015E-14</v>
      </c>
      <c r="GV77" s="18">
        <f>GU77*VLOOKUP('Données projet'!$B$18,Paramètres!$A$1:$I$89,3,0)*VLOOKUP('Données projet'!$B$18,Paramètres!$A$1:$I$89,5,0)</f>
        <v>3.813056537183002E-14</v>
      </c>
      <c r="GW77" s="14">
        <f t="shared" si="105"/>
        <v>6.4086286045526829E-13</v>
      </c>
      <c r="GX77" s="22">
        <f t="shared" si="82"/>
        <v>1.1825802166488628E-12</v>
      </c>
      <c r="GY77" s="62">
        <f t="shared" si="83"/>
        <v>268.22602910295205</v>
      </c>
      <c r="GZ77" s="62">
        <f ca="1">AVERAGE(OFFSET($GY$3,0,0,'Données projet'!$E$18+1,1))-AVERAGE(OFFSET($H$3,0,0,'Données projet'!$E$18+1,1))</f>
        <v>273.21861937609918</v>
      </c>
      <c r="HA77" s="62">
        <f t="shared" si="106"/>
        <v>268.83004886965318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>
        <f>EXP(-LN(2)/35)*HG76+(1-EXP(-LN(2)/35))/(LN(2)/35)*HC77*HD77*VLOOKUP('Données projet'!$B$18,Paramètres!$A$1:$I$89,3,0)*0.475*44/12</f>
        <v>129.85839902829088</v>
      </c>
      <c r="HH77" s="23">
        <f>EXP(-LN(2)/25)*HH76+(1-EXP(-LN(2)/25))/(LN(2)/25)*Calculateur!HC77*Calculateur!HE77*VLOOKUP('Données projet'!$B$18,Paramètres!$A$1:$I$89,3,0)*0.475*44/12</f>
        <v>0</v>
      </c>
      <c r="HI77" s="23">
        <f>EXP(-LN(2)/2)*HI76+(1-EXP(-LN(2)/2))/(LN(2)/2)*HC77*HF77*VLOOKUP('Données projet'!$B$18,Paramètres!$A$1:$I$89,3,0)*0.475*44/12</f>
        <v>0</v>
      </c>
      <c r="HJ77" s="24">
        <f t="shared" si="84"/>
        <v>129.85839902829088</v>
      </c>
    </row>
    <row r="78" spans="1:218" s="5" customFormat="1" x14ac:dyDescent="0.4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5.9</v>
      </c>
      <c r="N78" s="14">
        <f>IF('Données projet'!$A$36&gt;35,N77+M78-V77,IF(A78&lt;'Données projet'!$A$36,$K$205^A78,IF(A78='Données projet'!$A$36,'Données projet'!$B$36,N77+M78-V77)))</f>
        <v>176.3000000000001</v>
      </c>
      <c r="O78" s="14">
        <f>N78*VLOOKUP('Données projet'!$B$9,Paramètres!$A$1:$I$89,3,0)*VLOOKUP('Données projet'!$B$9,Paramètres!$A$1:$I$89,5,0)</f>
        <v>159.51624000000007</v>
      </c>
      <c r="P78" s="14">
        <f t="shared" si="87"/>
        <v>40.733382766285203</v>
      </c>
      <c r="Q78" s="22">
        <f t="shared" si="54"/>
        <v>348.76809298461347</v>
      </c>
      <c r="R78" s="62">
        <f t="shared" si="55"/>
        <v>617.42967768443827</v>
      </c>
      <c r="S78" s="62">
        <f ca="1">AVERAGE(OFFSET($R$3,0,0,'Données projet'!$E$9+1,1))-AVERAGE(OFFSET($H$3,0,0,'Données projet'!$E$9+1,1))</f>
        <v>432.80275651765203</v>
      </c>
      <c r="T78" s="62">
        <f t="shared" si="88"/>
        <v>203.89279893419919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5.8035516904937374</v>
      </c>
      <c r="AA78" s="23">
        <f>EXP(-LN(2)/25)*AA77+(1-EXP(-LN(2)/25))/(LN(2)/25)*Calculateur!V78*Calculateur!X78*VLOOKUP('Données projet'!$B$9,Paramètres!$A$1:$I$89,3,0)*0.475*44/12</f>
        <v>4.3751010289978307</v>
      </c>
      <c r="AB78" s="23">
        <f>EXP(-LN(2)/2)*AB77+(1-EXP(-LN(2)/2))/(LN(2)/2)*V78*Y78*VLOOKUP('Données projet'!$B$9,Paramètres!$A$1:$I$89,3,0)*0.475*44/12</f>
        <v>0</v>
      </c>
      <c r="AC78" s="24">
        <f t="shared" si="57"/>
        <v>10.178652719491568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54.000000000000341</v>
      </c>
      <c r="AJ78" s="14">
        <f>AI78*VLOOKUP('Données projet'!$B$10,Paramètres!$A$1:$I$89,3,0)*VLOOKUP('Données projet'!$B$10,Paramètres!$A$1:$I$89,5,0)</f>
        <v>23.868000000000151</v>
      </c>
      <c r="AK78" s="14">
        <f t="shared" si="89"/>
        <v>7.6030930962115804</v>
      </c>
      <c r="AL78" s="22">
        <f t="shared" si="58"/>
        <v>54.812153809235433</v>
      </c>
      <c r="AM78" s="62">
        <f t="shared" si="59"/>
        <v>323.47373850906024</v>
      </c>
      <c r="AN78" s="62">
        <f ca="1">AVERAGE(OFFSET($AM$3,0,0,'Données projet'!$E$10+1,1))-AVERAGE(OFFSET($H$3,0,0,'Données projet'!$E$10+1,1))</f>
        <v>413.08876898406481</v>
      </c>
      <c r="AO78" s="62">
        <f t="shared" si="90"/>
        <v>520.31320932826566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204.14152932421362</v>
      </c>
      <c r="AV78" s="23">
        <f>EXP(-LN(2)/25)*AV77+(1-EXP(-LN(2)/25))/(LN(2)/25)*Calculateur!AQ78*Calculateur!AS78*VLOOKUP('Données projet'!$B$10,Paramètres!$A$1:$I$89,3,0)*0.475*44/12</f>
        <v>13.312623474246031</v>
      </c>
      <c r="AW78" s="23">
        <f>EXP(-LN(2)/2)*AW77+(1-EXP(-LN(2)/2))/(LN(2)/2)*AQ78*AT78*VLOOKUP('Données projet'!$B$10,Paramètres!$A$1:$I$89,3,0)*0.475*44/12</f>
        <v>1.2292845375182866E-4</v>
      </c>
      <c r="AX78" s="23">
        <f t="shared" si="60"/>
        <v>217.45427572691341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 t="e">
        <f>VLOOKUP(A78,'Données projet'!$A$87:$I$107,2,0)</f>
        <v>#N/A</v>
      </c>
      <c r="BB78" s="13" t="e">
        <f>VLOOKUP(A78,'Données projet'!$A$87:$I$107,9,0)</f>
        <v>#N/A</v>
      </c>
      <c r="BC78" s="13">
        <f t="array" ref="BC78">INDEX(BB:BB,MIN(IF(ISNUMBER(BB78:BB274),ROW(BB78:BB274),"")))</f>
        <v>0</v>
      </c>
      <c r="BD78" s="13">
        <f>IF('Données projet'!$A$88&gt;35,BD77+BC78-BL77,IF(A78&lt;'Données projet'!$A$88,$BA$205^A78,IF(A78='Données projet'!$A$88,'Données projet'!$B$88,BD77+BC78-BL77)))</f>
        <v>54.000000000000341</v>
      </c>
      <c r="BE78" s="14">
        <f>BD78*VLOOKUP('Données projet'!$B$11,Paramètres!$A$1:$I$89,3,0)*VLOOKUP('Données projet'!$B$11,Paramètres!$A$1:$I$89,5,0)</f>
        <v>30.186000000000188</v>
      </c>
      <c r="BF78" s="14">
        <f t="shared" si="91"/>
        <v>9.3563888882899153</v>
      </c>
      <c r="BG78" s="22">
        <f t="shared" si="61"/>
        <v>68.869660647105263</v>
      </c>
      <c r="BH78" s="62">
        <f t="shared" si="62"/>
        <v>337.53124534693006</v>
      </c>
      <c r="BI78" s="62">
        <f ca="1">AVERAGE(OFFSET($BH$3,0,0,'Données projet'!$E$11+1,1))-AVERAGE(OFFSET($H$3,0,0,'Données projet'!$E$11+1,1))</f>
        <v>507.66185230065889</v>
      </c>
      <c r="BJ78" s="62">
        <f t="shared" si="92"/>
        <v>640.14375617778342</v>
      </c>
      <c r="BK78" s="16">
        <f>IF(ISNA(VLOOKUP(A78,'Données projet'!$A$87:$I$107,3,0)),0,VLOOKUP(A78,'Données projet'!$A$87:$I$107,3,0))</f>
        <v>0</v>
      </c>
      <c r="BL78" s="16">
        <f>IF(ISNA(VLOOKUP(A78,'Données projet'!$A$87:$I$107,4,0)),0,VLOOKUP(A78,'Données projet'!$A$87:$I$107,4,0))</f>
        <v>0</v>
      </c>
      <c r="BM78" s="17">
        <f>IF(ISNA(VLOOKUP(A78,'Données projet'!$A$87:$I$107,5,0)),0%,VLOOKUP(A78,'Données projet'!$A$87:$I$107,5,0)*VLOOKUP('Données projet'!$B$11,Paramètres!$A$1:$I$89,7,0))</f>
        <v>0</v>
      </c>
      <c r="BN78" s="17">
        <f>IF(ISNA(VLOOKUP(A78,'Données projet'!$A$87:$I$107,6,0)),0%,VLOOKUP(A78,'Données projet'!$A$87:$I$107,6,0)*VLOOKUP('Données projet'!$B$11,Paramètres!$A$1:$I$89,7,0))</f>
        <v>0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258.17899296885832</v>
      </c>
      <c r="BQ78" s="23">
        <f>EXP(-LN(2)/25)*BQ77+(1-EXP(-LN(2)/25))/(LN(2)/25)*Calculateur!BL78*Calculateur!BN78*VLOOKUP('Données projet'!$B$11,Paramètres!$A$1:$I$89,3,0)*0.475*44/12</f>
        <v>16.836553217428815</v>
      </c>
      <c r="BR78" s="23">
        <f>EXP(-LN(2)/2)*BR77+(1-EXP(-LN(2)/2))/(LN(2)/2)*BL78*BO78*VLOOKUP('Données projet'!$B$11,Paramètres!$A$1:$I$89,3,0)*0.475*44/12</f>
        <v>1.5546833856848929E-4</v>
      </c>
      <c r="BS78" s="24">
        <f t="shared" si="63"/>
        <v>275.01570165462567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12.473670769999995</v>
      </c>
      <c r="BY78" s="13">
        <f>IF('Données projet'!$A$114&gt;35,BY77+BX78-CG77,IF(A78&lt;'Données projet'!$A$114,$BV$205^A78,IF(A78='Données projet'!$A$114,'Données projet'!$B$114,BY77+BX78-CG77)))</f>
        <v>339.82763024999997</v>
      </c>
      <c r="BZ78" s="14">
        <f>BY78*VLOOKUP('Données projet'!$B$12,Paramètres!$A$1:$I$89,3,0)*VLOOKUP('Données projet'!$B$12,Paramètres!$A$1:$I$89,5,0)</f>
        <v>159.03933095699998</v>
      </c>
      <c r="CA78" s="14">
        <f t="shared" si="93"/>
        <v>40.625757934837438</v>
      </c>
      <c r="CB78" s="22">
        <f t="shared" si="64"/>
        <v>347.75002981995004</v>
      </c>
      <c r="CC78" s="62">
        <f t="shared" si="65"/>
        <v>616.41161451977484</v>
      </c>
      <c r="CD78" s="62">
        <f ca="1">AVERAGE(OFFSET($CC$3,0,0,'Données projet'!$E$12+1,1))-AVERAGE(OFFSET($H$3,0,0,'Données projet'!$E$12+1,1))</f>
        <v>289.21044803824958</v>
      </c>
      <c r="CE78" s="62">
        <f t="shared" si="94"/>
        <v>196.11836398299445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>
        <f>EXP(-LN(2)/35)*CK77+(1-EXP(-LN(2)/35))/(LN(2)/35)*CG78*CH78*VLOOKUP('Données projet'!$B$12,Paramètres!$A$1:$I$89,3,0)*0.475*44/12</f>
        <v>18.186348473750922</v>
      </c>
      <c r="CL78" s="23">
        <f>EXP(-LN(2)/25)*CL77+(1-EXP(-LN(2)/25))/(LN(2)/25)*Calculateur!CG78*Calculateur!CI78*VLOOKUP('Données projet'!$B$12,Paramètres!$A$1:$I$89,3,0)*0.475*44/12</f>
        <v>24.581150568388018</v>
      </c>
      <c r="CM78" s="23">
        <f>EXP(-LN(2)/2)*CM77+(1-EXP(-LN(2)/2))/(LN(2)/2)*CG78*CJ78*VLOOKUP('Données projet'!$B$12,Paramètres!$A$1:$I$89,3,0)*0.475*44/12</f>
        <v>0</v>
      </c>
      <c r="CN78" s="24">
        <f t="shared" si="66"/>
        <v>42.767499042138937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-5.6843418860808015E-14</v>
      </c>
      <c r="CU78" s="18">
        <f>CT78*VLOOKUP('Données projet'!$B$13,Paramètres!$A$1:$I$89,3,0)*VLOOKUP('Données projet'!$B$13,Paramètres!$A$1:$I$89,5,0)</f>
        <v>-5.1431925385259088E-14</v>
      </c>
      <c r="CV78" s="14" t="e">
        <f t="shared" si="95"/>
        <v>#NUM!</v>
      </c>
      <c r="CW78" s="22" t="e">
        <f t="shared" si="67"/>
        <v>#NUM!</v>
      </c>
      <c r="CX78" s="62" t="e">
        <f t="shared" si="68"/>
        <v>#NUM!</v>
      </c>
      <c r="CY78" s="62">
        <f ca="1">AVERAGE(OFFSET($CX$3,0,0,'Données projet'!$E$13+1,1))-AVERAGE(OFFSET($H$3,0,0,'Données projet'!$E$13+1,1))</f>
        <v>376.68007030857598</v>
      </c>
      <c r="CZ78" s="62">
        <f t="shared" si="96"/>
        <v>532.90758914457626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>
        <f>EXP(-LN(2)/35)*DF77+(1-EXP(-LN(2)/35))/(LN(2)/35)*DB78*DC78*VLOOKUP('Données projet'!$B$13,Paramètres!$A$1:$I$89,3,0)*0.475*44/12</f>
        <v>51.683252959974027</v>
      </c>
      <c r="DG78" s="23">
        <f>EXP(-LN(2)/25)*DG77+(1-EXP(-LN(2)/25))/(LN(2)/25)*Calculateur!DB78*Calculateur!DD78*VLOOKUP('Données projet'!$B$13,Paramètres!$A$1:$I$89,3,0)*0.475*44/12</f>
        <v>3.7620594096787139</v>
      </c>
      <c r="DH78" s="23">
        <f>EXP(-LN(2)/2)*DH77+(1-EXP(-LN(2)/2))/(LN(2)/2)*DB78*DE78*VLOOKUP('Données projet'!$B$13,Paramètres!$A$1:$I$89,3,0)*0.475*44/12</f>
        <v>0</v>
      </c>
      <c r="DI78" s="24">
        <f t="shared" si="69"/>
        <v>55.44531236965274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5.6843418860808015E-14</v>
      </c>
      <c r="DP78" s="18">
        <f>DO78*VLOOKUP('Données projet'!$B$14,Paramètres!$A$1:$I$89,3,0)*VLOOKUP('Données projet'!$B$14,Paramètres!$A$1:$I$89,5,0)</f>
        <v>5.4092197387944907E-14</v>
      </c>
      <c r="DQ78" s="14">
        <f t="shared" si="97"/>
        <v>8.7287050538073676E-13</v>
      </c>
      <c r="DR78" s="22">
        <f t="shared" si="70"/>
        <v>1.6144600406554537E-12</v>
      </c>
      <c r="DS78" s="62">
        <f t="shared" si="71"/>
        <v>268.66158469982639</v>
      </c>
      <c r="DT78" s="62">
        <f ca="1">AVERAGE(OFFSET($DS$3,0,0,'Données projet'!$E$14+1,1))-AVERAGE(OFFSET($H$3,0,0,'Données projet'!$E$14+1,1))</f>
        <v>364.63161066507769</v>
      </c>
      <c r="DU78" s="62">
        <f t="shared" si="98"/>
        <v>355.44729904860708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>
        <f>EXP(-LN(2)/35)*EA77+(1-EXP(-LN(2)/35))/(LN(2)/35)*DW78*DX78*VLOOKUP('Données projet'!$B$14,Paramètres!$A$1:$I$89,3,0)*0.475*44/12</f>
        <v>146.52885390147284</v>
      </c>
      <c r="EB78" s="23">
        <f>EXP(-LN(2)/25)*EB77+(1-EXP(-LN(2)/25))/(LN(2)/25)*Calculateur!DW78*Calculateur!DY78*VLOOKUP('Données projet'!$B$14,Paramètres!$A$1:$I$89,3,0)*0.475*44/12</f>
        <v>0</v>
      </c>
      <c r="EC78" s="23">
        <f>EXP(-LN(2)/2)*EC77+(1-EXP(-LN(2)/2))/(LN(2)/2)*DW78*DZ78*VLOOKUP('Données projet'!$B$14,Paramètres!$A$1:$I$89,3,0)*0.475*44/12</f>
        <v>0</v>
      </c>
      <c r="ED78" s="24">
        <f t="shared" si="72"/>
        <v>146.52885390147284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5.6843418860808015E-14</v>
      </c>
      <c r="EK78" s="18">
        <f>EJ78*VLOOKUP('Données projet'!$B$15,Paramètres!$A$1:$I$89,3,0)*VLOOKUP('Données projet'!$B$15,Paramètres!$A$1:$I$89,5,0)</f>
        <v>4.1677594708744434E-14</v>
      </c>
      <c r="EL78" s="14">
        <f t="shared" si="99"/>
        <v>6.9326303456159188E-13</v>
      </c>
      <c r="EM78" s="22">
        <f t="shared" si="73"/>
        <v>1.2800215959791691E-12</v>
      </c>
      <c r="EN78" s="62">
        <f t="shared" si="74"/>
        <v>268.66158469982611</v>
      </c>
      <c r="EO78" s="62">
        <f ca="1">AVERAGE(OFFSET($EN$3,0,0,'Données projet'!$E$15+1,1))-AVERAGE(OFFSET($H$3,0,0,'Données projet'!$E$15+1,1))</f>
        <v>293.59366973965774</v>
      </c>
      <c r="EP78" s="62">
        <f t="shared" si="100"/>
        <v>288.13804536120426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>
        <f>EXP(-LN(2)/35)*EV77+(1-EXP(-LN(2)/35))/(LN(2)/35)*ER78*ES78*VLOOKUP('Données projet'!$B$15,Paramètres!$A$1:$I$89,3,0)*0.475*44/12</f>
        <v>112.89928087490532</v>
      </c>
      <c r="EW78" s="23">
        <f>EXP(-LN(2)/25)*EW77+(1-EXP(-LN(2)/25))/(LN(2)/25)*Calculateur!ER78*Calculateur!ET78*VLOOKUP('Données projet'!$B$15,Paramètres!$A$1:$I$89,3,0)*0.475*44/12</f>
        <v>0</v>
      </c>
      <c r="EX78" s="23">
        <f>EXP(-LN(2)/2)*EX77+(1-EXP(-LN(2)/2))/(LN(2)/2)*ER78*EU78*VLOOKUP('Données projet'!$B$15,Paramètres!$A$1:$I$89,3,0)*0.475*44/12</f>
        <v>0</v>
      </c>
      <c r="EY78" s="24">
        <f t="shared" si="75"/>
        <v>112.89928087490532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5.6843418860808015E-14</v>
      </c>
      <c r="FF78" s="18">
        <f>FE78*VLOOKUP('Données projet'!$B$16,Paramètres!$A$1:$I$89,3,0)*VLOOKUP('Données projet'!$B$16,Paramètres!$A$1:$I$89,5,0)</f>
        <v>5.4978954722173515E-14</v>
      </c>
      <c r="FG78" s="14">
        <f t="shared" si="101"/>
        <v>8.8550225887742724E-13</v>
      </c>
      <c r="FH78" s="22">
        <f t="shared" si="76"/>
        <v>1.6380047803526383E-12</v>
      </c>
      <c r="FI78" s="62">
        <f t="shared" si="77"/>
        <v>268.66158469982645</v>
      </c>
      <c r="FJ78" s="62">
        <f ca="1">AVERAGE(OFFSET($FI$3,0,0,'Données projet'!$E$16+1,1))-AVERAGE(OFFSET($H$3,0,0,'Données projet'!$E$16+1,1))</f>
        <v>369.69145521630799</v>
      </c>
      <c r="FK78" s="62">
        <f t="shared" si="102"/>
        <v>360.24112103688719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>
        <f>EXP(-LN(2)/35)*FQ77+(1-EXP(-LN(2)/35))/(LN(2)/35)*FM78*FN78*VLOOKUP('Données projet'!$B$16,Paramètres!$A$1:$I$89,3,0)*0.475*44/12</f>
        <v>148.9309662605134</v>
      </c>
      <c r="FR78" s="23">
        <f>EXP(-LN(2)/25)*FR77+(1-EXP(-LN(2)/25))/(LN(2)/25)*Calculateur!FM78*Calculateur!FO78*VLOOKUP('Données projet'!$B$16,Paramètres!$A$1:$I$89,3,0)*0.475*44/12</f>
        <v>0</v>
      </c>
      <c r="FS78" s="23">
        <f>EXP(-LN(2)/2)*FS77+(1-EXP(-LN(2)/2))/(LN(2)/2)*FM78*FP78*VLOOKUP('Données projet'!$B$16,Paramètres!$A$1:$I$89,3,0)*0.475*44/12</f>
        <v>0</v>
      </c>
      <c r="FT78" s="24">
        <f t="shared" si="78"/>
        <v>148.9309662605134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5.6843418860808015E-14</v>
      </c>
      <c r="GA78" s="18">
        <f>FZ78*VLOOKUP('Données projet'!$B$17,Paramètres!$A$1:$I$89,3,0)*VLOOKUP('Données projet'!$B$17,Paramètres!$A$1:$I$89,5,0)</f>
        <v>6.1186256061773749E-14</v>
      </c>
      <c r="GB78" s="14">
        <f t="shared" si="103"/>
        <v>9.7328366192051127E-13</v>
      </c>
      <c r="GC78" s="22">
        <f t="shared" si="79"/>
        <v>1.8017017738191463E-12</v>
      </c>
      <c r="GD78" s="62">
        <f t="shared" si="80"/>
        <v>268.66158469982662</v>
      </c>
      <c r="GE78" s="62">
        <f ca="1">AVERAGE(OFFSET($GD$3,0,0,'Données projet'!$E$17+1,1))-AVERAGE(OFFSET($H$3,0,0,'Données projet'!$E$17+1,1))</f>
        <v>405.06394904053946</v>
      </c>
      <c r="GF78" s="62">
        <f t="shared" si="104"/>
        <v>393.75247087518198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>
        <f>EXP(-LN(2)/35)*GL77+(1-EXP(-LN(2)/35))/(LN(2)/35)*GH78*GI78*VLOOKUP('Données projet'!$B$17,Paramètres!$A$1:$I$89,3,0)*0.475*44/12</f>
        <v>165.74575277379716</v>
      </c>
      <c r="GM78" s="23">
        <f>EXP(-LN(2)/25)*GM77+(1-EXP(-LN(2)/25))/(LN(2)/25)*Calculateur!GH78*Calculateur!GJ78*VLOOKUP('Données projet'!$B$17,Paramètres!$A$1:$I$89,3,0)*0.475*44/12</f>
        <v>0</v>
      </c>
      <c r="GN78" s="23">
        <f>EXP(-LN(2)/2)*GN77+(1-EXP(-LN(2)/2))/(LN(2)/2)*GH78*GK78*VLOOKUP('Données projet'!$B$17,Paramètres!$A$1:$I$89,3,0)*0.475*44/12</f>
        <v>0</v>
      </c>
      <c r="GO78" s="23">
        <f t="shared" si="81"/>
        <v>165.74575277379716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5.6843418860808015E-14</v>
      </c>
      <c r="GV78" s="18">
        <f>GU78*VLOOKUP('Données projet'!$B$18,Paramètres!$A$1:$I$89,3,0)*VLOOKUP('Données projet'!$B$18,Paramètres!$A$1:$I$89,5,0)</f>
        <v>3.813056537183002E-14</v>
      </c>
      <c r="GW78" s="14">
        <f t="shared" si="105"/>
        <v>6.4086286045526829E-13</v>
      </c>
      <c r="GX78" s="22">
        <f t="shared" si="82"/>
        <v>1.1825802166488628E-12</v>
      </c>
      <c r="GY78" s="62">
        <f t="shared" si="83"/>
        <v>268.66158469982599</v>
      </c>
      <c r="GZ78" s="62">
        <f ca="1">AVERAGE(OFFSET($GY$3,0,0,'Données projet'!$E$18+1,1))-AVERAGE(OFFSET($H$3,0,0,'Données projet'!$E$18+1,1))</f>
        <v>273.21861937609918</v>
      </c>
      <c r="HA78" s="62">
        <f t="shared" si="106"/>
        <v>268.83004886965318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>
        <f>EXP(-LN(2)/35)*HG77+(1-EXP(-LN(2)/35))/(LN(2)/35)*HC78*HD78*VLOOKUP('Données projet'!$B$18,Paramètres!$A$1:$I$89,3,0)*0.475*44/12</f>
        <v>127.31195502914858</v>
      </c>
      <c r="HH78" s="23">
        <f>EXP(-LN(2)/25)*HH77+(1-EXP(-LN(2)/25))/(LN(2)/25)*Calculateur!HC78*Calculateur!HE78*VLOOKUP('Données projet'!$B$18,Paramètres!$A$1:$I$89,3,0)*0.475*44/12</f>
        <v>0</v>
      </c>
      <c r="HI78" s="23">
        <f>EXP(-LN(2)/2)*HI77+(1-EXP(-LN(2)/2))/(LN(2)/2)*HC78*HF78*VLOOKUP('Données projet'!$B$18,Paramètres!$A$1:$I$89,3,0)*0.475*44/12</f>
        <v>0</v>
      </c>
      <c r="HJ78" s="24">
        <f t="shared" si="84"/>
        <v>127.31195502914858</v>
      </c>
    </row>
    <row r="79" spans="1:218" s="5" customFormat="1" x14ac:dyDescent="0.4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5.9</v>
      </c>
      <c r="N79" s="14">
        <f>IF('Données projet'!$A$36&gt;35,N78+M79-V78,IF(A79&lt;'Données projet'!$A$36,$K$205^A79,IF(A79='Données projet'!$A$36,'Données projet'!$B$36,N78+M79-V78)))</f>
        <v>182.2000000000001</v>
      </c>
      <c r="O79" s="14">
        <f>N79*VLOOKUP('Données projet'!$B$9,Paramètres!$A$1:$I$89,3,0)*VLOOKUP('Données projet'!$B$9,Paramètres!$A$1:$I$89,5,0)</f>
        <v>164.85456000000011</v>
      </c>
      <c r="P79" s="14">
        <f t="shared" si="87"/>
        <v>41.935562922532533</v>
      </c>
      <c r="Q79" s="22">
        <f t="shared" si="54"/>
        <v>360.15946409007773</v>
      </c>
      <c r="R79" s="62">
        <f t="shared" si="55"/>
        <v>629.24904847092716</v>
      </c>
      <c r="S79" s="62">
        <f ca="1">AVERAGE(OFFSET($R$3,0,0,'Données projet'!$E$9+1,1))-AVERAGE(OFFSET($H$3,0,0,'Données projet'!$E$9+1,1))</f>
        <v>432.80275651765203</v>
      </c>
      <c r="T79" s="62">
        <f t="shared" si="88"/>
        <v>203.89279893419919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5.6897475816601588</v>
      </c>
      <c r="AA79" s="23">
        <f>EXP(-LN(2)/25)*AA78+(1-EXP(-LN(2)/25))/(LN(2)/25)*Calculateur!V79*Calculateur!X79*VLOOKUP('Données projet'!$B$9,Paramètres!$A$1:$I$89,3,0)*0.475*44/12</f>
        <v>4.2554636612833212</v>
      </c>
      <c r="AB79" s="23">
        <f>EXP(-LN(2)/2)*AB78+(1-EXP(-LN(2)/2))/(LN(2)/2)*V79*Y79*VLOOKUP('Données projet'!$B$9,Paramètres!$A$1:$I$89,3,0)*0.475*44/12</f>
        <v>0</v>
      </c>
      <c r="AC79" s="24">
        <f t="shared" si="57"/>
        <v>9.9452112429434791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54.000000000000341</v>
      </c>
      <c r="AJ79" s="14">
        <f>AI79*VLOOKUP('Données projet'!$B$10,Paramètres!$A$1:$I$89,3,0)*VLOOKUP('Données projet'!$B$10,Paramètres!$A$1:$I$89,5,0)</f>
        <v>23.868000000000151</v>
      </c>
      <c r="AK79" s="14">
        <f t="shared" si="89"/>
        <v>7.6030930962115804</v>
      </c>
      <c r="AL79" s="22">
        <f t="shared" si="58"/>
        <v>54.812153809235433</v>
      </c>
      <c r="AM79" s="62">
        <f t="shared" si="59"/>
        <v>323.90173819008487</v>
      </c>
      <c r="AN79" s="62">
        <f ca="1">AVERAGE(OFFSET($AM$3,0,0,'Données projet'!$E$10+1,1))-AVERAGE(OFFSET($H$3,0,0,'Données projet'!$E$10+1,1))</f>
        <v>413.08876898406481</v>
      </c>
      <c r="AO79" s="62">
        <f t="shared" si="90"/>
        <v>520.31320932826566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200.13843844820394</v>
      </c>
      <c r="AV79" s="23">
        <f>EXP(-LN(2)/25)*AV78+(1-EXP(-LN(2)/25))/(LN(2)/25)*Calculateur!AQ79*Calculateur!AS79*VLOOKUP('Données projet'!$B$10,Paramètres!$A$1:$I$89,3,0)*0.475*44/12</f>
        <v>12.948589085262331</v>
      </c>
      <c r="AW79" s="23">
        <f>EXP(-LN(2)/2)*AW78+(1-EXP(-LN(2)/2))/(LN(2)/2)*AQ79*AT79*VLOOKUP('Données projet'!$B$10,Paramètres!$A$1:$I$89,3,0)*0.475*44/12</f>
        <v>8.6923543248694938E-5</v>
      </c>
      <c r="AX79" s="23">
        <f t="shared" si="60"/>
        <v>213.08711445700953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0</v>
      </c>
      <c r="BD79" s="13">
        <f>IF('Données projet'!$A$88&gt;35,BD78+BC79-BL78,IF(A79&lt;'Données projet'!$A$88,$BA$205^A79,IF(A79='Données projet'!$A$88,'Données projet'!$B$88,BD78+BC79-BL78)))</f>
        <v>54.000000000000341</v>
      </c>
      <c r="BE79" s="14">
        <f>BD79*VLOOKUP('Données projet'!$B$11,Paramètres!$A$1:$I$89,3,0)*VLOOKUP('Données projet'!$B$11,Paramètres!$A$1:$I$89,5,0)</f>
        <v>30.186000000000188</v>
      </c>
      <c r="BF79" s="14">
        <f t="shared" si="91"/>
        <v>9.3563888882899153</v>
      </c>
      <c r="BG79" s="22">
        <f t="shared" si="61"/>
        <v>68.869660647105263</v>
      </c>
      <c r="BH79" s="62">
        <f t="shared" si="62"/>
        <v>337.95924502795469</v>
      </c>
      <c r="BI79" s="62">
        <f ca="1">AVERAGE(OFFSET($BH$3,0,0,'Données projet'!$E$11+1,1))-AVERAGE(OFFSET($H$3,0,0,'Données projet'!$E$11+1,1))</f>
        <v>507.66185230065889</v>
      </c>
      <c r="BJ79" s="62">
        <f t="shared" si="92"/>
        <v>640.14375617778342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253.11626039037549</v>
      </c>
      <c r="BQ79" s="23">
        <f>EXP(-LN(2)/25)*BQ78+(1-EXP(-LN(2)/25))/(LN(2)/25)*Calculateur!BL79*Calculateur!BN79*VLOOKUP('Données projet'!$B$11,Paramètres!$A$1:$I$89,3,0)*0.475*44/12</f>
        <v>16.376156784302371</v>
      </c>
      <c r="BR79" s="23">
        <f>EXP(-LN(2)/2)*BR78+(1-EXP(-LN(2)/2))/(LN(2)/2)*BL79*BO79*VLOOKUP('Données projet'!$B$11,Paramètres!$A$1:$I$89,3,0)*0.475*44/12</f>
        <v>1.0993271646158485E-4</v>
      </c>
      <c r="BS79" s="24">
        <f t="shared" si="63"/>
        <v>269.49252710739432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12.473670769999995</v>
      </c>
      <c r="BY79" s="13">
        <f>IF('Données projet'!$A$114&gt;35,BY78+BX79-CG78,IF(A79&lt;'Données projet'!$A$114,$BV$205^A79,IF(A79='Données projet'!$A$114,'Données projet'!$B$114,BY78+BX79-CG78)))</f>
        <v>352.30130101999998</v>
      </c>
      <c r="BZ79" s="14">
        <f>BY79*VLOOKUP('Données projet'!$B$12,Paramètres!$A$1:$I$89,3,0)*VLOOKUP('Données projet'!$B$12,Paramètres!$A$1:$I$89,5,0)</f>
        <v>164.87700887736</v>
      </c>
      <c r="CA79" s="14">
        <f t="shared" si="93"/>
        <v>41.940608703629138</v>
      </c>
      <c r="CB79" s="22">
        <f t="shared" si="64"/>
        <v>360.20735062022271</v>
      </c>
      <c r="CC79" s="62">
        <f t="shared" si="65"/>
        <v>629.29693500107214</v>
      </c>
      <c r="CD79" s="62">
        <f ca="1">AVERAGE(OFFSET($CC$3,0,0,'Données projet'!$E$12+1,1))-AVERAGE(OFFSET($H$3,0,0,'Données projet'!$E$12+1,1))</f>
        <v>289.21044803824958</v>
      </c>
      <c r="CE79" s="62">
        <f t="shared" si="94"/>
        <v>196.11836398299445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>
        <f>EXP(-LN(2)/35)*CK78+(1-EXP(-LN(2)/35))/(LN(2)/35)*CG79*CH79*VLOOKUP('Données projet'!$B$12,Paramètres!$A$1:$I$89,3,0)*0.475*44/12</f>
        <v>17.829725272757933</v>
      </c>
      <c r="CL79" s="23">
        <f>EXP(-LN(2)/25)*CL78+(1-EXP(-LN(2)/25))/(LN(2)/25)*Calculateur!CG79*Calculateur!CI79*VLOOKUP('Données projet'!$B$12,Paramètres!$A$1:$I$89,3,0)*0.475*44/12</f>
        <v>23.908977713428921</v>
      </c>
      <c r="CM79" s="23">
        <f>EXP(-LN(2)/2)*CM78+(1-EXP(-LN(2)/2))/(LN(2)/2)*CG79*CJ79*VLOOKUP('Données projet'!$B$12,Paramètres!$A$1:$I$89,3,0)*0.475*44/12</f>
        <v>0</v>
      </c>
      <c r="CN79" s="24">
        <f t="shared" si="66"/>
        <v>41.738702986186851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-5.6843418860808015E-14</v>
      </c>
      <c r="CU79" s="18">
        <f>CT79*VLOOKUP('Données projet'!$B$13,Paramètres!$A$1:$I$89,3,0)*VLOOKUP('Données projet'!$B$13,Paramètres!$A$1:$I$89,5,0)</f>
        <v>-5.1431925385259088E-14</v>
      </c>
      <c r="CV79" s="14" t="e">
        <f t="shared" si="95"/>
        <v>#NUM!</v>
      </c>
      <c r="CW79" s="22" t="e">
        <f t="shared" si="67"/>
        <v>#NUM!</v>
      </c>
      <c r="CX79" s="62" t="e">
        <f t="shared" si="68"/>
        <v>#NUM!</v>
      </c>
      <c r="CY79" s="62">
        <f ca="1">AVERAGE(OFFSET($CX$3,0,0,'Données projet'!$E$13+1,1))-AVERAGE(OFFSET($H$3,0,0,'Données projet'!$E$13+1,1))</f>
        <v>376.68007030857598</v>
      </c>
      <c r="CZ79" s="62">
        <f t="shared" si="96"/>
        <v>532.90758914457626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>
        <f>EXP(-LN(2)/35)*DF78+(1-EXP(-LN(2)/35))/(LN(2)/35)*DB79*DC79*VLOOKUP('Données projet'!$B$13,Paramètres!$A$1:$I$89,3,0)*0.475*44/12</f>
        <v>50.669775893100535</v>
      </c>
      <c r="DG79" s="23">
        <f>EXP(-LN(2)/25)*DG78+(1-EXP(-LN(2)/25))/(LN(2)/25)*Calculateur!DB79*Calculateur!DD79*VLOOKUP('Données projet'!$B$13,Paramètres!$A$1:$I$89,3,0)*0.475*44/12</f>
        <v>3.6591856972829433</v>
      </c>
      <c r="DH79" s="23">
        <f>EXP(-LN(2)/2)*DH78+(1-EXP(-LN(2)/2))/(LN(2)/2)*DB79*DE79*VLOOKUP('Données projet'!$B$13,Paramètres!$A$1:$I$89,3,0)*0.475*44/12</f>
        <v>0</v>
      </c>
      <c r="DI79" s="24">
        <f t="shared" si="69"/>
        <v>54.328961590383479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5.6843418860808015E-14</v>
      </c>
      <c r="DP79" s="18">
        <f>DO79*VLOOKUP('Données projet'!$B$14,Paramètres!$A$1:$I$89,3,0)*VLOOKUP('Données projet'!$B$14,Paramètres!$A$1:$I$89,5,0)</f>
        <v>5.4092197387944907E-14</v>
      </c>
      <c r="DQ79" s="14">
        <f t="shared" si="97"/>
        <v>8.7287050538073676E-13</v>
      </c>
      <c r="DR79" s="22">
        <f t="shared" si="70"/>
        <v>1.6144600406554537E-12</v>
      </c>
      <c r="DS79" s="62">
        <f t="shared" si="71"/>
        <v>269.08958438085102</v>
      </c>
      <c r="DT79" s="62">
        <f ca="1">AVERAGE(OFFSET($DS$3,0,0,'Données projet'!$E$14+1,1))-AVERAGE(OFFSET($H$3,0,0,'Données projet'!$E$14+1,1))</f>
        <v>364.63161066507769</v>
      </c>
      <c r="DU79" s="62">
        <f t="shared" si="98"/>
        <v>355.44729904860708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>
        <f>EXP(-LN(2)/35)*EA78+(1-EXP(-LN(2)/35))/(LN(2)/35)*DW79*DX79*VLOOKUP('Données projet'!$B$14,Paramètres!$A$1:$I$89,3,0)*0.475*44/12</f>
        <v>143.65551245024091</v>
      </c>
      <c r="EB79" s="23">
        <f>EXP(-LN(2)/25)*EB78+(1-EXP(-LN(2)/25))/(LN(2)/25)*Calculateur!DW79*Calculateur!DY79*VLOOKUP('Données projet'!$B$14,Paramètres!$A$1:$I$89,3,0)*0.475*44/12</f>
        <v>0</v>
      </c>
      <c r="EC79" s="23">
        <f>EXP(-LN(2)/2)*EC78+(1-EXP(-LN(2)/2))/(LN(2)/2)*DW79*DZ79*VLOOKUP('Données projet'!$B$14,Paramètres!$A$1:$I$89,3,0)*0.475*44/12</f>
        <v>0</v>
      </c>
      <c r="ED79" s="24">
        <f t="shared" si="72"/>
        <v>143.65551245024091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5.6843418860808015E-14</v>
      </c>
      <c r="EK79" s="18">
        <f>EJ79*VLOOKUP('Données projet'!$B$15,Paramètres!$A$1:$I$89,3,0)*VLOOKUP('Données projet'!$B$15,Paramètres!$A$1:$I$89,5,0)</f>
        <v>4.1677594708744434E-14</v>
      </c>
      <c r="EL79" s="14">
        <f t="shared" si="99"/>
        <v>6.9326303456159188E-13</v>
      </c>
      <c r="EM79" s="22">
        <f t="shared" si="73"/>
        <v>1.2800215959791691E-12</v>
      </c>
      <c r="EN79" s="62">
        <f t="shared" si="74"/>
        <v>269.08958438085074</v>
      </c>
      <c r="EO79" s="62">
        <f ca="1">AVERAGE(OFFSET($EN$3,0,0,'Données projet'!$E$15+1,1))-AVERAGE(OFFSET($H$3,0,0,'Données projet'!$E$15+1,1))</f>
        <v>293.59366973965774</v>
      </c>
      <c r="EP79" s="62">
        <f t="shared" si="100"/>
        <v>288.13804536120426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>
        <f>EXP(-LN(2)/35)*EV78+(1-EXP(-LN(2)/35))/(LN(2)/35)*ER79*ES79*VLOOKUP('Données projet'!$B$15,Paramètres!$A$1:$I$89,3,0)*0.475*44/12</f>
        <v>110.68539483871022</v>
      </c>
      <c r="EW79" s="23">
        <f>EXP(-LN(2)/25)*EW78+(1-EXP(-LN(2)/25))/(LN(2)/25)*Calculateur!ER79*Calculateur!ET79*VLOOKUP('Données projet'!$B$15,Paramètres!$A$1:$I$89,3,0)*0.475*44/12</f>
        <v>0</v>
      </c>
      <c r="EX79" s="23">
        <f>EXP(-LN(2)/2)*EX78+(1-EXP(-LN(2)/2))/(LN(2)/2)*ER79*EU79*VLOOKUP('Données projet'!$B$15,Paramètres!$A$1:$I$89,3,0)*0.475*44/12</f>
        <v>0</v>
      </c>
      <c r="EY79" s="24">
        <f t="shared" si="75"/>
        <v>110.68539483871022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5.6843418860808015E-14</v>
      </c>
      <c r="FF79" s="18">
        <f>FE79*VLOOKUP('Données projet'!$B$16,Paramètres!$A$1:$I$89,3,0)*VLOOKUP('Données projet'!$B$16,Paramètres!$A$1:$I$89,5,0)</f>
        <v>5.4978954722173515E-14</v>
      </c>
      <c r="FG79" s="14">
        <f t="shared" si="101"/>
        <v>8.8550225887742724E-13</v>
      </c>
      <c r="FH79" s="22">
        <f t="shared" si="76"/>
        <v>1.6380047803526383E-12</v>
      </c>
      <c r="FI79" s="62">
        <f t="shared" si="77"/>
        <v>269.08958438085108</v>
      </c>
      <c r="FJ79" s="62">
        <f ca="1">AVERAGE(OFFSET($FI$3,0,0,'Données projet'!$E$16+1,1))-AVERAGE(OFFSET($H$3,0,0,'Données projet'!$E$16+1,1))</f>
        <v>369.69145521630799</v>
      </c>
      <c r="FK79" s="62">
        <f t="shared" si="102"/>
        <v>360.24112103688719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>
        <f>EXP(-LN(2)/35)*FQ78+(1-EXP(-LN(2)/35))/(LN(2)/35)*FM79*FN79*VLOOKUP('Données projet'!$B$16,Paramètres!$A$1:$I$89,3,0)*0.475*44/12</f>
        <v>146.01052085106454</v>
      </c>
      <c r="FR79" s="23">
        <f>EXP(-LN(2)/25)*FR78+(1-EXP(-LN(2)/25))/(LN(2)/25)*Calculateur!FM79*Calculateur!FO79*VLOOKUP('Données projet'!$B$16,Paramètres!$A$1:$I$89,3,0)*0.475*44/12</f>
        <v>0</v>
      </c>
      <c r="FS79" s="23">
        <f>EXP(-LN(2)/2)*FS78+(1-EXP(-LN(2)/2))/(LN(2)/2)*FM79*FP79*VLOOKUP('Données projet'!$B$16,Paramètres!$A$1:$I$89,3,0)*0.475*44/12</f>
        <v>0</v>
      </c>
      <c r="FT79" s="24">
        <f t="shared" si="78"/>
        <v>146.01052085106454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5.6843418860808015E-14</v>
      </c>
      <c r="GA79" s="18">
        <f>FZ79*VLOOKUP('Données projet'!$B$17,Paramètres!$A$1:$I$89,3,0)*VLOOKUP('Données projet'!$B$17,Paramètres!$A$1:$I$89,5,0)</f>
        <v>6.1186256061773749E-14</v>
      </c>
      <c r="GB79" s="14">
        <f t="shared" si="103"/>
        <v>9.7328366192051127E-13</v>
      </c>
      <c r="GC79" s="22">
        <f t="shared" si="79"/>
        <v>1.8017017738191463E-12</v>
      </c>
      <c r="GD79" s="62">
        <f t="shared" si="80"/>
        <v>269.08958438085125</v>
      </c>
      <c r="GE79" s="62">
        <f ca="1">AVERAGE(OFFSET($GD$3,0,0,'Données projet'!$E$17+1,1))-AVERAGE(OFFSET($H$3,0,0,'Données projet'!$E$17+1,1))</f>
        <v>405.06394904053946</v>
      </c>
      <c r="GF79" s="62">
        <f t="shared" si="104"/>
        <v>393.75247087518198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>
        <f>EXP(-LN(2)/35)*GL78+(1-EXP(-LN(2)/35))/(LN(2)/35)*GH79*GI79*VLOOKUP('Données projet'!$B$17,Paramètres!$A$1:$I$89,3,0)*0.475*44/12</f>
        <v>162.4955796568299</v>
      </c>
      <c r="GM79" s="23">
        <f>EXP(-LN(2)/25)*GM78+(1-EXP(-LN(2)/25))/(LN(2)/25)*Calculateur!GH79*Calculateur!GJ79*VLOOKUP('Données projet'!$B$17,Paramètres!$A$1:$I$89,3,0)*0.475*44/12</f>
        <v>0</v>
      </c>
      <c r="GN79" s="23">
        <f>EXP(-LN(2)/2)*GN78+(1-EXP(-LN(2)/2))/(LN(2)/2)*GH79*GK79*VLOOKUP('Données projet'!$B$17,Paramètres!$A$1:$I$89,3,0)*0.475*44/12</f>
        <v>0</v>
      </c>
      <c r="GO79" s="23">
        <f t="shared" si="81"/>
        <v>162.4955796568299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5.6843418860808015E-14</v>
      </c>
      <c r="GV79" s="18">
        <f>GU79*VLOOKUP('Données projet'!$B$18,Paramètres!$A$1:$I$89,3,0)*VLOOKUP('Données projet'!$B$18,Paramètres!$A$1:$I$89,5,0)</f>
        <v>3.813056537183002E-14</v>
      </c>
      <c r="GW79" s="14">
        <f t="shared" si="105"/>
        <v>6.4086286045526829E-13</v>
      </c>
      <c r="GX79" s="22">
        <f t="shared" si="82"/>
        <v>1.1825802166488628E-12</v>
      </c>
      <c r="GY79" s="62">
        <f t="shared" si="83"/>
        <v>269.08958438085062</v>
      </c>
      <c r="GZ79" s="62">
        <f ca="1">AVERAGE(OFFSET($GY$3,0,0,'Données projet'!$E$18+1,1))-AVERAGE(OFFSET($H$3,0,0,'Données projet'!$E$18+1,1))</f>
        <v>273.21861937609918</v>
      </c>
      <c r="HA79" s="62">
        <f t="shared" si="106"/>
        <v>268.83004886965318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>
        <f>EXP(-LN(2)/35)*HG78+(1-EXP(-LN(2)/35))/(LN(2)/35)*HC79*HD79*VLOOKUP('Données projet'!$B$18,Paramètres!$A$1:$I$89,3,0)*0.475*44/12</f>
        <v>124.81544524365198</v>
      </c>
      <c r="HH79" s="23">
        <f>EXP(-LN(2)/25)*HH78+(1-EXP(-LN(2)/25))/(LN(2)/25)*Calculateur!HC79*Calculateur!HE79*VLOOKUP('Données projet'!$B$18,Paramètres!$A$1:$I$89,3,0)*0.475*44/12</f>
        <v>0</v>
      </c>
      <c r="HI79" s="23">
        <f>EXP(-LN(2)/2)*HI78+(1-EXP(-LN(2)/2))/(LN(2)/2)*HC79*HF79*VLOOKUP('Données projet'!$B$18,Paramètres!$A$1:$I$89,3,0)*0.475*44/12</f>
        <v>0</v>
      </c>
      <c r="HJ79" s="24">
        <f t="shared" si="84"/>
        <v>124.81544524365198</v>
      </c>
    </row>
    <row r="80" spans="1:218" s="5" customFormat="1" x14ac:dyDescent="0.4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5.9</v>
      </c>
      <c r="N80" s="14">
        <f>IF('Données projet'!$A$36&gt;35,N79+M80-V79,IF(A80&lt;'Données projet'!$A$36,$K$205^A80,IF(A80='Données projet'!$A$36,'Données projet'!$B$36,N79+M80-V79)))</f>
        <v>188.10000000000011</v>
      </c>
      <c r="O80" s="14">
        <f>N80*VLOOKUP('Données projet'!$B$9,Paramètres!$A$1:$I$89,3,0)*VLOOKUP('Données projet'!$B$9,Paramètres!$A$1:$I$89,5,0)</f>
        <v>170.19288000000009</v>
      </c>
      <c r="P80" s="14">
        <f t="shared" si="87"/>
        <v>43.133219437696241</v>
      </c>
      <c r="Q80" s="22">
        <f t="shared" si="54"/>
        <v>371.5429565206544</v>
      </c>
      <c r="R80" s="62">
        <f t="shared" si="55"/>
        <v>641.05311574492669</v>
      </c>
      <c r="S80" s="62">
        <f ca="1">AVERAGE(OFFSET($R$3,0,0,'Données projet'!$E$9+1,1))-AVERAGE(OFFSET($H$3,0,0,'Données projet'!$E$9+1,1))</f>
        <v>432.80275651765203</v>
      </c>
      <c r="T80" s="62">
        <f t="shared" si="88"/>
        <v>203.89279893419919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5.5781751019871537</v>
      </c>
      <c r="AA80" s="23">
        <f>EXP(-LN(2)/25)*AA79+(1-EXP(-LN(2)/25))/(LN(2)/25)*Calculateur!V80*Calculateur!X80*VLOOKUP('Données projet'!$B$9,Paramètres!$A$1:$I$89,3,0)*0.475*44/12</f>
        <v>4.1390977836804206</v>
      </c>
      <c r="AB80" s="23">
        <f>EXP(-LN(2)/2)*AB79+(1-EXP(-LN(2)/2))/(LN(2)/2)*V80*Y80*VLOOKUP('Données projet'!$B$9,Paramètres!$A$1:$I$89,3,0)*0.475*44/12</f>
        <v>0</v>
      </c>
      <c r="AC80" s="24">
        <f t="shared" si="57"/>
        <v>9.7172728856675743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54.000000000000341</v>
      </c>
      <c r="AJ80" s="14">
        <f>AI80*VLOOKUP('Données projet'!$B$10,Paramètres!$A$1:$I$89,3,0)*VLOOKUP('Données projet'!$B$10,Paramètres!$A$1:$I$89,5,0)</f>
        <v>23.868000000000151</v>
      </c>
      <c r="AK80" s="14">
        <f t="shared" si="89"/>
        <v>7.6030930962115804</v>
      </c>
      <c r="AL80" s="22">
        <f t="shared" si="58"/>
        <v>54.812153809235433</v>
      </c>
      <c r="AM80" s="62">
        <f t="shared" si="59"/>
        <v>324.32231303350773</v>
      </c>
      <c r="AN80" s="62">
        <f ca="1">AVERAGE(OFFSET($AM$3,0,0,'Données projet'!$E$10+1,1))-AVERAGE(OFFSET($H$3,0,0,'Données projet'!$E$10+1,1))</f>
        <v>413.08876898406481</v>
      </c>
      <c r="AO80" s="62">
        <f t="shared" si="90"/>
        <v>520.31320932826566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196.21384574262848</v>
      </c>
      <c r="AV80" s="23">
        <f>EXP(-LN(2)/25)*AV79+(1-EXP(-LN(2)/25))/(LN(2)/25)*Calculateur!AQ80*Calculateur!AS80*VLOOKUP('Données projet'!$B$10,Paramètres!$A$1:$I$89,3,0)*0.475*44/12</f>
        <v>12.594509235789127</v>
      </c>
      <c r="AW80" s="23">
        <f>EXP(-LN(2)/2)*AW79+(1-EXP(-LN(2)/2))/(LN(2)/2)*AQ80*AT80*VLOOKUP('Données projet'!$B$10,Paramètres!$A$1:$I$89,3,0)*0.475*44/12</f>
        <v>6.1464226875914329E-5</v>
      </c>
      <c r="AX80" s="23">
        <f t="shared" si="60"/>
        <v>208.8084164426445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0</v>
      </c>
      <c r="BD80" s="13">
        <f>IF('Données projet'!$A$88&gt;35,BD79+BC80-BL79,IF(A80&lt;'Données projet'!$A$88,$BA$205^A80,IF(A80='Données projet'!$A$88,'Données projet'!$B$88,BD79+BC80-BL79)))</f>
        <v>54.000000000000341</v>
      </c>
      <c r="BE80" s="14">
        <f>BD80*VLOOKUP('Données projet'!$B$11,Paramètres!$A$1:$I$89,3,0)*VLOOKUP('Données projet'!$B$11,Paramètres!$A$1:$I$89,5,0)</f>
        <v>30.186000000000188</v>
      </c>
      <c r="BF80" s="14">
        <f t="shared" si="91"/>
        <v>9.3563888882899153</v>
      </c>
      <c r="BG80" s="22">
        <f t="shared" si="61"/>
        <v>68.869660647105263</v>
      </c>
      <c r="BH80" s="62">
        <f t="shared" si="62"/>
        <v>338.37981987137755</v>
      </c>
      <c r="BI80" s="62">
        <f ca="1">AVERAGE(OFFSET($BH$3,0,0,'Données projet'!$E$11+1,1))-AVERAGE(OFFSET($H$3,0,0,'Données projet'!$E$11+1,1))</f>
        <v>507.66185230065889</v>
      </c>
      <c r="BJ80" s="62">
        <f t="shared" si="92"/>
        <v>640.14375617778342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248.15280490979475</v>
      </c>
      <c r="BQ80" s="23">
        <f>EXP(-LN(2)/25)*BQ79+(1-EXP(-LN(2)/25))/(LN(2)/25)*Calculateur!BL80*Calculateur!BN80*VLOOKUP('Données projet'!$B$11,Paramètres!$A$1:$I$89,3,0)*0.475*44/12</f>
        <v>15.928349915850966</v>
      </c>
      <c r="BR80" s="23">
        <f>EXP(-LN(2)/2)*BR79+(1-EXP(-LN(2)/2))/(LN(2)/2)*BL80*BO80*VLOOKUP('Données projet'!$B$11,Paramètres!$A$1:$I$89,3,0)*0.475*44/12</f>
        <v>7.7734169284244647E-5</v>
      </c>
      <c r="BS80" s="24">
        <f t="shared" si="63"/>
        <v>264.08123255981502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12.473670769999995</v>
      </c>
      <c r="BY80" s="13">
        <f>IF('Données projet'!$A$114&gt;35,BY79+BX80-CG79,IF(A80&lt;'Données projet'!$A$114,$BV$205^A80,IF(A80='Données projet'!$A$114,'Données projet'!$B$114,BY79+BX80-CG79)))</f>
        <v>364.77497179</v>
      </c>
      <c r="BZ80" s="14">
        <f>BY80*VLOOKUP('Données projet'!$B$12,Paramètres!$A$1:$I$89,3,0)*VLOOKUP('Données projet'!$B$12,Paramètres!$A$1:$I$89,5,0)</f>
        <v>170.71468679771999</v>
      </c>
      <c r="CA80" s="14">
        <f t="shared" si="93"/>
        <v>43.250050550431986</v>
      </c>
      <c r="CB80" s="22">
        <f t="shared" si="64"/>
        <v>372.65525088136468</v>
      </c>
      <c r="CC80" s="62">
        <f t="shared" si="65"/>
        <v>642.16541010563697</v>
      </c>
      <c r="CD80" s="62">
        <f ca="1">AVERAGE(OFFSET($CC$3,0,0,'Données projet'!$E$12+1,1))-AVERAGE(OFFSET($H$3,0,0,'Données projet'!$E$12+1,1))</f>
        <v>289.21044803824958</v>
      </c>
      <c r="CE80" s="62">
        <f t="shared" si="94"/>
        <v>196.11836398299445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>
        <f>EXP(-LN(2)/35)*CK79+(1-EXP(-LN(2)/35))/(LN(2)/35)*CG80*CH80*VLOOKUP('Données projet'!$B$12,Paramètres!$A$1:$I$89,3,0)*0.475*44/12</f>
        <v>17.480095235217743</v>
      </c>
      <c r="CL80" s="23">
        <f>EXP(-LN(2)/25)*CL79+(1-EXP(-LN(2)/25))/(LN(2)/25)*Calculateur!CG80*Calculateur!CI80*VLOOKUP('Données projet'!$B$12,Paramètres!$A$1:$I$89,3,0)*0.475*44/12</f>
        <v>23.255185460536715</v>
      </c>
      <c r="CM80" s="23">
        <f>EXP(-LN(2)/2)*CM79+(1-EXP(-LN(2)/2))/(LN(2)/2)*CG80*CJ80*VLOOKUP('Données projet'!$B$12,Paramètres!$A$1:$I$89,3,0)*0.475*44/12</f>
        <v>0</v>
      </c>
      <c r="CN80" s="24">
        <f t="shared" si="66"/>
        <v>40.735280695754454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-5.6843418860808015E-14</v>
      </c>
      <c r="CU80" s="18">
        <f>CT80*VLOOKUP('Données projet'!$B$13,Paramètres!$A$1:$I$89,3,0)*VLOOKUP('Données projet'!$B$13,Paramètres!$A$1:$I$89,5,0)</f>
        <v>-5.1431925385259088E-14</v>
      </c>
      <c r="CV80" s="14" t="e">
        <f t="shared" si="95"/>
        <v>#NUM!</v>
      </c>
      <c r="CW80" s="22" t="e">
        <f t="shared" si="67"/>
        <v>#NUM!</v>
      </c>
      <c r="CX80" s="62" t="e">
        <f t="shared" si="68"/>
        <v>#NUM!</v>
      </c>
      <c r="CY80" s="62">
        <f ca="1">AVERAGE(OFFSET($CX$3,0,0,'Données projet'!$E$13+1,1))-AVERAGE(OFFSET($H$3,0,0,'Données projet'!$E$13+1,1))</f>
        <v>376.68007030857598</v>
      </c>
      <c r="CZ80" s="62">
        <f t="shared" si="96"/>
        <v>532.90758914457626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>
        <f>EXP(-LN(2)/35)*DF79+(1-EXP(-LN(2)/35))/(LN(2)/35)*DB80*DC80*VLOOKUP('Données projet'!$B$13,Paramètres!$A$1:$I$89,3,0)*0.475*44/12</f>
        <v>49.67617249334846</v>
      </c>
      <c r="DG80" s="23">
        <f>EXP(-LN(2)/25)*DG79+(1-EXP(-LN(2)/25))/(LN(2)/25)*Calculateur!DB80*Calculateur!DD80*VLOOKUP('Données projet'!$B$13,Paramètres!$A$1:$I$89,3,0)*0.475*44/12</f>
        <v>3.5591250719625287</v>
      </c>
      <c r="DH80" s="23">
        <f>EXP(-LN(2)/2)*DH79+(1-EXP(-LN(2)/2))/(LN(2)/2)*DB80*DE80*VLOOKUP('Données projet'!$B$13,Paramètres!$A$1:$I$89,3,0)*0.475*44/12</f>
        <v>0</v>
      </c>
      <c r="DI80" s="24">
        <f t="shared" si="69"/>
        <v>53.235297565310987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5.6843418860808015E-14</v>
      </c>
      <c r="DP80" s="18">
        <f>DO80*VLOOKUP('Données projet'!$B$14,Paramètres!$A$1:$I$89,3,0)*VLOOKUP('Données projet'!$B$14,Paramètres!$A$1:$I$89,5,0)</f>
        <v>5.4092197387944907E-14</v>
      </c>
      <c r="DQ80" s="14">
        <f t="shared" si="97"/>
        <v>8.7287050538073676E-13</v>
      </c>
      <c r="DR80" s="22">
        <f t="shared" si="70"/>
        <v>1.6144600406554537E-12</v>
      </c>
      <c r="DS80" s="62">
        <f t="shared" si="71"/>
        <v>269.51015922427388</v>
      </c>
      <c r="DT80" s="62">
        <f ca="1">AVERAGE(OFFSET($DS$3,0,0,'Données projet'!$E$14+1,1))-AVERAGE(OFFSET($H$3,0,0,'Données projet'!$E$14+1,1))</f>
        <v>364.63161066507769</v>
      </c>
      <c r="DU80" s="62">
        <f t="shared" si="98"/>
        <v>355.44729904860708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>
        <f>EXP(-LN(2)/35)*EA79+(1-EXP(-LN(2)/35))/(LN(2)/35)*DW80*DX80*VLOOKUP('Données projet'!$B$14,Paramètres!$A$1:$I$89,3,0)*0.475*44/12</f>
        <v>140.83851547230239</v>
      </c>
      <c r="EB80" s="23">
        <f>EXP(-LN(2)/25)*EB79+(1-EXP(-LN(2)/25))/(LN(2)/25)*Calculateur!DW80*Calculateur!DY80*VLOOKUP('Données projet'!$B$14,Paramètres!$A$1:$I$89,3,0)*0.475*44/12</f>
        <v>0</v>
      </c>
      <c r="EC80" s="23">
        <f>EXP(-LN(2)/2)*EC79+(1-EXP(-LN(2)/2))/(LN(2)/2)*DW80*DZ80*VLOOKUP('Données projet'!$B$14,Paramètres!$A$1:$I$89,3,0)*0.475*44/12</f>
        <v>0</v>
      </c>
      <c r="ED80" s="24">
        <f t="shared" si="72"/>
        <v>140.83851547230239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5.6843418860808015E-14</v>
      </c>
      <c r="EK80" s="18">
        <f>EJ80*VLOOKUP('Données projet'!$B$15,Paramètres!$A$1:$I$89,3,0)*VLOOKUP('Données projet'!$B$15,Paramètres!$A$1:$I$89,5,0)</f>
        <v>4.1677594708744434E-14</v>
      </c>
      <c r="EL80" s="14">
        <f t="shared" si="99"/>
        <v>6.9326303456159188E-13</v>
      </c>
      <c r="EM80" s="22">
        <f t="shared" si="73"/>
        <v>1.2800215959791691E-12</v>
      </c>
      <c r="EN80" s="62">
        <f t="shared" si="74"/>
        <v>269.51015922427359</v>
      </c>
      <c r="EO80" s="62">
        <f ca="1">AVERAGE(OFFSET($EN$3,0,0,'Données projet'!$E$15+1,1))-AVERAGE(OFFSET($H$3,0,0,'Données projet'!$E$15+1,1))</f>
        <v>293.59366973965774</v>
      </c>
      <c r="EP80" s="62">
        <f t="shared" si="100"/>
        <v>288.13804536120426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>
        <f>EXP(-LN(2)/35)*EV79+(1-EXP(-LN(2)/35))/(LN(2)/35)*ER80*ES80*VLOOKUP('Données projet'!$B$15,Paramètres!$A$1:$I$89,3,0)*0.475*44/12</f>
        <v>108.51492175734776</v>
      </c>
      <c r="EW80" s="23">
        <f>EXP(-LN(2)/25)*EW79+(1-EXP(-LN(2)/25))/(LN(2)/25)*Calculateur!ER80*Calculateur!ET80*VLOOKUP('Données projet'!$B$15,Paramètres!$A$1:$I$89,3,0)*0.475*44/12</f>
        <v>0</v>
      </c>
      <c r="EX80" s="23">
        <f>EXP(-LN(2)/2)*EX79+(1-EXP(-LN(2)/2))/(LN(2)/2)*ER80*EU80*VLOOKUP('Données projet'!$B$15,Paramètres!$A$1:$I$89,3,0)*0.475*44/12</f>
        <v>0</v>
      </c>
      <c r="EY80" s="24">
        <f t="shared" si="75"/>
        <v>108.51492175734776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5.6843418860808015E-14</v>
      </c>
      <c r="FF80" s="18">
        <f>FE80*VLOOKUP('Données projet'!$B$16,Paramètres!$A$1:$I$89,3,0)*VLOOKUP('Données projet'!$B$16,Paramètres!$A$1:$I$89,5,0)</f>
        <v>5.4978954722173515E-14</v>
      </c>
      <c r="FG80" s="14">
        <f t="shared" si="101"/>
        <v>8.8550225887742724E-13</v>
      </c>
      <c r="FH80" s="22">
        <f t="shared" si="76"/>
        <v>1.6380047803526383E-12</v>
      </c>
      <c r="FI80" s="62">
        <f t="shared" si="77"/>
        <v>269.51015922427393</v>
      </c>
      <c r="FJ80" s="62">
        <f ca="1">AVERAGE(OFFSET($FI$3,0,0,'Données projet'!$E$16+1,1))-AVERAGE(OFFSET($H$3,0,0,'Données projet'!$E$16+1,1))</f>
        <v>369.69145521630799</v>
      </c>
      <c r="FK80" s="62">
        <f t="shared" si="102"/>
        <v>360.24112103688719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>
        <f>EXP(-LN(2)/35)*FQ79+(1-EXP(-LN(2)/35))/(LN(2)/35)*FM80*FN80*VLOOKUP('Données projet'!$B$16,Paramètres!$A$1:$I$89,3,0)*0.475*44/12</f>
        <v>143.14734359479917</v>
      </c>
      <c r="FR80" s="23">
        <f>EXP(-LN(2)/25)*FR79+(1-EXP(-LN(2)/25))/(LN(2)/25)*Calculateur!FM80*Calculateur!FO80*VLOOKUP('Données projet'!$B$16,Paramètres!$A$1:$I$89,3,0)*0.475*44/12</f>
        <v>0</v>
      </c>
      <c r="FS80" s="23">
        <f>EXP(-LN(2)/2)*FS79+(1-EXP(-LN(2)/2))/(LN(2)/2)*FM80*FP80*VLOOKUP('Données projet'!$B$16,Paramètres!$A$1:$I$89,3,0)*0.475*44/12</f>
        <v>0</v>
      </c>
      <c r="FT80" s="24">
        <f t="shared" si="78"/>
        <v>143.14734359479917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5.6843418860808015E-14</v>
      </c>
      <c r="GA80" s="18">
        <f>FZ80*VLOOKUP('Données projet'!$B$17,Paramètres!$A$1:$I$89,3,0)*VLOOKUP('Données projet'!$B$17,Paramètres!$A$1:$I$89,5,0)</f>
        <v>6.1186256061773749E-14</v>
      </c>
      <c r="GB80" s="14">
        <f t="shared" si="103"/>
        <v>9.7328366192051127E-13</v>
      </c>
      <c r="GC80" s="22">
        <f t="shared" si="79"/>
        <v>1.8017017738191463E-12</v>
      </c>
      <c r="GD80" s="62">
        <f t="shared" si="80"/>
        <v>269.5101592242741</v>
      </c>
      <c r="GE80" s="62">
        <f ca="1">AVERAGE(OFFSET($GD$3,0,0,'Données projet'!$E$17+1,1))-AVERAGE(OFFSET($H$3,0,0,'Données projet'!$E$17+1,1))</f>
        <v>405.06394904053946</v>
      </c>
      <c r="GF80" s="62">
        <f t="shared" si="104"/>
        <v>393.75247087518198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>
        <f>EXP(-LN(2)/35)*GL79+(1-EXP(-LN(2)/35))/(LN(2)/35)*GH80*GI80*VLOOKUP('Données projet'!$B$17,Paramètres!$A$1:$I$89,3,0)*0.475*44/12</f>
        <v>159.30914045227652</v>
      </c>
      <c r="GM80" s="23">
        <f>EXP(-LN(2)/25)*GM79+(1-EXP(-LN(2)/25))/(LN(2)/25)*Calculateur!GH80*Calculateur!GJ80*VLOOKUP('Données projet'!$B$17,Paramètres!$A$1:$I$89,3,0)*0.475*44/12</f>
        <v>0</v>
      </c>
      <c r="GN80" s="23">
        <f>EXP(-LN(2)/2)*GN79+(1-EXP(-LN(2)/2))/(LN(2)/2)*GH80*GK80*VLOOKUP('Données projet'!$B$17,Paramètres!$A$1:$I$89,3,0)*0.475*44/12</f>
        <v>0</v>
      </c>
      <c r="GO80" s="23">
        <f t="shared" si="81"/>
        <v>159.30914045227652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5.6843418860808015E-14</v>
      </c>
      <c r="GV80" s="18">
        <f>GU80*VLOOKUP('Données projet'!$B$18,Paramètres!$A$1:$I$89,3,0)*VLOOKUP('Données projet'!$B$18,Paramètres!$A$1:$I$89,5,0)</f>
        <v>3.813056537183002E-14</v>
      </c>
      <c r="GW80" s="14">
        <f t="shared" si="105"/>
        <v>6.4086286045526829E-13</v>
      </c>
      <c r="GX80" s="22">
        <f t="shared" si="82"/>
        <v>1.1825802166488628E-12</v>
      </c>
      <c r="GY80" s="62">
        <f t="shared" si="83"/>
        <v>269.51015922427348</v>
      </c>
      <c r="GZ80" s="62">
        <f ca="1">AVERAGE(OFFSET($GY$3,0,0,'Données projet'!$E$18+1,1))-AVERAGE(OFFSET($H$3,0,0,'Données projet'!$E$18+1,1))</f>
        <v>273.21861937609918</v>
      </c>
      <c r="HA80" s="62">
        <f t="shared" si="106"/>
        <v>268.83004886965318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>
        <f>EXP(-LN(2)/35)*HG79+(1-EXP(-LN(2)/35))/(LN(2)/35)*HC80*HD80*VLOOKUP('Données projet'!$B$18,Paramètres!$A$1:$I$89,3,0)*0.475*44/12</f>
        <v>122.36789049232836</v>
      </c>
      <c r="HH80" s="23">
        <f>EXP(-LN(2)/25)*HH79+(1-EXP(-LN(2)/25))/(LN(2)/25)*Calculateur!HC80*Calculateur!HE80*VLOOKUP('Données projet'!$B$18,Paramètres!$A$1:$I$89,3,0)*0.475*44/12</f>
        <v>0</v>
      </c>
      <c r="HI80" s="23">
        <f>EXP(-LN(2)/2)*HI79+(1-EXP(-LN(2)/2))/(LN(2)/2)*HC80*HF80*VLOOKUP('Données projet'!$B$18,Paramètres!$A$1:$I$89,3,0)*0.475*44/12</f>
        <v>0</v>
      </c>
      <c r="HJ80" s="24">
        <f t="shared" si="84"/>
        <v>122.36789049232836</v>
      </c>
    </row>
    <row r="81" spans="1:218" s="5" customFormat="1" x14ac:dyDescent="0.4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>
        <f>VLOOKUP(A81,'Données projet'!$A$35:$I$55,2,0)</f>
        <v>194</v>
      </c>
      <c r="L81" s="13">
        <f>VLOOKUP(A81,'Données projet'!$A$35:$I$55,9,0)</f>
        <v>5.9</v>
      </c>
      <c r="M81" s="13">
        <f t="array" ref="M81">INDEX(L:L,MIN(IF(ISNUMBER(L81:L277),ROW(L81:L277),"")))</f>
        <v>5.9</v>
      </c>
      <c r="N81" s="14">
        <f>IF('Données projet'!$A$36&gt;35,N80+M81-V80,IF(A81&lt;'Données projet'!$A$36,$K$205^A81,IF(A81='Données projet'!$A$36,'Données projet'!$B$36,N80+M81-V80)))</f>
        <v>194.00000000000011</v>
      </c>
      <c r="O81" s="14">
        <f>N81*VLOOKUP('Données projet'!$B$9,Paramètres!$A$1:$I$89,3,0)*VLOOKUP('Données projet'!$B$9,Paramètres!$A$1:$I$89,5,0)</f>
        <v>175.5312000000001</v>
      </c>
      <c r="P81" s="14">
        <f t="shared" si="87"/>
        <v>44.326510481422531</v>
      </c>
      <c r="Q81" s="22">
        <f t="shared" si="54"/>
        <v>382.91884575514445</v>
      </c>
      <c r="R81" s="62">
        <f t="shared" si="55"/>
        <v>652.84228378957073</v>
      </c>
      <c r="S81" s="62">
        <f ca="1">AVERAGE(OFFSET($R$3,0,0,'Données projet'!$E$9+1,1))-AVERAGE(OFFSET($H$3,0,0,'Données projet'!$E$9+1,1))</f>
        <v>432.80275651765203</v>
      </c>
      <c r="T81" s="62">
        <f t="shared" si="88"/>
        <v>203.89279893419919</v>
      </c>
      <c r="U81" s="16">
        <f>IF(ISNA(VLOOKUP(A81,'Données projet'!$A$35:$I$55,3,0)),0,VLOOKUP(A81,'Données projet'!$A$35:$I$55,3,0))</f>
        <v>4</v>
      </c>
      <c r="V81" s="16">
        <f>IF(ISNA(VLOOKUP(A81,'Données projet'!$A$35:$I$55,4,0)),0,VLOOKUP(A81,'Données projet'!$A$35:$I$55,4,0))</f>
        <v>32</v>
      </c>
      <c r="W81" s="17">
        <f>IF(ISNA(VLOOKUP(A81,'Données projet'!$A$35:$I$55,5,0)),0%,VLOOKUP(A81,'Données projet'!$A$35:$I$55,5,0)*VLOOKUP('Données projet'!$B$9,Paramètres!$A$1:$I$89,7,0))</f>
        <v>0.215</v>
      </c>
      <c r="X81" s="17">
        <f>IF(ISNA(VLOOKUP(A81,'Données projet'!$A$35:$I$55,6,0)),0%,VLOOKUP(A81,'Données projet'!$A$35:$I$55,6,0)*VLOOKUP('Données projet'!$B$9,Paramètres!$A$1:$I$89,7,0))</f>
        <v>0.17200000000000001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12.350370134469767</v>
      </c>
      <c r="AA81" s="23">
        <f>EXP(-LN(2)/25)*AA80+(1-EXP(-LN(2)/25))/(LN(2)/25)*Calculateur!V81*Calculateur!X81*VLOOKUP('Données projet'!$B$9,Paramètres!$A$1:$I$89,3,0)*0.475*44/12</f>
        <v>9.5095013313090675</v>
      </c>
      <c r="AB81" s="23">
        <f>EXP(-LN(2)/2)*AB80+(1-EXP(-LN(2)/2))/(LN(2)/2)*V81*Y81*VLOOKUP('Données projet'!$B$9,Paramètres!$A$1:$I$89,3,0)*0.475*44/12</f>
        <v>0</v>
      </c>
      <c r="AC81" s="24">
        <f t="shared" si="57"/>
        <v>21.859871465778834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54.000000000000341</v>
      </c>
      <c r="AJ81" s="14">
        <f>AI81*VLOOKUP('Données projet'!$B$10,Paramètres!$A$1:$I$89,3,0)*VLOOKUP('Données projet'!$B$10,Paramètres!$A$1:$I$89,5,0)</f>
        <v>23.868000000000151</v>
      </c>
      <c r="AK81" s="14">
        <f t="shared" si="89"/>
        <v>7.6030930962115804</v>
      </c>
      <c r="AL81" s="22">
        <f t="shared" si="58"/>
        <v>54.812153809235433</v>
      </c>
      <c r="AM81" s="62">
        <f t="shared" si="59"/>
        <v>324.73559184366167</v>
      </c>
      <c r="AN81" s="62">
        <f ca="1">AVERAGE(OFFSET($AM$3,0,0,'Données projet'!$E$10+1,1))-AVERAGE(OFFSET($H$3,0,0,'Données projet'!$E$10+1,1))</f>
        <v>413.08876898406481</v>
      </c>
      <c r="AO81" s="62">
        <f t="shared" si="90"/>
        <v>520.31320932826566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192.36621190624416</v>
      </c>
      <c r="AV81" s="23">
        <f>EXP(-LN(2)/25)*AV80+(1-EXP(-LN(2)/25))/(LN(2)/25)*Calculateur!AQ81*Calculateur!AS81*VLOOKUP('Données projet'!$B$10,Paramètres!$A$1:$I$89,3,0)*0.475*44/12</f>
        <v>12.250111718420017</v>
      </c>
      <c r="AW81" s="23">
        <f>EXP(-LN(2)/2)*AW80+(1-EXP(-LN(2)/2))/(LN(2)/2)*AQ81*AT81*VLOOKUP('Données projet'!$B$10,Paramètres!$A$1:$I$89,3,0)*0.475*44/12</f>
        <v>4.3461771624347469E-5</v>
      </c>
      <c r="AX81" s="23">
        <f t="shared" si="60"/>
        <v>204.61636708643579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0</v>
      </c>
      <c r="BD81" s="13">
        <f>IF('Données projet'!$A$88&gt;35,BD80+BC81-BL80,IF(A81&lt;'Données projet'!$A$88,$BA$205^A81,IF(A81='Données projet'!$A$88,'Données projet'!$B$88,BD80+BC81-BL80)))</f>
        <v>54.000000000000341</v>
      </c>
      <c r="BE81" s="14">
        <f>BD81*VLOOKUP('Données projet'!$B$11,Paramètres!$A$1:$I$89,3,0)*VLOOKUP('Données projet'!$B$11,Paramètres!$A$1:$I$89,5,0)</f>
        <v>30.186000000000188</v>
      </c>
      <c r="BF81" s="14">
        <f t="shared" si="91"/>
        <v>9.3563888882899153</v>
      </c>
      <c r="BG81" s="22">
        <f t="shared" si="61"/>
        <v>68.869660647105263</v>
      </c>
      <c r="BH81" s="62">
        <f t="shared" si="62"/>
        <v>338.79309868153149</v>
      </c>
      <c r="BI81" s="62">
        <f ca="1">AVERAGE(OFFSET($BH$3,0,0,'Données projet'!$E$11+1,1))-AVERAGE(OFFSET($H$3,0,0,'Données projet'!$E$11+1,1))</f>
        <v>507.66185230065889</v>
      </c>
      <c r="BJ81" s="62">
        <f t="shared" si="92"/>
        <v>640.14375617778342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243.28667976377929</v>
      </c>
      <c r="BQ81" s="23">
        <f>EXP(-LN(2)/25)*BQ80+(1-EXP(-LN(2)/25))/(LN(2)/25)*Calculateur!BL81*Calculateur!BN81*VLOOKUP('Données projet'!$B$11,Paramètres!$A$1:$I$89,3,0)*0.475*44/12</f>
        <v>15.492788349766503</v>
      </c>
      <c r="BR81" s="23">
        <f>EXP(-LN(2)/2)*BR80+(1-EXP(-LN(2)/2))/(LN(2)/2)*BL81*BO81*VLOOKUP('Données projet'!$B$11,Paramètres!$A$1:$I$89,3,0)*0.475*44/12</f>
        <v>5.4966358230792424E-5</v>
      </c>
      <c r="BS81" s="24">
        <f t="shared" si="63"/>
        <v>258.77952307990404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12.473670769999995</v>
      </c>
      <c r="BY81" s="13">
        <f>IF('Données projet'!$A$114&gt;35,BY80+BX81-CG80,IF(A81&lt;'Données projet'!$A$114,$BV$205^A81,IF(A81='Données projet'!$A$114,'Données projet'!$B$114,BY80+BX81-CG80)))</f>
        <v>377.24864256000001</v>
      </c>
      <c r="BZ81" s="14">
        <f>BY81*VLOOKUP('Données projet'!$B$12,Paramètres!$A$1:$I$89,3,0)*VLOOKUP('Données projet'!$B$12,Paramètres!$A$1:$I$89,5,0)</f>
        <v>176.55236471807999</v>
      </c>
      <c r="CA81" s="14">
        <f t="shared" si="93"/>
        <v>44.554289636845532</v>
      </c>
      <c r="CB81" s="22">
        <f t="shared" si="64"/>
        <v>385.09408966816187</v>
      </c>
      <c r="CC81" s="62">
        <f t="shared" si="65"/>
        <v>655.01752770258804</v>
      </c>
      <c r="CD81" s="62">
        <f ca="1">AVERAGE(OFFSET($CC$3,0,0,'Données projet'!$E$12+1,1))-AVERAGE(OFFSET($H$3,0,0,'Données projet'!$E$12+1,1))</f>
        <v>289.21044803824958</v>
      </c>
      <c r="CE81" s="62">
        <f t="shared" si="94"/>
        <v>196.11836398299445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>
        <f>EXP(-LN(2)/35)*CK80+(1-EXP(-LN(2)/35))/(LN(2)/35)*CG81*CH81*VLOOKUP('Données projet'!$B$12,Paramètres!$A$1:$I$89,3,0)*0.475*44/12</f>
        <v>17.137321229460451</v>
      </c>
      <c r="CL81" s="23">
        <f>EXP(-LN(2)/25)*CL80+(1-EXP(-LN(2)/25))/(LN(2)/25)*Calculateur!CG81*Calculateur!CI81*VLOOKUP('Données projet'!$B$12,Paramètres!$A$1:$I$89,3,0)*0.475*44/12</f>
        <v>22.619271191181287</v>
      </c>
      <c r="CM81" s="23">
        <f>EXP(-LN(2)/2)*CM80+(1-EXP(-LN(2)/2))/(LN(2)/2)*CG81*CJ81*VLOOKUP('Données projet'!$B$12,Paramètres!$A$1:$I$89,3,0)*0.475*44/12</f>
        <v>0</v>
      </c>
      <c r="CN81" s="24">
        <f t="shared" si="66"/>
        <v>39.756592420641738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-5.6843418860808015E-14</v>
      </c>
      <c r="CU81" s="18">
        <f>CT81*VLOOKUP('Données projet'!$B$13,Paramètres!$A$1:$I$89,3,0)*VLOOKUP('Données projet'!$B$13,Paramètres!$A$1:$I$89,5,0)</f>
        <v>-5.1431925385259088E-14</v>
      </c>
      <c r="CV81" s="14" t="e">
        <f t="shared" si="95"/>
        <v>#NUM!</v>
      </c>
      <c r="CW81" s="22" t="e">
        <f t="shared" si="67"/>
        <v>#NUM!</v>
      </c>
      <c r="CX81" s="62" t="e">
        <f t="shared" si="68"/>
        <v>#NUM!</v>
      </c>
      <c r="CY81" s="62">
        <f ca="1">AVERAGE(OFFSET($CX$3,0,0,'Données projet'!$E$13+1,1))-AVERAGE(OFFSET($H$3,0,0,'Données projet'!$E$13+1,1))</f>
        <v>376.68007030857598</v>
      </c>
      <c r="CZ81" s="62">
        <f t="shared" si="96"/>
        <v>532.90758914457626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>
        <f>EXP(-LN(2)/35)*DF80+(1-EXP(-LN(2)/35))/(LN(2)/35)*DB81*DC81*VLOOKUP('Données projet'!$B$13,Paramètres!$A$1:$I$89,3,0)*0.475*44/12</f>
        <v>48.702053050227292</v>
      </c>
      <c r="DG81" s="23">
        <f>EXP(-LN(2)/25)*DG80+(1-EXP(-LN(2)/25))/(LN(2)/25)*Calculateur!DB81*Calculateur!DD81*VLOOKUP('Données projet'!$B$13,Paramètres!$A$1:$I$89,3,0)*0.475*44/12</f>
        <v>3.4618006097034604</v>
      </c>
      <c r="DH81" s="23">
        <f>EXP(-LN(2)/2)*DH80+(1-EXP(-LN(2)/2))/(LN(2)/2)*DB81*DE81*VLOOKUP('Données projet'!$B$13,Paramètres!$A$1:$I$89,3,0)*0.475*44/12</f>
        <v>0</v>
      </c>
      <c r="DI81" s="24">
        <f t="shared" si="69"/>
        <v>52.163853659930751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5.6843418860808015E-14</v>
      </c>
      <c r="DP81" s="18">
        <f>DO81*VLOOKUP('Données projet'!$B$14,Paramètres!$A$1:$I$89,3,0)*VLOOKUP('Données projet'!$B$14,Paramètres!$A$1:$I$89,5,0)</f>
        <v>5.4092197387944907E-14</v>
      </c>
      <c r="DQ81" s="14">
        <f t="shared" si="97"/>
        <v>8.7287050538073676E-13</v>
      </c>
      <c r="DR81" s="22">
        <f t="shared" si="70"/>
        <v>1.6144600406554537E-12</v>
      </c>
      <c r="DS81" s="62">
        <f t="shared" si="71"/>
        <v>269.92343803442782</v>
      </c>
      <c r="DT81" s="62">
        <f ca="1">AVERAGE(OFFSET($DS$3,0,0,'Données projet'!$E$14+1,1))-AVERAGE(OFFSET($H$3,0,0,'Données projet'!$E$14+1,1))</f>
        <v>364.63161066507769</v>
      </c>
      <c r="DU81" s="62">
        <f t="shared" si="98"/>
        <v>355.44729904860708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>
        <f>EXP(-LN(2)/35)*EA80+(1-EXP(-LN(2)/35))/(LN(2)/35)*DW81*DX81*VLOOKUP('Données projet'!$B$14,Paramètres!$A$1:$I$89,3,0)*0.475*44/12</f>
        <v>138.07675808690277</v>
      </c>
      <c r="EB81" s="23">
        <f>EXP(-LN(2)/25)*EB80+(1-EXP(-LN(2)/25))/(LN(2)/25)*Calculateur!DW81*Calculateur!DY81*VLOOKUP('Données projet'!$B$14,Paramètres!$A$1:$I$89,3,0)*0.475*44/12</f>
        <v>0</v>
      </c>
      <c r="EC81" s="23">
        <f>EXP(-LN(2)/2)*EC80+(1-EXP(-LN(2)/2))/(LN(2)/2)*DW81*DZ81*VLOOKUP('Données projet'!$B$14,Paramètres!$A$1:$I$89,3,0)*0.475*44/12</f>
        <v>0</v>
      </c>
      <c r="ED81" s="24">
        <f t="shared" si="72"/>
        <v>138.07675808690277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5.6843418860808015E-14</v>
      </c>
      <c r="EK81" s="18">
        <f>EJ81*VLOOKUP('Données projet'!$B$15,Paramètres!$A$1:$I$89,3,0)*VLOOKUP('Données projet'!$B$15,Paramètres!$A$1:$I$89,5,0)</f>
        <v>4.1677594708744434E-14</v>
      </c>
      <c r="EL81" s="14">
        <f t="shared" si="99"/>
        <v>6.9326303456159188E-13</v>
      </c>
      <c r="EM81" s="22">
        <f t="shared" si="73"/>
        <v>1.2800215959791691E-12</v>
      </c>
      <c r="EN81" s="62">
        <f t="shared" si="74"/>
        <v>269.92343803442753</v>
      </c>
      <c r="EO81" s="62">
        <f ca="1">AVERAGE(OFFSET($EN$3,0,0,'Données projet'!$E$15+1,1))-AVERAGE(OFFSET($H$3,0,0,'Données projet'!$E$15+1,1))</f>
        <v>293.59366973965774</v>
      </c>
      <c r="EP81" s="62">
        <f t="shared" si="100"/>
        <v>288.13804536120426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>
        <f>EXP(-LN(2)/35)*EV80+(1-EXP(-LN(2)/35))/(LN(2)/35)*ER81*ES81*VLOOKUP('Données projet'!$B$15,Paramètres!$A$1:$I$89,3,0)*0.475*44/12</f>
        <v>106.38701032925297</v>
      </c>
      <c r="EW81" s="23">
        <f>EXP(-LN(2)/25)*EW80+(1-EXP(-LN(2)/25))/(LN(2)/25)*Calculateur!ER81*Calculateur!ET81*VLOOKUP('Données projet'!$B$15,Paramètres!$A$1:$I$89,3,0)*0.475*44/12</f>
        <v>0</v>
      </c>
      <c r="EX81" s="23">
        <f>EXP(-LN(2)/2)*EX80+(1-EXP(-LN(2)/2))/(LN(2)/2)*ER81*EU81*VLOOKUP('Données projet'!$B$15,Paramètres!$A$1:$I$89,3,0)*0.475*44/12</f>
        <v>0</v>
      </c>
      <c r="EY81" s="24">
        <f t="shared" si="75"/>
        <v>106.38701032925297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5.6843418860808015E-14</v>
      </c>
      <c r="FF81" s="18">
        <f>FE81*VLOOKUP('Données projet'!$B$16,Paramètres!$A$1:$I$89,3,0)*VLOOKUP('Données projet'!$B$16,Paramètres!$A$1:$I$89,5,0)</f>
        <v>5.4978954722173515E-14</v>
      </c>
      <c r="FG81" s="14">
        <f t="shared" si="101"/>
        <v>8.8550225887742724E-13</v>
      </c>
      <c r="FH81" s="22">
        <f t="shared" si="76"/>
        <v>1.6380047803526383E-12</v>
      </c>
      <c r="FI81" s="62">
        <f t="shared" si="77"/>
        <v>269.92343803442787</v>
      </c>
      <c r="FJ81" s="62">
        <f ca="1">AVERAGE(OFFSET($FI$3,0,0,'Données projet'!$E$16+1,1))-AVERAGE(OFFSET($H$3,0,0,'Données projet'!$E$16+1,1))</f>
        <v>369.69145521630799</v>
      </c>
      <c r="FK81" s="62">
        <f t="shared" si="102"/>
        <v>360.24112103688719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>
        <f>EXP(-LN(2)/35)*FQ80+(1-EXP(-LN(2)/35))/(LN(2)/35)*FM81*FN81*VLOOKUP('Données projet'!$B$16,Paramètres!$A$1:$I$89,3,0)*0.475*44/12</f>
        <v>140.34031149816349</v>
      </c>
      <c r="FR81" s="23">
        <f>EXP(-LN(2)/25)*FR80+(1-EXP(-LN(2)/25))/(LN(2)/25)*Calculateur!FM81*Calculateur!FO81*VLOOKUP('Données projet'!$B$16,Paramètres!$A$1:$I$89,3,0)*0.475*44/12</f>
        <v>0</v>
      </c>
      <c r="FS81" s="23">
        <f>EXP(-LN(2)/2)*FS80+(1-EXP(-LN(2)/2))/(LN(2)/2)*FM81*FP81*VLOOKUP('Données projet'!$B$16,Paramètres!$A$1:$I$89,3,0)*0.475*44/12</f>
        <v>0</v>
      </c>
      <c r="FT81" s="24">
        <f t="shared" si="78"/>
        <v>140.34031149816349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5.6843418860808015E-14</v>
      </c>
      <c r="GA81" s="18">
        <f>FZ81*VLOOKUP('Données projet'!$B$17,Paramètres!$A$1:$I$89,3,0)*VLOOKUP('Données projet'!$B$17,Paramètres!$A$1:$I$89,5,0)</f>
        <v>6.1186256061773749E-14</v>
      </c>
      <c r="GB81" s="14">
        <f t="shared" si="103"/>
        <v>9.7328366192051127E-13</v>
      </c>
      <c r="GC81" s="22">
        <f t="shared" si="79"/>
        <v>1.8017017738191463E-12</v>
      </c>
      <c r="GD81" s="62">
        <f t="shared" si="80"/>
        <v>269.92343803442805</v>
      </c>
      <c r="GE81" s="62">
        <f ca="1">AVERAGE(OFFSET($GD$3,0,0,'Données projet'!$E$17+1,1))-AVERAGE(OFFSET($H$3,0,0,'Données projet'!$E$17+1,1))</f>
        <v>405.06394904053946</v>
      </c>
      <c r="GF81" s="62">
        <f t="shared" si="104"/>
        <v>393.75247087518198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>
        <f>EXP(-LN(2)/35)*GL80+(1-EXP(-LN(2)/35))/(LN(2)/35)*GH81*GI81*VLOOKUP('Données projet'!$B$17,Paramètres!$A$1:$I$89,3,0)*0.475*44/12</f>
        <v>156.18518537698841</v>
      </c>
      <c r="GM81" s="23">
        <f>EXP(-LN(2)/25)*GM80+(1-EXP(-LN(2)/25))/(LN(2)/25)*Calculateur!GH81*Calculateur!GJ81*VLOOKUP('Données projet'!$B$17,Paramètres!$A$1:$I$89,3,0)*0.475*44/12</f>
        <v>0</v>
      </c>
      <c r="GN81" s="23">
        <f>EXP(-LN(2)/2)*GN80+(1-EXP(-LN(2)/2))/(LN(2)/2)*GH81*GK81*VLOOKUP('Données projet'!$B$17,Paramètres!$A$1:$I$89,3,0)*0.475*44/12</f>
        <v>0</v>
      </c>
      <c r="GO81" s="23">
        <f t="shared" si="81"/>
        <v>156.18518537698841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5.6843418860808015E-14</v>
      </c>
      <c r="GV81" s="18">
        <f>GU81*VLOOKUP('Données projet'!$B$18,Paramètres!$A$1:$I$89,3,0)*VLOOKUP('Données projet'!$B$18,Paramètres!$A$1:$I$89,5,0)</f>
        <v>3.813056537183002E-14</v>
      </c>
      <c r="GW81" s="14">
        <f t="shared" si="105"/>
        <v>6.4086286045526829E-13</v>
      </c>
      <c r="GX81" s="22">
        <f t="shared" si="82"/>
        <v>1.1825802166488628E-12</v>
      </c>
      <c r="GY81" s="62">
        <f t="shared" si="83"/>
        <v>269.92343803442742</v>
      </c>
      <c r="GZ81" s="62">
        <f ca="1">AVERAGE(OFFSET($GY$3,0,0,'Données projet'!$E$18+1,1))-AVERAGE(OFFSET($H$3,0,0,'Données projet'!$E$18+1,1))</f>
        <v>273.21861937609918</v>
      </c>
      <c r="HA81" s="62">
        <f t="shared" si="106"/>
        <v>268.83004886965318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>
        <f>EXP(-LN(2)/35)*HG80+(1-EXP(-LN(2)/35))/(LN(2)/35)*HC81*HD81*VLOOKUP('Données projet'!$B$18,Paramètres!$A$1:$I$89,3,0)*0.475*44/12</f>
        <v>119.9683307968172</v>
      </c>
      <c r="HH81" s="23">
        <f>EXP(-LN(2)/25)*HH80+(1-EXP(-LN(2)/25))/(LN(2)/25)*Calculateur!HC81*Calculateur!HE81*VLOOKUP('Données projet'!$B$18,Paramètres!$A$1:$I$89,3,0)*0.475*44/12</f>
        <v>0</v>
      </c>
      <c r="HI81" s="23">
        <f>EXP(-LN(2)/2)*HI80+(1-EXP(-LN(2)/2))/(LN(2)/2)*HC81*HF81*VLOOKUP('Données projet'!$B$18,Paramètres!$A$1:$I$89,3,0)*0.475*44/12</f>
        <v>0</v>
      </c>
      <c r="HJ81" s="24">
        <f t="shared" si="84"/>
        <v>119.9683307968172</v>
      </c>
    </row>
    <row r="82" spans="1:218" s="5" customFormat="1" x14ac:dyDescent="0.4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5.7</v>
      </c>
      <c r="N82" s="14">
        <f>IF('Données projet'!$A$36&gt;35,N81+M82-V81,IF(A82&lt;'Données projet'!$A$36,$K$205^A82,IF(A82='Données projet'!$A$36,'Données projet'!$B$36,N81+M82-V81)))</f>
        <v>167.7000000000001</v>
      </c>
      <c r="O82" s="14">
        <f>N82*VLOOKUP('Données projet'!$B$9,Paramètres!$A$1:$I$89,3,0)*VLOOKUP('Données projet'!$B$9,Paramètres!$A$1:$I$89,5,0)</f>
        <v>151.73496000000009</v>
      </c>
      <c r="P82" s="14">
        <f t="shared" si="87"/>
        <v>38.972597229458756</v>
      </c>
      <c r="Q82" s="22">
        <f t="shared" si="54"/>
        <v>332.14899550797418</v>
      </c>
      <c r="R82" s="62">
        <f t="shared" si="55"/>
        <v>602.47854288915119</v>
      </c>
      <c r="S82" s="62">
        <f ca="1">AVERAGE(OFFSET($R$3,0,0,'Données projet'!$E$9+1,1))-AVERAGE(OFFSET($H$3,0,0,'Données projet'!$E$9+1,1))</f>
        <v>432.80275651765203</v>
      </c>
      <c r="T82" s="62">
        <f t="shared" si="88"/>
        <v>203.89279893419919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12.108186909114776</v>
      </c>
      <c r="AA82" s="23">
        <f>EXP(-LN(2)/25)*AA81+(1-EXP(-LN(2)/25))/(LN(2)/25)*Calculateur!V82*Calculateur!X82*VLOOKUP('Données projet'!$B$9,Paramètres!$A$1:$I$89,3,0)*0.475*44/12</f>
        <v>9.2494635173214803</v>
      </c>
      <c r="AB82" s="23">
        <f>EXP(-LN(2)/2)*AB81+(1-EXP(-LN(2)/2))/(LN(2)/2)*V82*Y82*VLOOKUP('Données projet'!$B$9,Paramètres!$A$1:$I$89,3,0)*0.475*44/12</f>
        <v>0</v>
      </c>
      <c r="AC82" s="24">
        <f t="shared" si="57"/>
        <v>21.357650426436258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54.000000000000341</v>
      </c>
      <c r="AJ82" s="14">
        <f>AI82*VLOOKUP('Données projet'!$B$10,Paramètres!$A$1:$I$89,3,0)*VLOOKUP('Données projet'!$B$10,Paramètres!$A$1:$I$89,5,0)</f>
        <v>23.868000000000151</v>
      </c>
      <c r="AK82" s="14">
        <f t="shared" si="89"/>
        <v>7.6030930962115804</v>
      </c>
      <c r="AL82" s="22">
        <f t="shared" si="58"/>
        <v>54.812153809235433</v>
      </c>
      <c r="AM82" s="62">
        <f t="shared" si="59"/>
        <v>325.14170119041239</v>
      </c>
      <c r="AN82" s="62">
        <f ca="1">AVERAGE(OFFSET($AM$3,0,0,'Données projet'!$E$10+1,1))-AVERAGE(OFFSET($H$3,0,0,'Données projet'!$E$10+1,1))</f>
        <v>413.08876898406481</v>
      </c>
      <c r="AO82" s="62">
        <f t="shared" si="90"/>
        <v>520.31320932826566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188.59402782256643</v>
      </c>
      <c r="AV82" s="23">
        <f>EXP(-LN(2)/25)*AV81+(1-EXP(-LN(2)/25))/(LN(2)/25)*Calculateur!AQ82*Calculateur!AS82*VLOOKUP('Données projet'!$B$10,Paramètres!$A$1:$I$89,3,0)*0.475*44/12</f>
        <v>11.915131769274444</v>
      </c>
      <c r="AW82" s="23">
        <f>EXP(-LN(2)/2)*AW81+(1-EXP(-LN(2)/2))/(LN(2)/2)*AQ82*AT82*VLOOKUP('Données projet'!$B$10,Paramètres!$A$1:$I$89,3,0)*0.475*44/12</f>
        <v>3.0732113437957165E-5</v>
      </c>
      <c r="AX82" s="23">
        <f t="shared" si="60"/>
        <v>200.5091903239543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0</v>
      </c>
      <c r="BD82" s="13">
        <f>IF('Données projet'!$A$88&gt;35,BD81+BC82-BL81,IF(A82&lt;'Données projet'!$A$88,$BA$205^A82,IF(A82='Données projet'!$A$88,'Données projet'!$B$88,BD81+BC82-BL81)))</f>
        <v>54.000000000000341</v>
      </c>
      <c r="BE82" s="14">
        <f>BD82*VLOOKUP('Données projet'!$B$11,Paramètres!$A$1:$I$89,3,0)*VLOOKUP('Données projet'!$B$11,Paramètres!$A$1:$I$89,5,0)</f>
        <v>30.186000000000188</v>
      </c>
      <c r="BF82" s="14">
        <f t="shared" si="91"/>
        <v>9.3563888882899153</v>
      </c>
      <c r="BG82" s="22">
        <f t="shared" si="61"/>
        <v>68.869660647105263</v>
      </c>
      <c r="BH82" s="62">
        <f t="shared" si="62"/>
        <v>339.19920802828221</v>
      </c>
      <c r="BI82" s="62">
        <f ca="1">AVERAGE(OFFSET($BH$3,0,0,'Données projet'!$E$11+1,1))-AVERAGE(OFFSET($H$3,0,0,'Données projet'!$E$11+1,1))</f>
        <v>507.66185230065889</v>
      </c>
      <c r="BJ82" s="62">
        <f t="shared" si="92"/>
        <v>640.14375617778342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238.51597636383391</v>
      </c>
      <c r="BQ82" s="23">
        <f>EXP(-LN(2)/25)*BQ81+(1-EXP(-LN(2)/25))/(LN(2)/25)*Calculateur!BL82*Calculateur!BN82*VLOOKUP('Données projet'!$B$11,Paramètres!$A$1:$I$89,3,0)*0.475*44/12</f>
        <v>15.069137237611807</v>
      </c>
      <c r="BR82" s="23">
        <f>EXP(-LN(2)/2)*BR81+(1-EXP(-LN(2)/2))/(LN(2)/2)*BL82*BO82*VLOOKUP('Données projet'!$B$11,Paramètres!$A$1:$I$89,3,0)*0.475*44/12</f>
        <v>3.8867084642122324E-5</v>
      </c>
      <c r="BS82" s="24">
        <f t="shared" si="63"/>
        <v>253.58515246853037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12.473670769999995</v>
      </c>
      <c r="BY82" s="13">
        <f>IF('Données projet'!$A$114&gt;35,BY81+BX82-CG81,IF(A82&lt;'Données projet'!$A$114,$BV$205^A82,IF(A82='Données projet'!$A$114,'Données projet'!$B$114,BY81+BX82-CG81)))</f>
        <v>389.72231333000002</v>
      </c>
      <c r="BZ82" s="14">
        <f>BY82*VLOOKUP('Données projet'!$B$12,Paramètres!$A$1:$I$89,3,0)*VLOOKUP('Données projet'!$B$12,Paramètres!$A$1:$I$89,5,0)</f>
        <v>182.39004263844001</v>
      </c>
      <c r="CA82" s="14">
        <f t="shared" si="93"/>
        <v>45.853517717346008</v>
      </c>
      <c r="CB82" s="22">
        <f t="shared" si="64"/>
        <v>397.52420095299402</v>
      </c>
      <c r="CC82" s="62">
        <f t="shared" si="65"/>
        <v>667.85374833417097</v>
      </c>
      <c r="CD82" s="62">
        <f ca="1">AVERAGE(OFFSET($CC$3,0,0,'Données projet'!$E$12+1,1))-AVERAGE(OFFSET($H$3,0,0,'Données projet'!$E$12+1,1))</f>
        <v>289.21044803824958</v>
      </c>
      <c r="CE82" s="62">
        <f t="shared" si="94"/>
        <v>196.11836398299445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>
        <f>EXP(-LN(2)/35)*CK81+(1-EXP(-LN(2)/35))/(LN(2)/35)*CG82*CH82*VLOOKUP('Données projet'!$B$12,Paramètres!$A$1:$I$89,3,0)*0.475*44/12</f>
        <v>16.801268812884558</v>
      </c>
      <c r="CL82" s="23">
        <f>EXP(-LN(2)/25)*CL81+(1-EXP(-LN(2)/25))/(LN(2)/25)*Calculateur!CG82*Calculateur!CI82*VLOOKUP('Données projet'!$B$12,Paramètres!$A$1:$I$89,3,0)*0.475*44/12</f>
        <v>22.000746030962659</v>
      </c>
      <c r="CM82" s="23">
        <f>EXP(-LN(2)/2)*CM81+(1-EXP(-LN(2)/2))/(LN(2)/2)*CG82*CJ82*VLOOKUP('Données projet'!$B$12,Paramètres!$A$1:$I$89,3,0)*0.475*44/12</f>
        <v>0</v>
      </c>
      <c r="CN82" s="24">
        <f t="shared" si="66"/>
        <v>38.802014843847218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-5.6843418860808015E-14</v>
      </c>
      <c r="CU82" s="18">
        <f>CT82*VLOOKUP('Données projet'!$B$13,Paramètres!$A$1:$I$89,3,0)*VLOOKUP('Données projet'!$B$13,Paramètres!$A$1:$I$89,5,0)</f>
        <v>-5.1431925385259088E-14</v>
      </c>
      <c r="CV82" s="14" t="e">
        <f t="shared" si="95"/>
        <v>#NUM!</v>
      </c>
      <c r="CW82" s="22" t="e">
        <f t="shared" si="67"/>
        <v>#NUM!</v>
      </c>
      <c r="CX82" s="62" t="e">
        <f t="shared" si="68"/>
        <v>#NUM!</v>
      </c>
      <c r="CY82" s="62">
        <f ca="1">AVERAGE(OFFSET($CX$3,0,0,'Données projet'!$E$13+1,1))-AVERAGE(OFFSET($H$3,0,0,'Données projet'!$E$13+1,1))</f>
        <v>376.68007030857598</v>
      </c>
      <c r="CZ82" s="62">
        <f t="shared" si="96"/>
        <v>532.90758914457626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>
        <f>EXP(-LN(2)/35)*DF81+(1-EXP(-LN(2)/35))/(LN(2)/35)*DB82*DC82*VLOOKUP('Données projet'!$B$13,Paramètres!$A$1:$I$89,3,0)*0.475*44/12</f>
        <v>47.747035495231536</v>
      </c>
      <c r="DG82" s="23">
        <f>EXP(-LN(2)/25)*DG81+(1-EXP(-LN(2)/25))/(LN(2)/25)*Calculateur!DB82*Calculateur!DD82*VLOOKUP('Données projet'!$B$13,Paramètres!$A$1:$I$89,3,0)*0.475*44/12</f>
        <v>3.3671374899829374</v>
      </c>
      <c r="DH82" s="23">
        <f>EXP(-LN(2)/2)*DH81+(1-EXP(-LN(2)/2))/(LN(2)/2)*DB82*DE82*VLOOKUP('Données projet'!$B$13,Paramètres!$A$1:$I$89,3,0)*0.475*44/12</f>
        <v>0</v>
      </c>
      <c r="DI82" s="24">
        <f t="shared" si="69"/>
        <v>51.114172985214473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5.6843418860808015E-14</v>
      </c>
      <c r="DP82" s="18">
        <f>DO82*VLOOKUP('Données projet'!$B$14,Paramètres!$A$1:$I$89,3,0)*VLOOKUP('Données projet'!$B$14,Paramètres!$A$1:$I$89,5,0)</f>
        <v>5.4092197387944907E-14</v>
      </c>
      <c r="DQ82" s="14">
        <f t="shared" si="97"/>
        <v>8.7287050538073676E-13</v>
      </c>
      <c r="DR82" s="22">
        <f t="shared" si="70"/>
        <v>1.6144600406554537E-12</v>
      </c>
      <c r="DS82" s="62">
        <f t="shared" si="71"/>
        <v>270.32954738117854</v>
      </c>
      <c r="DT82" s="62">
        <f ca="1">AVERAGE(OFFSET($DS$3,0,0,'Données projet'!$E$14+1,1))-AVERAGE(OFFSET($H$3,0,0,'Données projet'!$E$14+1,1))</f>
        <v>364.63161066507769</v>
      </c>
      <c r="DU82" s="62">
        <f t="shared" si="98"/>
        <v>355.44729904860708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>
        <f>EXP(-LN(2)/35)*EA81+(1-EXP(-LN(2)/35))/(LN(2)/35)*DW82*DX82*VLOOKUP('Données projet'!$B$14,Paramètres!$A$1:$I$89,3,0)*0.475*44/12</f>
        <v>135.36915707932516</v>
      </c>
      <c r="EB82" s="23">
        <f>EXP(-LN(2)/25)*EB81+(1-EXP(-LN(2)/25))/(LN(2)/25)*Calculateur!DW82*Calculateur!DY82*VLOOKUP('Données projet'!$B$14,Paramètres!$A$1:$I$89,3,0)*0.475*44/12</f>
        <v>0</v>
      </c>
      <c r="EC82" s="23">
        <f>EXP(-LN(2)/2)*EC81+(1-EXP(-LN(2)/2))/(LN(2)/2)*DW82*DZ82*VLOOKUP('Données projet'!$B$14,Paramètres!$A$1:$I$89,3,0)*0.475*44/12</f>
        <v>0</v>
      </c>
      <c r="ED82" s="24">
        <f t="shared" si="72"/>
        <v>135.36915707932516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5.6843418860808015E-14</v>
      </c>
      <c r="EK82" s="18">
        <f>EJ82*VLOOKUP('Données projet'!$B$15,Paramètres!$A$1:$I$89,3,0)*VLOOKUP('Données projet'!$B$15,Paramètres!$A$1:$I$89,5,0)</f>
        <v>4.1677594708744434E-14</v>
      </c>
      <c r="EL82" s="14">
        <f t="shared" si="99"/>
        <v>6.9326303456159188E-13</v>
      </c>
      <c r="EM82" s="22">
        <f t="shared" si="73"/>
        <v>1.2800215959791691E-12</v>
      </c>
      <c r="EN82" s="62">
        <f t="shared" si="74"/>
        <v>270.32954738117826</v>
      </c>
      <c r="EO82" s="62">
        <f ca="1">AVERAGE(OFFSET($EN$3,0,0,'Données projet'!$E$15+1,1))-AVERAGE(OFFSET($H$3,0,0,'Données projet'!$E$15+1,1))</f>
        <v>293.59366973965774</v>
      </c>
      <c r="EP82" s="62">
        <f t="shared" si="100"/>
        <v>288.13804536120426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>
        <f>EXP(-LN(2)/35)*EV81+(1-EXP(-LN(2)/35))/(LN(2)/35)*ER82*ES82*VLOOKUP('Données projet'!$B$15,Paramètres!$A$1:$I$89,3,0)*0.475*44/12</f>
        <v>104.30082594636531</v>
      </c>
      <c r="EW82" s="23">
        <f>EXP(-LN(2)/25)*EW81+(1-EXP(-LN(2)/25))/(LN(2)/25)*Calculateur!ER82*Calculateur!ET82*VLOOKUP('Données projet'!$B$15,Paramètres!$A$1:$I$89,3,0)*0.475*44/12</f>
        <v>0</v>
      </c>
      <c r="EX82" s="23">
        <f>EXP(-LN(2)/2)*EX81+(1-EXP(-LN(2)/2))/(LN(2)/2)*ER82*EU82*VLOOKUP('Données projet'!$B$15,Paramètres!$A$1:$I$89,3,0)*0.475*44/12</f>
        <v>0</v>
      </c>
      <c r="EY82" s="24">
        <f t="shared" si="75"/>
        <v>104.30082594636531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5.6843418860808015E-14</v>
      </c>
      <c r="FF82" s="18">
        <f>FE82*VLOOKUP('Données projet'!$B$16,Paramètres!$A$1:$I$89,3,0)*VLOOKUP('Données projet'!$B$16,Paramètres!$A$1:$I$89,5,0)</f>
        <v>5.4978954722173515E-14</v>
      </c>
      <c r="FG82" s="14">
        <f t="shared" si="101"/>
        <v>8.8550225887742724E-13</v>
      </c>
      <c r="FH82" s="22">
        <f t="shared" si="76"/>
        <v>1.6380047803526383E-12</v>
      </c>
      <c r="FI82" s="62">
        <f t="shared" si="77"/>
        <v>270.3295473811786</v>
      </c>
      <c r="FJ82" s="62">
        <f ca="1">AVERAGE(OFFSET($FI$3,0,0,'Données projet'!$E$16+1,1))-AVERAGE(OFFSET($H$3,0,0,'Données projet'!$E$16+1,1))</f>
        <v>369.69145521630799</v>
      </c>
      <c r="FK82" s="62">
        <f t="shared" si="102"/>
        <v>360.24112103688719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>
        <f>EXP(-LN(2)/35)*FQ81+(1-EXP(-LN(2)/35))/(LN(2)/35)*FM82*FN82*VLOOKUP('Données projet'!$B$16,Paramètres!$A$1:$I$89,3,0)*0.475*44/12</f>
        <v>137.58832358882231</v>
      </c>
      <c r="FR82" s="23">
        <f>EXP(-LN(2)/25)*FR81+(1-EXP(-LN(2)/25))/(LN(2)/25)*Calculateur!FM82*Calculateur!FO82*VLOOKUP('Données projet'!$B$16,Paramètres!$A$1:$I$89,3,0)*0.475*44/12</f>
        <v>0</v>
      </c>
      <c r="FS82" s="23">
        <f>EXP(-LN(2)/2)*FS81+(1-EXP(-LN(2)/2))/(LN(2)/2)*FM82*FP82*VLOOKUP('Données projet'!$B$16,Paramètres!$A$1:$I$89,3,0)*0.475*44/12</f>
        <v>0</v>
      </c>
      <c r="FT82" s="24">
        <f t="shared" si="78"/>
        <v>137.58832358882231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5.6843418860808015E-14</v>
      </c>
      <c r="GA82" s="18">
        <f>FZ82*VLOOKUP('Données projet'!$B$17,Paramètres!$A$1:$I$89,3,0)*VLOOKUP('Données projet'!$B$17,Paramètres!$A$1:$I$89,5,0)</f>
        <v>6.1186256061773749E-14</v>
      </c>
      <c r="GB82" s="14">
        <f t="shared" si="103"/>
        <v>9.7328366192051127E-13</v>
      </c>
      <c r="GC82" s="22">
        <f t="shared" si="79"/>
        <v>1.8017017738191463E-12</v>
      </c>
      <c r="GD82" s="62">
        <f t="shared" si="80"/>
        <v>270.32954738117877</v>
      </c>
      <c r="GE82" s="62">
        <f ca="1">AVERAGE(OFFSET($GD$3,0,0,'Données projet'!$E$17+1,1))-AVERAGE(OFFSET($H$3,0,0,'Données projet'!$E$17+1,1))</f>
        <v>405.06394904053946</v>
      </c>
      <c r="GF82" s="62">
        <f t="shared" si="104"/>
        <v>393.75247087518198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>
        <f>EXP(-LN(2)/35)*GL81+(1-EXP(-LN(2)/35))/(LN(2)/35)*GH82*GI82*VLOOKUP('Données projet'!$B$17,Paramètres!$A$1:$I$89,3,0)*0.475*44/12</f>
        <v>153.12248915530225</v>
      </c>
      <c r="GM82" s="23">
        <f>EXP(-LN(2)/25)*GM81+(1-EXP(-LN(2)/25))/(LN(2)/25)*Calculateur!GH82*Calculateur!GJ82*VLOOKUP('Données projet'!$B$17,Paramètres!$A$1:$I$89,3,0)*0.475*44/12</f>
        <v>0</v>
      </c>
      <c r="GN82" s="23">
        <f>EXP(-LN(2)/2)*GN81+(1-EXP(-LN(2)/2))/(LN(2)/2)*GH82*GK82*VLOOKUP('Données projet'!$B$17,Paramètres!$A$1:$I$89,3,0)*0.475*44/12</f>
        <v>0</v>
      </c>
      <c r="GO82" s="23">
        <f t="shared" si="81"/>
        <v>153.12248915530225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5.6843418860808015E-14</v>
      </c>
      <c r="GV82" s="18">
        <f>GU82*VLOOKUP('Données projet'!$B$18,Paramètres!$A$1:$I$89,3,0)*VLOOKUP('Données projet'!$B$18,Paramètres!$A$1:$I$89,5,0)</f>
        <v>3.813056537183002E-14</v>
      </c>
      <c r="GW82" s="14">
        <f t="shared" si="105"/>
        <v>6.4086286045526829E-13</v>
      </c>
      <c r="GX82" s="22">
        <f t="shared" si="82"/>
        <v>1.1825802166488628E-12</v>
      </c>
      <c r="GY82" s="62">
        <f t="shared" si="83"/>
        <v>270.32954738117814</v>
      </c>
      <c r="GZ82" s="62">
        <f ca="1">AVERAGE(OFFSET($GY$3,0,0,'Données projet'!$E$18+1,1))-AVERAGE(OFFSET($H$3,0,0,'Données projet'!$E$18+1,1))</f>
        <v>273.21861937609918</v>
      </c>
      <c r="HA82" s="62">
        <f t="shared" si="106"/>
        <v>268.83004886965318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>
        <f>EXP(-LN(2)/35)*HG81+(1-EXP(-LN(2)/35))/(LN(2)/35)*HC82*HD82*VLOOKUP('Données projet'!$B$18,Paramètres!$A$1:$I$89,3,0)*0.475*44/12</f>
        <v>117.61582500334812</v>
      </c>
      <c r="HH82" s="23">
        <f>EXP(-LN(2)/25)*HH81+(1-EXP(-LN(2)/25))/(LN(2)/25)*Calculateur!HC82*Calculateur!HE82*VLOOKUP('Données projet'!$B$18,Paramètres!$A$1:$I$89,3,0)*0.475*44/12</f>
        <v>0</v>
      </c>
      <c r="HI82" s="23">
        <f>EXP(-LN(2)/2)*HI81+(1-EXP(-LN(2)/2))/(LN(2)/2)*HC82*HF82*VLOOKUP('Données projet'!$B$18,Paramètres!$A$1:$I$89,3,0)*0.475*44/12</f>
        <v>0</v>
      </c>
      <c r="HJ82" s="24">
        <f t="shared" si="84"/>
        <v>117.61582500334812</v>
      </c>
    </row>
    <row r="83" spans="1:218" s="5" customFormat="1" x14ac:dyDescent="0.4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5.7</v>
      </c>
      <c r="N83" s="14">
        <f>IF('Données projet'!$A$36&gt;35,N82+M83-V82,IF(A83&lt;'Données projet'!$A$36,$K$205^A83,IF(A83='Données projet'!$A$36,'Données projet'!$B$36,N82+M83-V82)))</f>
        <v>173.40000000000009</v>
      </c>
      <c r="O83" s="14">
        <f>N83*VLOOKUP('Données projet'!$B$9,Paramètres!$A$1:$I$89,3,0)*VLOOKUP('Données projet'!$B$9,Paramètres!$A$1:$I$89,5,0)</f>
        <v>156.89232000000007</v>
      </c>
      <c r="P83" s="14">
        <f t="shared" si="87"/>
        <v>40.140771359113288</v>
      </c>
      <c r="Q83" s="22">
        <f t="shared" si="54"/>
        <v>343.16596745045581</v>
      </c>
      <c r="R83" s="62">
        <f t="shared" si="55"/>
        <v>613.89457908914187</v>
      </c>
      <c r="S83" s="62">
        <f ca="1">AVERAGE(OFFSET($R$3,0,0,'Données projet'!$E$9+1,1))-AVERAGE(OFFSET($H$3,0,0,'Données projet'!$E$9+1,1))</f>
        <v>432.80275651765203</v>
      </c>
      <c r="T83" s="62">
        <f t="shared" si="88"/>
        <v>203.89279893419919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11.870752749091816</v>
      </c>
      <c r="AA83" s="23">
        <f>EXP(-LN(2)/25)*AA82+(1-EXP(-LN(2)/25))/(LN(2)/25)*Calculateur!V83*Calculateur!X83*VLOOKUP('Données projet'!$B$9,Paramètres!$A$1:$I$89,3,0)*0.475*44/12</f>
        <v>8.9965364510321777</v>
      </c>
      <c r="AB83" s="23">
        <f>EXP(-LN(2)/2)*AB82+(1-EXP(-LN(2)/2))/(LN(2)/2)*V83*Y83*VLOOKUP('Données projet'!$B$9,Paramètres!$A$1:$I$89,3,0)*0.475*44/12</f>
        <v>0</v>
      </c>
      <c r="AC83" s="24">
        <f t="shared" si="57"/>
        <v>20.867289200123992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54.000000000000341</v>
      </c>
      <c r="AJ83" s="14">
        <f>AI83*VLOOKUP('Données projet'!$B$10,Paramètres!$A$1:$I$89,3,0)*VLOOKUP('Données projet'!$B$10,Paramètres!$A$1:$I$89,5,0)</f>
        <v>23.868000000000151</v>
      </c>
      <c r="AK83" s="14">
        <f t="shared" si="89"/>
        <v>7.6030930962115804</v>
      </c>
      <c r="AL83" s="22">
        <f t="shared" si="58"/>
        <v>54.812153809235433</v>
      </c>
      <c r="AM83" s="62">
        <f t="shared" si="59"/>
        <v>325.54076544792156</v>
      </c>
      <c r="AN83" s="62">
        <f ca="1">AVERAGE(OFFSET($AM$3,0,0,'Données projet'!$E$10+1,1))-AVERAGE(OFFSET($H$3,0,0,'Données projet'!$E$10+1,1))</f>
        <v>413.08876898406481</v>
      </c>
      <c r="AO83" s="62">
        <f t="shared" si="90"/>
        <v>520.31320932826566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184.8958139679645</v>
      </c>
      <c r="AV83" s="23">
        <f>EXP(-LN(2)/25)*AV82+(1-EXP(-LN(2)/25))/(LN(2)/25)*Calculateur!AQ83*Calculateur!AS83*VLOOKUP('Données projet'!$B$10,Paramètres!$A$1:$I$89,3,0)*0.475*44/12</f>
        <v>11.589311864454087</v>
      </c>
      <c r="AW83" s="23">
        <f>EXP(-LN(2)/2)*AW82+(1-EXP(-LN(2)/2))/(LN(2)/2)*AQ83*AT83*VLOOKUP('Données projet'!$B$10,Paramètres!$A$1:$I$89,3,0)*0.475*44/12</f>
        <v>2.1730885812173734E-5</v>
      </c>
      <c r="AX83" s="23">
        <f t="shared" si="60"/>
        <v>196.48514756330439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 t="e">
        <f>VLOOKUP(A83,'Données projet'!$A$87:$I$107,2,0)</f>
        <v>#N/A</v>
      </c>
      <c r="BB83" s="13" t="e">
        <f>VLOOKUP(A83,'Données projet'!$A$87:$I$107,9,0)</f>
        <v>#N/A</v>
      </c>
      <c r="BC83" s="13">
        <f t="array" ref="BC83">INDEX(BB:BB,MIN(IF(ISNUMBER(BB83:BB279),ROW(BB83:BB279),"")))</f>
        <v>0</v>
      </c>
      <c r="BD83" s="13">
        <f>IF('Données projet'!$A$88&gt;35,BD82+BC83-BL82,IF(A83&lt;'Données projet'!$A$88,$BA$205^A83,IF(A83='Données projet'!$A$88,'Données projet'!$B$88,BD82+BC83-BL82)))</f>
        <v>54.000000000000341</v>
      </c>
      <c r="BE83" s="14">
        <f>BD83*VLOOKUP('Données projet'!$B$11,Paramètres!$A$1:$I$89,3,0)*VLOOKUP('Données projet'!$B$11,Paramètres!$A$1:$I$89,5,0)</f>
        <v>30.186000000000188</v>
      </c>
      <c r="BF83" s="14">
        <f t="shared" si="91"/>
        <v>9.3563888882899153</v>
      </c>
      <c r="BG83" s="22">
        <f t="shared" si="61"/>
        <v>68.869660647105263</v>
      </c>
      <c r="BH83" s="62">
        <f t="shared" si="62"/>
        <v>339.59827228579138</v>
      </c>
      <c r="BI83" s="62">
        <f ca="1">AVERAGE(OFFSET($BH$3,0,0,'Données projet'!$E$11+1,1))-AVERAGE(OFFSET($H$3,0,0,'Données projet'!$E$11+1,1))</f>
        <v>507.66185230065889</v>
      </c>
      <c r="BJ83" s="62">
        <f t="shared" si="92"/>
        <v>640.14375617778342</v>
      </c>
      <c r="BK83" s="16">
        <f>IF(ISNA(VLOOKUP(A83,'Données projet'!$A$87:$I$107,3,0)),0,VLOOKUP(A83,'Données projet'!$A$87:$I$107,3,0))</f>
        <v>0</v>
      </c>
      <c r="BL83" s="23">
        <f>IF(ISNA(VLOOKUP(A83,'Données projet'!$A$87:$I$107,4,0)),0,VLOOKUP(A83,'Données projet'!$A$87:$I$107,4,0))</f>
        <v>0</v>
      </c>
      <c r="BM83" s="17">
        <f>IF(ISNA(VLOOKUP(A83,'Données projet'!$A$87:$I$107,5,0)),0%,VLOOKUP(A83,'Données projet'!$A$87:$I$107,5,0)*VLOOKUP('Données projet'!$B$11,Paramètres!$A$1:$I$89,7,0))</f>
        <v>0</v>
      </c>
      <c r="BN83" s="17">
        <f>IF(ISNA(VLOOKUP(A83,'Données projet'!$A$87:$I$107,6,0)),0%,VLOOKUP(A83,'Données projet'!$A$87:$I$107,6,0)*VLOOKUP('Données projet'!$B$11,Paramètres!$A$1:$I$89,7,0))</f>
        <v>0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233.83882354771973</v>
      </c>
      <c r="BQ83" s="23">
        <f>EXP(-LN(2)/25)*BQ82+(1-EXP(-LN(2)/25))/(LN(2)/25)*Calculateur!BL83*Calculateur!BN83*VLOOKUP('Données projet'!$B$11,Paramètres!$A$1:$I$89,3,0)*0.475*44/12</f>
        <v>14.657070887397825</v>
      </c>
      <c r="BR83" s="23">
        <f>EXP(-LN(2)/2)*BR82+(1-EXP(-LN(2)/2))/(LN(2)/2)*BL83*BO83*VLOOKUP('Données projet'!$B$11,Paramètres!$A$1:$I$89,3,0)*0.475*44/12</f>
        <v>2.7483179115396212E-5</v>
      </c>
      <c r="BS83" s="24">
        <f t="shared" si="63"/>
        <v>248.49592191829666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>
        <f>VLOOKUP(A83,'Données projet'!$A$113:$I$133,2,0)</f>
        <v>402.19598409999998</v>
      </c>
      <c r="BW83" s="13">
        <f>VLOOKUP(A83,'Données projet'!$A$113:$I$133,9,0)</f>
        <v>12.473670769999995</v>
      </c>
      <c r="BX83" s="13">
        <f t="array" ref="BX83">INDEX(BW:BW,MIN(IF(ISNUMBER(BW83:BW279),ROW(BW83:BW279),"")))</f>
        <v>12.473670769999995</v>
      </c>
      <c r="BY83" s="13">
        <f>IF('Données projet'!$A$114&gt;35,BY82+BX83-CG82,IF(A83&lt;'Données projet'!$A$114,$BV$205^A83,IF(A83='Données projet'!$A$114,'Données projet'!$B$114,BY82+BX83-CG82)))</f>
        <v>402.19598410000003</v>
      </c>
      <c r="BZ83" s="14">
        <f>BY83*VLOOKUP('Données projet'!$B$12,Paramètres!$A$1:$I$89,3,0)*VLOOKUP('Données projet'!$B$12,Paramètres!$A$1:$I$89,5,0)</f>
        <v>188.2277205588</v>
      </c>
      <c r="CA83" s="14">
        <f t="shared" si="93"/>
        <v>47.147913574654417</v>
      </c>
      <c r="CB83" s="22">
        <f t="shared" si="64"/>
        <v>409.9458961157664</v>
      </c>
      <c r="CC83" s="62">
        <f t="shared" si="65"/>
        <v>680.67450775445252</v>
      </c>
      <c r="CD83" s="62">
        <f ca="1">AVERAGE(OFFSET($CC$3,0,0,'Données projet'!$E$12+1,1))-AVERAGE(OFFSET($H$3,0,0,'Données projet'!$E$12+1,1))</f>
        <v>289.21044803824958</v>
      </c>
      <c r="CE83" s="62">
        <f t="shared" si="94"/>
        <v>196.11836398299445</v>
      </c>
      <c r="CF83" s="16">
        <f>IF(ISNA(VLOOKUP(A83,'Données projet'!$A$113:$I$133,3,0)),0,VLOOKUP(A83,'Données projet'!$A$113:$I$133,3,0))</f>
        <v>7</v>
      </c>
      <c r="CG83" s="16">
        <f>IF(ISNA(VLOOKUP(A83,'Données projet'!$A$113:$I$133,4,0)),0,VLOOKUP(A83,'Données projet'!$A$113:$I$133,4,0))</f>
        <v>80.439196820000006</v>
      </c>
      <c r="CH83" s="17">
        <f>IF(ISNA(VLOOKUP(A83,'Données projet'!$A$113:$I$133,5,0)),0%,VLOOKUP(A83,'Données projet'!$A$113:$I$133,5,0)*VLOOKUP('Données projet'!$B$12,Paramètres!$A$1:$I$89,7,0))</f>
        <v>0.27500000000000002</v>
      </c>
      <c r="CI83" s="17">
        <f>IF(ISNA(VLOOKUP(A83,'Données projet'!$A$113:$I$133,6,0)),0%,VLOOKUP(A83,'Données projet'!$A$113:$I$133,6,0)*VLOOKUP('Données projet'!$B$12,Paramètres!$A$1:$I$89,7,0))</f>
        <v>0.27500000000000002</v>
      </c>
      <c r="CJ83" s="17">
        <f>IF(ISNA(VLOOKUP(A83,'Données projet'!$A$113:$I$133,7,0)),0%,VLOOKUP(A83,'Données projet'!$A$113:$I$133,7,0))</f>
        <v>0</v>
      </c>
      <c r="CK83" s="23">
        <f>EXP(-LN(2)/35)*CK82+(1-EXP(-LN(2)/35))/(LN(2)/35)*CG83*CH83*VLOOKUP('Données projet'!$B$12,Paramètres!$A$1:$I$89,3,0)*0.475*44/12</f>
        <v>30.205097378420064</v>
      </c>
      <c r="CL83" s="23">
        <f>EXP(-LN(2)/25)*CL82+(1-EXP(-LN(2)/25))/(LN(2)/25)*Calculateur!CG83*Calculateur!CI83*VLOOKUP('Données projet'!$B$12,Paramètres!$A$1:$I$89,3,0)*0.475*44/12</f>
        <v>35.078352472725697</v>
      </c>
      <c r="CM83" s="23">
        <f>EXP(-LN(2)/2)*CM82+(1-EXP(-LN(2)/2))/(LN(2)/2)*CG83*CJ83*VLOOKUP('Données projet'!$B$12,Paramètres!$A$1:$I$89,3,0)*0.475*44/12</f>
        <v>0</v>
      </c>
      <c r="CN83" s="24">
        <f t="shared" si="66"/>
        <v>65.283449851145761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-5.6843418860808015E-14</v>
      </c>
      <c r="CU83" s="18">
        <f>CT83*VLOOKUP('Données projet'!$B$13,Paramètres!$A$1:$I$89,3,0)*VLOOKUP('Données projet'!$B$13,Paramètres!$A$1:$I$89,5,0)</f>
        <v>-5.1431925385259088E-14</v>
      </c>
      <c r="CV83" s="14" t="e">
        <f t="shared" si="95"/>
        <v>#NUM!</v>
      </c>
      <c r="CW83" s="22" t="e">
        <f t="shared" si="67"/>
        <v>#NUM!</v>
      </c>
      <c r="CX83" s="62" t="e">
        <f t="shared" si="68"/>
        <v>#NUM!</v>
      </c>
      <c r="CY83" s="62">
        <f ca="1">AVERAGE(OFFSET($CX$3,0,0,'Données projet'!$E$13+1,1))-AVERAGE(OFFSET($H$3,0,0,'Données projet'!$E$13+1,1))</f>
        <v>376.68007030857598</v>
      </c>
      <c r="CZ83" s="62">
        <f t="shared" si="96"/>
        <v>532.90758914457626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>
        <f>EXP(-LN(2)/35)*DF82+(1-EXP(-LN(2)/35))/(LN(2)/35)*DB83*DC83*VLOOKUP('Données projet'!$B$13,Paramètres!$A$1:$I$89,3,0)*0.475*44/12</f>
        <v>46.810745251986056</v>
      </c>
      <c r="DG83" s="23">
        <f>EXP(-LN(2)/25)*DG82+(1-EXP(-LN(2)/25))/(LN(2)/25)*Calculateur!DB83*Calculateur!DD83*VLOOKUP('Données projet'!$B$13,Paramètres!$A$1:$I$89,3,0)*0.475*44/12</f>
        <v>3.2750629382492891</v>
      </c>
      <c r="DH83" s="23">
        <f>EXP(-LN(2)/2)*DH82+(1-EXP(-LN(2)/2))/(LN(2)/2)*DB83*DE83*VLOOKUP('Données projet'!$B$13,Paramètres!$A$1:$I$89,3,0)*0.475*44/12</f>
        <v>0</v>
      </c>
      <c r="DI83" s="24">
        <f t="shared" si="69"/>
        <v>50.085808190235348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5.6843418860808015E-14</v>
      </c>
      <c r="DP83" s="18">
        <f>DO83*VLOOKUP('Données projet'!$B$14,Paramètres!$A$1:$I$89,3,0)*VLOOKUP('Données projet'!$B$14,Paramètres!$A$1:$I$89,5,0)</f>
        <v>5.4092197387944907E-14</v>
      </c>
      <c r="DQ83" s="14">
        <f t="shared" si="97"/>
        <v>8.7287050538073676E-13</v>
      </c>
      <c r="DR83" s="22">
        <f t="shared" si="70"/>
        <v>1.6144600406554537E-12</v>
      </c>
      <c r="DS83" s="62">
        <f t="shared" si="71"/>
        <v>270.72861163868771</v>
      </c>
      <c r="DT83" s="62">
        <f ca="1">AVERAGE(OFFSET($DS$3,0,0,'Données projet'!$E$14+1,1))-AVERAGE(OFFSET($H$3,0,0,'Données projet'!$E$14+1,1))</f>
        <v>364.63161066507769</v>
      </c>
      <c r="DU83" s="62">
        <f t="shared" si="98"/>
        <v>355.44729904860708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>
        <f>EXP(-LN(2)/35)*EA82+(1-EXP(-LN(2)/35))/(LN(2)/35)*DW83*DX83*VLOOKUP('Données projet'!$B$14,Paramètres!$A$1:$I$89,3,0)*0.475*44/12</f>
        <v>132.7146504760326</v>
      </c>
      <c r="EB83" s="23">
        <f>EXP(-LN(2)/25)*EB82+(1-EXP(-LN(2)/25))/(LN(2)/25)*Calculateur!DW83*Calculateur!DY83*VLOOKUP('Données projet'!$B$14,Paramètres!$A$1:$I$89,3,0)*0.475*44/12</f>
        <v>0</v>
      </c>
      <c r="EC83" s="23">
        <f>EXP(-LN(2)/2)*EC82+(1-EXP(-LN(2)/2))/(LN(2)/2)*DW83*DZ83*VLOOKUP('Données projet'!$B$14,Paramètres!$A$1:$I$89,3,0)*0.475*44/12</f>
        <v>0</v>
      </c>
      <c r="ED83" s="24">
        <f t="shared" si="72"/>
        <v>132.7146504760326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5.6843418860808015E-14</v>
      </c>
      <c r="EK83" s="18">
        <f>EJ83*VLOOKUP('Données projet'!$B$15,Paramètres!$A$1:$I$89,3,0)*VLOOKUP('Données projet'!$B$15,Paramètres!$A$1:$I$89,5,0)</f>
        <v>4.1677594708744434E-14</v>
      </c>
      <c r="EL83" s="14">
        <f t="shared" si="99"/>
        <v>6.9326303456159188E-13</v>
      </c>
      <c r="EM83" s="22">
        <f t="shared" si="73"/>
        <v>1.2800215959791691E-12</v>
      </c>
      <c r="EN83" s="62">
        <f t="shared" si="74"/>
        <v>270.72861163868743</v>
      </c>
      <c r="EO83" s="62">
        <f ca="1">AVERAGE(OFFSET($EN$3,0,0,'Données projet'!$E$15+1,1))-AVERAGE(OFFSET($H$3,0,0,'Données projet'!$E$15+1,1))</f>
        <v>293.59366973965774</v>
      </c>
      <c r="EP83" s="62">
        <f t="shared" si="100"/>
        <v>288.13804536120426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>
        <f>EXP(-LN(2)/35)*EV82+(1-EXP(-LN(2)/35))/(LN(2)/35)*ER83*ES83*VLOOKUP('Données projet'!$B$15,Paramètres!$A$1:$I$89,3,0)*0.475*44/12</f>
        <v>102.25555036677923</v>
      </c>
      <c r="EW83" s="23">
        <f>EXP(-LN(2)/25)*EW82+(1-EXP(-LN(2)/25))/(LN(2)/25)*Calculateur!ER83*Calculateur!ET83*VLOOKUP('Données projet'!$B$15,Paramètres!$A$1:$I$89,3,0)*0.475*44/12</f>
        <v>0</v>
      </c>
      <c r="EX83" s="23">
        <f>EXP(-LN(2)/2)*EX82+(1-EXP(-LN(2)/2))/(LN(2)/2)*ER83*EU83*VLOOKUP('Données projet'!$B$15,Paramètres!$A$1:$I$89,3,0)*0.475*44/12</f>
        <v>0</v>
      </c>
      <c r="EY83" s="24">
        <f t="shared" si="75"/>
        <v>102.25555036677923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5.6843418860808015E-14</v>
      </c>
      <c r="FF83" s="18">
        <f>FE83*VLOOKUP('Données projet'!$B$16,Paramètres!$A$1:$I$89,3,0)*VLOOKUP('Données projet'!$B$16,Paramètres!$A$1:$I$89,5,0)</f>
        <v>5.4978954722173515E-14</v>
      </c>
      <c r="FG83" s="14">
        <f t="shared" si="101"/>
        <v>8.8550225887742724E-13</v>
      </c>
      <c r="FH83" s="22">
        <f t="shared" si="76"/>
        <v>1.6380047803526383E-12</v>
      </c>
      <c r="FI83" s="62">
        <f t="shared" si="77"/>
        <v>270.72861163868777</v>
      </c>
      <c r="FJ83" s="62">
        <f ca="1">AVERAGE(OFFSET($FI$3,0,0,'Données projet'!$E$16+1,1))-AVERAGE(OFFSET($H$3,0,0,'Données projet'!$E$16+1,1))</f>
        <v>369.69145521630799</v>
      </c>
      <c r="FK83" s="62">
        <f t="shared" si="102"/>
        <v>360.24112103688719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>
        <f>EXP(-LN(2)/35)*FQ82+(1-EXP(-LN(2)/35))/(LN(2)/35)*FM83*FN83*VLOOKUP('Données projet'!$B$16,Paramètres!$A$1:$I$89,3,0)*0.475*44/12</f>
        <v>134.89030048383643</v>
      </c>
      <c r="FR83" s="23">
        <f>EXP(-LN(2)/25)*FR82+(1-EXP(-LN(2)/25))/(LN(2)/25)*Calculateur!FM83*Calculateur!FO83*VLOOKUP('Données projet'!$B$16,Paramètres!$A$1:$I$89,3,0)*0.475*44/12</f>
        <v>0</v>
      </c>
      <c r="FS83" s="23">
        <f>EXP(-LN(2)/2)*FS82+(1-EXP(-LN(2)/2))/(LN(2)/2)*FM83*FP83*VLOOKUP('Données projet'!$B$16,Paramètres!$A$1:$I$89,3,0)*0.475*44/12</f>
        <v>0</v>
      </c>
      <c r="FT83" s="24">
        <f t="shared" si="78"/>
        <v>134.89030048383643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5.6843418860808015E-14</v>
      </c>
      <c r="GA83" s="18">
        <f>FZ83*VLOOKUP('Données projet'!$B$17,Paramètres!$A$1:$I$89,3,0)*VLOOKUP('Données projet'!$B$17,Paramètres!$A$1:$I$89,5,0)</f>
        <v>6.1186256061773749E-14</v>
      </c>
      <c r="GB83" s="14">
        <f t="shared" si="103"/>
        <v>9.7328366192051127E-13</v>
      </c>
      <c r="GC83" s="22">
        <f t="shared" si="79"/>
        <v>1.8017017738191463E-12</v>
      </c>
      <c r="GD83" s="62">
        <f t="shared" si="80"/>
        <v>270.72861163868794</v>
      </c>
      <c r="GE83" s="62">
        <f ca="1">AVERAGE(OFFSET($GD$3,0,0,'Données projet'!$E$17+1,1))-AVERAGE(OFFSET($H$3,0,0,'Données projet'!$E$17+1,1))</f>
        <v>405.06394904053946</v>
      </c>
      <c r="GF83" s="62">
        <f t="shared" si="104"/>
        <v>393.75247087518198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>
        <f>EXP(-LN(2)/35)*GL82+(1-EXP(-LN(2)/35))/(LN(2)/35)*GH83*GI83*VLOOKUP('Données projet'!$B$17,Paramètres!$A$1:$I$89,3,0)*0.475*44/12</f>
        <v>150.11985053846311</v>
      </c>
      <c r="GM83" s="23">
        <f>EXP(-LN(2)/25)*GM82+(1-EXP(-LN(2)/25))/(LN(2)/25)*Calculateur!GH83*Calculateur!GJ83*VLOOKUP('Données projet'!$B$17,Paramètres!$A$1:$I$89,3,0)*0.475*44/12</f>
        <v>0</v>
      </c>
      <c r="GN83" s="23">
        <f>EXP(-LN(2)/2)*GN82+(1-EXP(-LN(2)/2))/(LN(2)/2)*GH83*GK83*VLOOKUP('Données projet'!$B$17,Paramètres!$A$1:$I$89,3,0)*0.475*44/12</f>
        <v>0</v>
      </c>
      <c r="GO83" s="23">
        <f t="shared" si="81"/>
        <v>150.11985053846311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5.6843418860808015E-14</v>
      </c>
      <c r="GV83" s="18">
        <f>GU83*VLOOKUP('Données projet'!$B$18,Paramètres!$A$1:$I$89,3,0)*VLOOKUP('Données projet'!$B$18,Paramètres!$A$1:$I$89,5,0)</f>
        <v>3.813056537183002E-14</v>
      </c>
      <c r="GW83" s="14">
        <f t="shared" si="105"/>
        <v>6.4086286045526829E-13</v>
      </c>
      <c r="GX83" s="22">
        <f t="shared" si="82"/>
        <v>1.1825802166488628E-12</v>
      </c>
      <c r="GY83" s="62">
        <f t="shared" si="83"/>
        <v>270.72861163868731</v>
      </c>
      <c r="GZ83" s="62">
        <f ca="1">AVERAGE(OFFSET($GY$3,0,0,'Données projet'!$E$18+1,1))-AVERAGE(OFFSET($H$3,0,0,'Données projet'!$E$18+1,1))</f>
        <v>273.21861937609918</v>
      </c>
      <c r="HA83" s="62">
        <f t="shared" si="106"/>
        <v>268.83004886965318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>
        <f>EXP(-LN(2)/35)*HG82+(1-EXP(-LN(2)/35))/(LN(2)/35)*HC83*HD83*VLOOKUP('Données projet'!$B$18,Paramètres!$A$1:$I$89,3,0)*0.475*44/12</f>
        <v>115.30945041360212</v>
      </c>
      <c r="HH83" s="23">
        <f>EXP(-LN(2)/25)*HH82+(1-EXP(-LN(2)/25))/(LN(2)/25)*Calculateur!HC83*Calculateur!HE83*VLOOKUP('Données projet'!$B$18,Paramètres!$A$1:$I$89,3,0)*0.475*44/12</f>
        <v>0</v>
      </c>
      <c r="HI83" s="23">
        <f>EXP(-LN(2)/2)*HI82+(1-EXP(-LN(2)/2))/(LN(2)/2)*HC83*HF83*VLOOKUP('Données projet'!$B$18,Paramètres!$A$1:$I$89,3,0)*0.475*44/12</f>
        <v>0</v>
      </c>
      <c r="HJ83" s="24">
        <f t="shared" si="84"/>
        <v>115.30945041360212</v>
      </c>
    </row>
    <row r="84" spans="1:218" s="5" customFormat="1" x14ac:dyDescent="0.4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5.7</v>
      </c>
      <c r="N84" s="14">
        <f>IF('Données projet'!$A$36&gt;35,N83+M84-V83,IF(A84&lt;'Données projet'!$A$36,$K$205^A84,IF(A84='Données projet'!$A$36,'Données projet'!$B$36,N83+M84-V83)))</f>
        <v>179.10000000000008</v>
      </c>
      <c r="O84" s="14">
        <f>N84*VLOOKUP('Données projet'!$B$9,Paramètres!$A$1:$I$89,3,0)*VLOOKUP('Données projet'!$B$9,Paramètres!$A$1:$I$89,5,0)</f>
        <v>162.04968000000008</v>
      </c>
      <c r="P84" s="14">
        <f t="shared" si="87"/>
        <v>41.304483398422938</v>
      </c>
      <c r="Q84" s="22">
        <f t="shared" si="54"/>
        <v>354.17516791892012</v>
      </c>
      <c r="R84" s="62">
        <f t="shared" si="55"/>
        <v>625.29592094242162</v>
      </c>
      <c r="S84" s="62">
        <f ca="1">AVERAGE(OFFSET($R$3,0,0,'Données projet'!$E$9+1,1))-AVERAGE(OFFSET($H$3,0,0,'Données projet'!$E$9+1,1))</f>
        <v>432.80275651765203</v>
      </c>
      <c r="T84" s="62">
        <f t="shared" si="88"/>
        <v>203.89279893419919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11.637974528126367</v>
      </c>
      <c r="AA84" s="23">
        <f>EXP(-LN(2)/25)*AA83+(1-EXP(-LN(2)/25))/(LN(2)/25)*Calculateur!V84*Calculateur!X84*VLOOKUP('Données projet'!$B$9,Paramètres!$A$1:$I$89,3,0)*0.475*44/12</f>
        <v>8.7505256886714129</v>
      </c>
      <c r="AB84" s="23">
        <f>EXP(-LN(2)/2)*AB83+(1-EXP(-LN(2)/2))/(LN(2)/2)*V84*Y84*VLOOKUP('Données projet'!$B$9,Paramètres!$A$1:$I$89,3,0)*0.475*44/12</f>
        <v>0</v>
      </c>
      <c r="AC84" s="24">
        <f t="shared" si="57"/>
        <v>20.38850021679778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54.000000000000341</v>
      </c>
      <c r="AJ84" s="14">
        <f>AI84*VLOOKUP('Données projet'!$B$10,Paramètres!$A$1:$I$89,3,0)*VLOOKUP('Données projet'!$B$10,Paramètres!$A$1:$I$89,5,0)</f>
        <v>23.868000000000151</v>
      </c>
      <c r="AK84" s="14">
        <f t="shared" si="89"/>
        <v>7.6030930962115804</v>
      </c>
      <c r="AL84" s="22">
        <f t="shared" si="58"/>
        <v>54.812153809235433</v>
      </c>
      <c r="AM84" s="62">
        <f t="shared" si="59"/>
        <v>325.93290683273688</v>
      </c>
      <c r="AN84" s="62">
        <f ca="1">AVERAGE(OFFSET($AM$3,0,0,'Données projet'!$E$10+1,1))-AVERAGE(OFFSET($H$3,0,0,'Données projet'!$E$10+1,1))</f>
        <v>413.08876898406481</v>
      </c>
      <c r="AO84" s="62">
        <f t="shared" si="90"/>
        <v>520.31320932826566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181.27011983136359</v>
      </c>
      <c r="AV84" s="23">
        <f>EXP(-LN(2)/25)*AV83+(1-EXP(-LN(2)/25))/(LN(2)/25)*Calculateur!AQ84*Calculateur!AS84*VLOOKUP('Données projet'!$B$10,Paramètres!$A$1:$I$89,3,0)*0.475*44/12</f>
        <v>11.272401522065167</v>
      </c>
      <c r="AW84" s="23">
        <f>EXP(-LN(2)/2)*AW83+(1-EXP(-LN(2)/2))/(LN(2)/2)*AQ84*AT84*VLOOKUP('Données projet'!$B$10,Paramètres!$A$1:$I$89,3,0)*0.475*44/12</f>
        <v>1.5366056718978582E-5</v>
      </c>
      <c r="AX84" s="23">
        <f t="shared" si="60"/>
        <v>192.54253671948547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0</v>
      </c>
      <c r="BD84" s="13">
        <f>IF('Données projet'!$A$88&gt;35,BD83+BC84-BL83,IF(A84&lt;'Données projet'!$A$88,$BA$205^A84,IF(A84='Données projet'!$A$88,'Données projet'!$B$88,BD83+BC84-BL83)))</f>
        <v>54.000000000000341</v>
      </c>
      <c r="BE84" s="14">
        <f>BD84*VLOOKUP('Données projet'!$B$11,Paramètres!$A$1:$I$89,3,0)*VLOOKUP('Données projet'!$B$11,Paramètres!$A$1:$I$89,5,0)</f>
        <v>30.186000000000188</v>
      </c>
      <c r="BF84" s="14">
        <f t="shared" si="91"/>
        <v>9.3563888882899153</v>
      </c>
      <c r="BG84" s="22">
        <f t="shared" si="61"/>
        <v>68.869660647105263</v>
      </c>
      <c r="BH84" s="62">
        <f t="shared" si="62"/>
        <v>339.9904136706067</v>
      </c>
      <c r="BI84" s="62">
        <f ca="1">AVERAGE(OFFSET($BH$3,0,0,'Données projet'!$E$11+1,1))-AVERAGE(OFFSET($H$3,0,0,'Données projet'!$E$11+1,1))</f>
        <v>507.66185230065889</v>
      </c>
      <c r="BJ84" s="62">
        <f t="shared" si="92"/>
        <v>640.14375617778342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229.25338684554799</v>
      </c>
      <c r="BQ84" s="23">
        <f>EXP(-LN(2)/25)*BQ83+(1-EXP(-LN(2)/25))/(LN(2)/25)*Calculateur!BL84*Calculateur!BN84*VLOOKUP('Données projet'!$B$11,Paramètres!$A$1:$I$89,3,0)*0.475*44/12</f>
        <v>14.256272513200074</v>
      </c>
      <c r="BR84" s="23">
        <f>EXP(-LN(2)/2)*BR83+(1-EXP(-LN(2)/2))/(LN(2)/2)*BL84*BO84*VLOOKUP('Données projet'!$B$11,Paramètres!$A$1:$I$89,3,0)*0.475*44/12</f>
        <v>1.9433542321061162E-5</v>
      </c>
      <c r="BS84" s="24">
        <f t="shared" si="63"/>
        <v>243.5096787922904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14.037721542000003</v>
      </c>
      <c r="BY84" s="13">
        <f>IF('Données projet'!$A$114&gt;35,BY83+BX84-CG83,IF(A84&lt;'Données projet'!$A$114,$BV$205^A84,IF(A84='Données projet'!$A$114,'Données projet'!$B$114,BY83+BX84-CG83)))</f>
        <v>335.79450882200001</v>
      </c>
      <c r="BZ84" s="14">
        <f>BY84*VLOOKUP('Données projet'!$B$12,Paramètres!$A$1:$I$89,3,0)*VLOOKUP('Données projet'!$B$12,Paramètres!$A$1:$I$89,5,0)</f>
        <v>157.15183012869602</v>
      </c>
      <c r="CA84" s="14">
        <f t="shared" si="93"/>
        <v>40.199432737648799</v>
      </c>
      <c r="CB84" s="22">
        <f t="shared" si="64"/>
        <v>343.72011615888391</v>
      </c>
      <c r="CC84" s="62">
        <f t="shared" si="65"/>
        <v>614.8408691823854</v>
      </c>
      <c r="CD84" s="62">
        <f ca="1">AVERAGE(OFFSET($CC$3,0,0,'Données projet'!$E$12+1,1))-AVERAGE(OFFSET($H$3,0,0,'Données projet'!$E$12+1,1))</f>
        <v>289.21044803824958</v>
      </c>
      <c r="CE84" s="62">
        <f t="shared" si="94"/>
        <v>196.11836398299445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>
        <f>EXP(-LN(2)/35)*CK83+(1-EXP(-LN(2)/35))/(LN(2)/35)*CG84*CH84*VLOOKUP('Données projet'!$B$12,Paramètres!$A$1:$I$89,3,0)*0.475*44/12</f>
        <v>29.612793842119498</v>
      </c>
      <c r="CL84" s="23">
        <f>EXP(-LN(2)/25)*CL83+(1-EXP(-LN(2)/25))/(LN(2)/25)*Calculateur!CG84*Calculateur!CI84*VLOOKUP('Données projet'!$B$12,Paramètres!$A$1:$I$89,3,0)*0.475*44/12</f>
        <v>34.119133079668629</v>
      </c>
      <c r="CM84" s="23">
        <f>EXP(-LN(2)/2)*CM83+(1-EXP(-LN(2)/2))/(LN(2)/2)*CG84*CJ84*VLOOKUP('Données projet'!$B$12,Paramètres!$A$1:$I$89,3,0)*0.475*44/12</f>
        <v>0</v>
      </c>
      <c r="CN84" s="24">
        <f t="shared" si="66"/>
        <v>63.73192692178813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-5.6843418860808015E-14</v>
      </c>
      <c r="CU84" s="18">
        <f>CT84*VLOOKUP('Données projet'!$B$13,Paramètres!$A$1:$I$89,3,0)*VLOOKUP('Données projet'!$B$13,Paramètres!$A$1:$I$89,5,0)</f>
        <v>-5.1431925385259088E-14</v>
      </c>
      <c r="CV84" s="14" t="e">
        <f t="shared" si="95"/>
        <v>#NUM!</v>
      </c>
      <c r="CW84" s="22" t="e">
        <f t="shared" si="67"/>
        <v>#NUM!</v>
      </c>
      <c r="CX84" s="62" t="e">
        <f t="shared" si="68"/>
        <v>#NUM!</v>
      </c>
      <c r="CY84" s="62">
        <f ca="1">AVERAGE(OFFSET($CX$3,0,0,'Données projet'!$E$13+1,1))-AVERAGE(OFFSET($H$3,0,0,'Données projet'!$E$13+1,1))</f>
        <v>376.68007030857598</v>
      </c>
      <c r="CZ84" s="62">
        <f t="shared" si="96"/>
        <v>532.90758914457626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>
        <f>EXP(-LN(2)/35)*DF83+(1-EXP(-LN(2)/35))/(LN(2)/35)*DB84*DC84*VLOOKUP('Données projet'!$B$13,Paramètres!$A$1:$I$89,3,0)*0.475*44/12</f>
        <v>45.892815089329964</v>
      </c>
      <c r="DG84" s="23">
        <f>EXP(-LN(2)/25)*DG83+(1-EXP(-LN(2)/25))/(LN(2)/25)*Calculateur!DB84*Calculateur!DD84*VLOOKUP('Données projet'!$B$13,Paramètres!$A$1:$I$89,3,0)*0.475*44/12</f>
        <v>3.1855061699747877</v>
      </c>
      <c r="DH84" s="23">
        <f>EXP(-LN(2)/2)*DH83+(1-EXP(-LN(2)/2))/(LN(2)/2)*DB84*DE84*VLOOKUP('Données projet'!$B$13,Paramètres!$A$1:$I$89,3,0)*0.475*44/12</f>
        <v>0</v>
      </c>
      <c r="DI84" s="24">
        <f t="shared" si="69"/>
        <v>49.078321259304751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5.6843418860808015E-14</v>
      </c>
      <c r="DP84" s="18">
        <f>DO84*VLOOKUP('Données projet'!$B$14,Paramètres!$A$1:$I$89,3,0)*VLOOKUP('Données projet'!$B$14,Paramètres!$A$1:$I$89,5,0)</f>
        <v>5.4092197387944907E-14</v>
      </c>
      <c r="DQ84" s="14">
        <f t="shared" si="97"/>
        <v>8.7287050538073676E-13</v>
      </c>
      <c r="DR84" s="22">
        <f t="shared" si="70"/>
        <v>1.6144600406554537E-12</v>
      </c>
      <c r="DS84" s="62">
        <f t="shared" si="71"/>
        <v>271.12075302350303</v>
      </c>
      <c r="DT84" s="62">
        <f ca="1">AVERAGE(OFFSET($DS$3,0,0,'Données projet'!$E$14+1,1))-AVERAGE(OFFSET($H$3,0,0,'Données projet'!$E$14+1,1))</f>
        <v>364.63161066507769</v>
      </c>
      <c r="DU84" s="62">
        <f t="shared" si="98"/>
        <v>355.44729904860708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>
        <f>EXP(-LN(2)/35)*EA83+(1-EXP(-LN(2)/35))/(LN(2)/35)*DW84*DX84*VLOOKUP('Données projet'!$B$14,Paramètres!$A$1:$I$89,3,0)*0.475*44/12</f>
        <v>130.11219712814145</v>
      </c>
      <c r="EB84" s="23">
        <f>EXP(-LN(2)/25)*EB83+(1-EXP(-LN(2)/25))/(LN(2)/25)*Calculateur!DW84*Calculateur!DY84*VLOOKUP('Données projet'!$B$14,Paramètres!$A$1:$I$89,3,0)*0.475*44/12</f>
        <v>0</v>
      </c>
      <c r="EC84" s="23">
        <f>EXP(-LN(2)/2)*EC83+(1-EXP(-LN(2)/2))/(LN(2)/2)*DW84*DZ84*VLOOKUP('Données projet'!$B$14,Paramètres!$A$1:$I$89,3,0)*0.475*44/12</f>
        <v>0</v>
      </c>
      <c r="ED84" s="24">
        <f t="shared" si="72"/>
        <v>130.11219712814145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5.6843418860808015E-14</v>
      </c>
      <c r="EK84" s="18">
        <f>EJ84*VLOOKUP('Données projet'!$B$15,Paramètres!$A$1:$I$89,3,0)*VLOOKUP('Données projet'!$B$15,Paramètres!$A$1:$I$89,5,0)</f>
        <v>4.1677594708744434E-14</v>
      </c>
      <c r="EL84" s="14">
        <f t="shared" si="99"/>
        <v>6.9326303456159188E-13</v>
      </c>
      <c r="EM84" s="22">
        <f t="shared" si="73"/>
        <v>1.2800215959791691E-12</v>
      </c>
      <c r="EN84" s="62">
        <f t="shared" si="74"/>
        <v>271.12075302350274</v>
      </c>
      <c r="EO84" s="62">
        <f ca="1">AVERAGE(OFFSET($EN$3,0,0,'Données projet'!$E$15+1,1))-AVERAGE(OFFSET($H$3,0,0,'Données projet'!$E$15+1,1))</f>
        <v>293.59366973965774</v>
      </c>
      <c r="EP84" s="62">
        <f t="shared" si="100"/>
        <v>288.13804536120426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>
        <f>EXP(-LN(2)/35)*EV83+(1-EXP(-LN(2)/35))/(LN(2)/35)*ER84*ES84*VLOOKUP('Données projet'!$B$15,Paramètres!$A$1:$I$89,3,0)*0.475*44/12</f>
        <v>100.25038139381391</v>
      </c>
      <c r="EW84" s="23">
        <f>EXP(-LN(2)/25)*EW83+(1-EXP(-LN(2)/25))/(LN(2)/25)*Calculateur!ER84*Calculateur!ET84*VLOOKUP('Données projet'!$B$15,Paramètres!$A$1:$I$89,3,0)*0.475*44/12</f>
        <v>0</v>
      </c>
      <c r="EX84" s="23">
        <f>EXP(-LN(2)/2)*EX83+(1-EXP(-LN(2)/2))/(LN(2)/2)*ER84*EU84*VLOOKUP('Données projet'!$B$15,Paramètres!$A$1:$I$89,3,0)*0.475*44/12</f>
        <v>0</v>
      </c>
      <c r="EY84" s="24">
        <f t="shared" si="75"/>
        <v>100.25038139381391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5.6843418860808015E-14</v>
      </c>
      <c r="FF84" s="18">
        <f>FE84*VLOOKUP('Données projet'!$B$16,Paramètres!$A$1:$I$89,3,0)*VLOOKUP('Données projet'!$B$16,Paramètres!$A$1:$I$89,5,0)</f>
        <v>5.4978954722173515E-14</v>
      </c>
      <c r="FG84" s="14">
        <f t="shared" si="101"/>
        <v>8.8550225887742724E-13</v>
      </c>
      <c r="FH84" s="22">
        <f t="shared" si="76"/>
        <v>1.6380047803526383E-12</v>
      </c>
      <c r="FI84" s="62">
        <f t="shared" si="77"/>
        <v>271.12075302350308</v>
      </c>
      <c r="FJ84" s="62">
        <f ca="1">AVERAGE(OFFSET($FI$3,0,0,'Données projet'!$E$16+1,1))-AVERAGE(OFFSET($H$3,0,0,'Données projet'!$E$16+1,1))</f>
        <v>369.69145521630799</v>
      </c>
      <c r="FK84" s="62">
        <f t="shared" si="102"/>
        <v>360.24112103688719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>
        <f>EXP(-LN(2)/35)*FQ83+(1-EXP(-LN(2)/35))/(LN(2)/35)*FM84*FN84*VLOOKUP('Données projet'!$B$16,Paramètres!$A$1:$I$89,3,0)*0.475*44/12</f>
        <v>132.24518396630771</v>
      </c>
      <c r="FR84" s="23">
        <f>EXP(-LN(2)/25)*FR83+(1-EXP(-LN(2)/25))/(LN(2)/25)*Calculateur!FM84*Calculateur!FO84*VLOOKUP('Données projet'!$B$16,Paramètres!$A$1:$I$89,3,0)*0.475*44/12</f>
        <v>0</v>
      </c>
      <c r="FS84" s="23">
        <f>EXP(-LN(2)/2)*FS83+(1-EXP(-LN(2)/2))/(LN(2)/2)*FM84*FP84*VLOOKUP('Données projet'!$B$16,Paramètres!$A$1:$I$89,3,0)*0.475*44/12</f>
        <v>0</v>
      </c>
      <c r="FT84" s="24">
        <f t="shared" si="78"/>
        <v>132.24518396630771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5.6843418860808015E-14</v>
      </c>
      <c r="GA84" s="18">
        <f>FZ84*VLOOKUP('Données projet'!$B$17,Paramètres!$A$1:$I$89,3,0)*VLOOKUP('Données projet'!$B$17,Paramètres!$A$1:$I$89,5,0)</f>
        <v>6.1186256061773749E-14</v>
      </c>
      <c r="GB84" s="14">
        <f t="shared" si="103"/>
        <v>9.7328366192051127E-13</v>
      </c>
      <c r="GC84" s="22">
        <f t="shared" si="79"/>
        <v>1.8017017738191463E-12</v>
      </c>
      <c r="GD84" s="62">
        <f t="shared" si="80"/>
        <v>271.12075302350326</v>
      </c>
      <c r="GE84" s="62">
        <f ca="1">AVERAGE(OFFSET($GD$3,0,0,'Données projet'!$E$17+1,1))-AVERAGE(OFFSET($H$3,0,0,'Données projet'!$E$17+1,1))</f>
        <v>405.06394904053946</v>
      </c>
      <c r="GF84" s="62">
        <f t="shared" si="104"/>
        <v>393.75247087518198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>
        <f>EXP(-LN(2)/35)*GL83+(1-EXP(-LN(2)/35))/(LN(2)/35)*GH84*GI84*VLOOKUP('Données projet'!$B$17,Paramètres!$A$1:$I$89,3,0)*0.475*44/12</f>
        <v>147.17609183347147</v>
      </c>
      <c r="GM84" s="23">
        <f>EXP(-LN(2)/25)*GM83+(1-EXP(-LN(2)/25))/(LN(2)/25)*Calculateur!GH84*Calculateur!GJ84*VLOOKUP('Données projet'!$B$17,Paramètres!$A$1:$I$89,3,0)*0.475*44/12</f>
        <v>0</v>
      </c>
      <c r="GN84" s="23">
        <f>EXP(-LN(2)/2)*GN83+(1-EXP(-LN(2)/2))/(LN(2)/2)*GH84*GK84*VLOOKUP('Données projet'!$B$17,Paramètres!$A$1:$I$89,3,0)*0.475*44/12</f>
        <v>0</v>
      </c>
      <c r="GO84" s="23">
        <f t="shared" si="81"/>
        <v>147.17609183347147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5.6843418860808015E-14</v>
      </c>
      <c r="GV84" s="18">
        <f>GU84*VLOOKUP('Données projet'!$B$18,Paramètres!$A$1:$I$89,3,0)*VLOOKUP('Données projet'!$B$18,Paramètres!$A$1:$I$89,5,0)</f>
        <v>3.813056537183002E-14</v>
      </c>
      <c r="GW84" s="14">
        <f t="shared" si="105"/>
        <v>6.4086286045526829E-13</v>
      </c>
      <c r="GX84" s="22">
        <f t="shared" si="82"/>
        <v>1.1825802166488628E-12</v>
      </c>
      <c r="GY84" s="62">
        <f t="shared" si="83"/>
        <v>271.12075302350263</v>
      </c>
      <c r="GZ84" s="62">
        <f ca="1">AVERAGE(OFFSET($GY$3,0,0,'Données projet'!$E$18+1,1))-AVERAGE(OFFSET($H$3,0,0,'Données projet'!$E$18+1,1))</f>
        <v>273.21861937609918</v>
      </c>
      <c r="HA84" s="62">
        <f t="shared" si="106"/>
        <v>268.83004886965318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>
        <f>EXP(-LN(2)/35)*HG83+(1-EXP(-LN(2)/35))/(LN(2)/35)*HC84*HD84*VLOOKUP('Données projet'!$B$18,Paramètres!$A$1:$I$89,3,0)*0.475*44/12</f>
        <v>113.04830242281145</v>
      </c>
      <c r="HH84" s="23">
        <f>EXP(-LN(2)/25)*HH83+(1-EXP(-LN(2)/25))/(LN(2)/25)*Calculateur!HC84*Calculateur!HE84*VLOOKUP('Données projet'!$B$18,Paramètres!$A$1:$I$89,3,0)*0.475*44/12</f>
        <v>0</v>
      </c>
      <c r="HI84" s="23">
        <f>EXP(-LN(2)/2)*HI83+(1-EXP(-LN(2)/2))/(LN(2)/2)*HC84*HF84*VLOOKUP('Données projet'!$B$18,Paramètres!$A$1:$I$89,3,0)*0.475*44/12</f>
        <v>0</v>
      </c>
      <c r="HJ84" s="24">
        <f t="shared" si="84"/>
        <v>113.04830242281145</v>
      </c>
    </row>
    <row r="85" spans="1:218" s="5" customFormat="1" x14ac:dyDescent="0.4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 t="e">
        <f>VLOOKUP(A85,'Données projet'!$A$35:$I$55,2,0)</f>
        <v>#N/A</v>
      </c>
      <c r="L85" s="13" t="e">
        <f>VLOOKUP(A85,'Données projet'!$A$35:$I$55,9,0)</f>
        <v>#N/A</v>
      </c>
      <c r="M85" s="13">
        <f t="array" ref="M85">INDEX(L:L,MIN(IF(ISNUMBER(L85:L281),ROW(L85:L281),"")))</f>
        <v>5.7</v>
      </c>
      <c r="N85" s="14">
        <f>IF('Données projet'!$A$36&gt;35,N84+M85-V84,IF(A85&lt;'Données projet'!$A$36,$K$205^A85,IF(A85='Données projet'!$A$36,'Données projet'!$B$36,N84+M85-V84)))</f>
        <v>184.80000000000007</v>
      </c>
      <c r="O85" s="14">
        <f>N85*VLOOKUP('Données projet'!$B$9,Paramètres!$A$1:$I$89,3,0)*VLOOKUP('Données projet'!$B$9,Paramètres!$A$1:$I$89,5,0)</f>
        <v>167.20704000000003</v>
      </c>
      <c r="P85" s="14">
        <f t="shared" si="87"/>
        <v>42.463891647822834</v>
      </c>
      <c r="Q85" s="22">
        <f t="shared" si="54"/>
        <v>365.17687261995815</v>
      </c>
      <c r="R85" s="62">
        <f t="shared" si="55"/>
        <v>636.68296425194512</v>
      </c>
      <c r="S85" s="62">
        <f ca="1">AVERAGE(OFFSET($R$3,0,0,'Données projet'!$E$9+1,1))-AVERAGE(OFFSET($H$3,0,0,'Données projet'!$E$9+1,1))</f>
        <v>432.80275651765203</v>
      </c>
      <c r="T85" s="62">
        <f t="shared" si="88"/>
        <v>203.89279893419919</v>
      </c>
      <c r="U85" s="16">
        <f>IF(ISNA(VLOOKUP(A85,'Données projet'!$A$35:$I$55,3,0)),0,VLOOKUP(A85,'Données projet'!$A$35:$I$55,3,0))</f>
        <v>0</v>
      </c>
      <c r="V85" s="16">
        <f>IF(ISNA(VLOOKUP(A85,'Données projet'!$A$35:$I$55,4,0)),0,VLOOKUP(A85,'Données projet'!$A$35:$I$55,4,0))</f>
        <v>0</v>
      </c>
      <c r="W85" s="17">
        <f>IF(ISNA(VLOOKUP(A85,'Données projet'!$A$35:$I$55,5,0)),0%,VLOOKUP(A85,'Données projet'!$A$35:$I$55,5,0)*VLOOKUP('Données projet'!$B$9,Paramètres!$A$1:$I$89,7,0))</f>
        <v>0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</v>
      </c>
      <c r="Z85" s="23">
        <f>EXP(-LN(2)/35)*Z84+(1-EXP(-LN(2)/35))/(LN(2)/35)*V85*W85*VLOOKUP('Données projet'!$B$9,Paramètres!$A$1:$I$89,3,0)*0.475*44/12</f>
        <v>11.409760946093357</v>
      </c>
      <c r="AA85" s="23">
        <f>EXP(-LN(2)/25)*AA84+(1-EXP(-LN(2)/25))/(LN(2)/25)*Calculateur!V85*Calculateur!X85*VLOOKUP('Données projet'!$B$9,Paramètres!$A$1:$I$89,3,0)*0.475*44/12</f>
        <v>8.5112421035445465</v>
      </c>
      <c r="AB85" s="23">
        <f>EXP(-LN(2)/2)*AB84+(1-EXP(-LN(2)/2))/(LN(2)/2)*V85*Y85*VLOOKUP('Données projet'!$B$9,Paramètres!$A$1:$I$89,3,0)*0.475*44/12</f>
        <v>0</v>
      </c>
      <c r="AC85" s="24">
        <f t="shared" si="57"/>
        <v>19.921003049637903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54.000000000000341</v>
      </c>
      <c r="AJ85" s="14">
        <f>AI85*VLOOKUP('Données projet'!$B$10,Paramètres!$A$1:$I$89,3,0)*VLOOKUP('Données projet'!$B$10,Paramètres!$A$1:$I$89,5,0)</f>
        <v>23.868000000000151</v>
      </c>
      <c r="AK85" s="14">
        <f t="shared" si="89"/>
        <v>7.6030930962115804</v>
      </c>
      <c r="AL85" s="22">
        <f t="shared" si="58"/>
        <v>54.812153809235433</v>
      </c>
      <c r="AM85" s="62">
        <f t="shared" si="59"/>
        <v>326.31824544122247</v>
      </c>
      <c r="AN85" s="62">
        <f ca="1">AVERAGE(OFFSET($AM$3,0,0,'Données projet'!$E$10+1,1))-AVERAGE(OFFSET($H$3,0,0,'Données projet'!$E$10+1,1))</f>
        <v>413.08876898406481</v>
      </c>
      <c r="AO85" s="62">
        <f t="shared" si="90"/>
        <v>520.31320932826566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177.71552334532637</v>
      </c>
      <c r="AV85" s="23">
        <f>EXP(-LN(2)/25)*AV84+(1-EXP(-LN(2)/25))/(LN(2)/25)*Calculateur!AQ85*Calculateur!AS85*VLOOKUP('Données projet'!$B$10,Paramètres!$A$1:$I$89,3,0)*0.475*44/12</f>
        <v>10.964157109654462</v>
      </c>
      <c r="AW85" s="23">
        <f>EXP(-LN(2)/2)*AW84+(1-EXP(-LN(2)/2))/(LN(2)/2)*AQ85*AT85*VLOOKUP('Données projet'!$B$10,Paramètres!$A$1:$I$89,3,0)*0.475*44/12</f>
        <v>1.0865442906086867E-5</v>
      </c>
      <c r="AX85" s="23">
        <f t="shared" si="60"/>
        <v>188.67969132042373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0</v>
      </c>
      <c r="BD85" s="13">
        <f>IF('Données projet'!$A$88&gt;35,BD84+BC85-BL84,IF(A85&lt;'Données projet'!$A$88,$BA$205^A85,IF(A85='Données projet'!$A$88,'Données projet'!$B$88,BD84+BC85-BL84)))</f>
        <v>54.000000000000341</v>
      </c>
      <c r="BE85" s="14">
        <f>BD85*VLOOKUP('Données projet'!$B$11,Paramètres!$A$1:$I$89,3,0)*VLOOKUP('Données projet'!$B$11,Paramètres!$A$1:$I$89,5,0)</f>
        <v>30.186000000000188</v>
      </c>
      <c r="BF85" s="14">
        <f t="shared" si="91"/>
        <v>9.3563888882899153</v>
      </c>
      <c r="BG85" s="22">
        <f t="shared" si="61"/>
        <v>68.869660647105263</v>
      </c>
      <c r="BH85" s="62">
        <f t="shared" si="62"/>
        <v>340.3757522790923</v>
      </c>
      <c r="BI85" s="62">
        <f ca="1">AVERAGE(OFFSET($BH$3,0,0,'Données projet'!$E$11+1,1))-AVERAGE(OFFSET($H$3,0,0,'Données projet'!$E$11+1,1))</f>
        <v>507.66185230065889</v>
      </c>
      <c r="BJ85" s="62">
        <f t="shared" si="92"/>
        <v>640.14375617778342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224.75786776026564</v>
      </c>
      <c r="BQ85" s="23">
        <f>EXP(-LN(2)/25)*BQ84+(1-EXP(-LN(2)/25))/(LN(2)/25)*Calculateur!BL85*Calculateur!BN85*VLOOKUP('Données projet'!$B$11,Paramètres!$A$1:$I$89,3,0)*0.475*44/12</f>
        <v>13.866433991621829</v>
      </c>
      <c r="BR85" s="23">
        <f>EXP(-LN(2)/2)*BR84+(1-EXP(-LN(2)/2))/(LN(2)/2)*BL85*BO85*VLOOKUP('Données projet'!$B$11,Paramètres!$A$1:$I$89,3,0)*0.475*44/12</f>
        <v>1.3741589557698106E-5</v>
      </c>
      <c r="BS85" s="24">
        <f t="shared" si="63"/>
        <v>238.62431549347701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14.037721542000003</v>
      </c>
      <c r="BY85" s="13">
        <f>IF('Données projet'!$A$114&gt;35,BY84+BX85-CG84,IF(A85&lt;'Données projet'!$A$114,$BV$205^A85,IF(A85='Données projet'!$A$114,'Données projet'!$B$114,BY84+BX85-CG84)))</f>
        <v>349.832230364</v>
      </c>
      <c r="BZ85" s="14">
        <f>BY85*VLOOKUP('Données projet'!$B$12,Paramètres!$A$1:$I$89,3,0)*VLOOKUP('Données projet'!$B$12,Paramètres!$A$1:$I$89,5,0)</f>
        <v>163.721483810352</v>
      </c>
      <c r="CA85" s="14">
        <f t="shared" si="93"/>
        <v>41.680779908737541</v>
      </c>
      <c r="CB85" s="22">
        <f t="shared" si="64"/>
        <v>357.74227597741424</v>
      </c>
      <c r="CC85" s="62">
        <f t="shared" si="65"/>
        <v>629.24836760940127</v>
      </c>
      <c r="CD85" s="62">
        <f ca="1">AVERAGE(OFFSET($CC$3,0,0,'Données projet'!$E$12+1,1))-AVERAGE(OFFSET($H$3,0,0,'Données projet'!$E$12+1,1))</f>
        <v>289.21044803824958</v>
      </c>
      <c r="CE85" s="62">
        <f t="shared" si="94"/>
        <v>196.11836398299445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>
        <f>EXP(-LN(2)/35)*CK84+(1-EXP(-LN(2)/35))/(LN(2)/35)*CG85*CH85*VLOOKUP('Données projet'!$B$12,Paramètres!$A$1:$I$89,3,0)*0.475*44/12</f>
        <v>29.032105016896303</v>
      </c>
      <c r="CL85" s="23">
        <f>EXP(-LN(2)/25)*CL84+(1-EXP(-LN(2)/25))/(LN(2)/25)*Calculateur!CG85*Calculateur!CI85*VLOOKUP('Données projet'!$B$12,Paramètres!$A$1:$I$89,3,0)*0.475*44/12</f>
        <v>33.186143591357862</v>
      </c>
      <c r="CM85" s="23">
        <f>EXP(-LN(2)/2)*CM84+(1-EXP(-LN(2)/2))/(LN(2)/2)*CG85*CJ85*VLOOKUP('Données projet'!$B$12,Paramètres!$A$1:$I$89,3,0)*0.475*44/12</f>
        <v>0</v>
      </c>
      <c r="CN85" s="24">
        <f t="shared" si="66"/>
        <v>62.218248608254164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-5.6843418860808015E-14</v>
      </c>
      <c r="CU85" s="18">
        <f>CT85*VLOOKUP('Données projet'!$B$13,Paramètres!$A$1:$I$89,3,0)*VLOOKUP('Données projet'!$B$13,Paramètres!$A$1:$I$89,5,0)</f>
        <v>-5.1431925385259088E-14</v>
      </c>
      <c r="CV85" s="14" t="e">
        <f t="shared" si="95"/>
        <v>#NUM!</v>
      </c>
      <c r="CW85" s="22" t="e">
        <f t="shared" si="67"/>
        <v>#NUM!</v>
      </c>
      <c r="CX85" s="62" t="e">
        <f t="shared" si="68"/>
        <v>#NUM!</v>
      </c>
      <c r="CY85" s="62">
        <f ca="1">AVERAGE(OFFSET($CX$3,0,0,'Données projet'!$E$13+1,1))-AVERAGE(OFFSET($H$3,0,0,'Données projet'!$E$13+1,1))</f>
        <v>376.68007030857598</v>
      </c>
      <c r="CZ85" s="62">
        <f t="shared" si="96"/>
        <v>532.90758914457626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>
        <f>EXP(-LN(2)/35)*DF84+(1-EXP(-LN(2)/35))/(LN(2)/35)*DB85*DC85*VLOOKUP('Données projet'!$B$13,Paramètres!$A$1:$I$89,3,0)*0.475*44/12</f>
        <v>44.992884977281442</v>
      </c>
      <c r="DG85" s="23">
        <f>EXP(-LN(2)/25)*DG84+(1-EXP(-LN(2)/25))/(LN(2)/25)*Calculateur!DB85*Calculateur!DD85*VLOOKUP('Données projet'!$B$13,Paramètres!$A$1:$I$89,3,0)*0.475*44/12</f>
        <v>3.0983983362383385</v>
      </c>
      <c r="DH85" s="23">
        <f>EXP(-LN(2)/2)*DH84+(1-EXP(-LN(2)/2))/(LN(2)/2)*DB85*DE85*VLOOKUP('Données projet'!$B$13,Paramètres!$A$1:$I$89,3,0)*0.475*44/12</f>
        <v>0</v>
      </c>
      <c r="DI85" s="24">
        <f t="shared" si="69"/>
        <v>48.091283313519781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5.6843418860808015E-14</v>
      </c>
      <c r="DP85" s="18">
        <f>DO85*VLOOKUP('Données projet'!$B$14,Paramètres!$A$1:$I$89,3,0)*VLOOKUP('Données projet'!$B$14,Paramètres!$A$1:$I$89,5,0)</f>
        <v>5.4092197387944907E-14</v>
      </c>
      <c r="DQ85" s="14">
        <f t="shared" si="97"/>
        <v>8.7287050538073676E-13</v>
      </c>
      <c r="DR85" s="22">
        <f t="shared" si="70"/>
        <v>1.6144600406554537E-12</v>
      </c>
      <c r="DS85" s="62">
        <f t="shared" si="71"/>
        <v>271.50609163198862</v>
      </c>
      <c r="DT85" s="62">
        <f ca="1">AVERAGE(OFFSET($DS$3,0,0,'Données projet'!$E$14+1,1))-AVERAGE(OFFSET($H$3,0,0,'Données projet'!$E$14+1,1))</f>
        <v>364.63161066507769</v>
      </c>
      <c r="DU85" s="62">
        <f t="shared" si="98"/>
        <v>355.44729904860708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>
        <f>EXP(-LN(2)/35)*EA84+(1-EXP(-LN(2)/35))/(LN(2)/35)*DW85*DX85*VLOOKUP('Données projet'!$B$14,Paramètres!$A$1:$I$89,3,0)*0.475*44/12</f>
        <v>127.56077630306264</v>
      </c>
      <c r="EB85" s="23">
        <f>EXP(-LN(2)/25)*EB84+(1-EXP(-LN(2)/25))/(LN(2)/25)*Calculateur!DW85*Calculateur!DY85*VLOOKUP('Données projet'!$B$14,Paramètres!$A$1:$I$89,3,0)*0.475*44/12</f>
        <v>0</v>
      </c>
      <c r="EC85" s="23">
        <f>EXP(-LN(2)/2)*EC84+(1-EXP(-LN(2)/2))/(LN(2)/2)*DW85*DZ85*VLOOKUP('Données projet'!$B$14,Paramètres!$A$1:$I$89,3,0)*0.475*44/12</f>
        <v>0</v>
      </c>
      <c r="ED85" s="24">
        <f t="shared" si="72"/>
        <v>127.56077630306264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5.6843418860808015E-14</v>
      </c>
      <c r="EK85" s="18">
        <f>EJ85*VLOOKUP('Données projet'!$B$15,Paramètres!$A$1:$I$89,3,0)*VLOOKUP('Données projet'!$B$15,Paramètres!$A$1:$I$89,5,0)</f>
        <v>4.1677594708744434E-14</v>
      </c>
      <c r="EL85" s="14">
        <f t="shared" si="99"/>
        <v>6.9326303456159188E-13</v>
      </c>
      <c r="EM85" s="22">
        <f t="shared" si="73"/>
        <v>1.2800215959791691E-12</v>
      </c>
      <c r="EN85" s="62">
        <f t="shared" si="74"/>
        <v>271.50609163198834</v>
      </c>
      <c r="EO85" s="62">
        <f ca="1">AVERAGE(OFFSET($EN$3,0,0,'Données projet'!$E$15+1,1))-AVERAGE(OFFSET($H$3,0,0,'Données projet'!$E$15+1,1))</f>
        <v>293.59366973965774</v>
      </c>
      <c r="EP85" s="62">
        <f t="shared" si="100"/>
        <v>288.13804536120426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>
        <f>EXP(-LN(2)/35)*EV84+(1-EXP(-LN(2)/35))/(LN(2)/35)*ER85*ES85*VLOOKUP('Données projet'!$B$15,Paramètres!$A$1:$I$89,3,0)*0.475*44/12</f>
        <v>98.284532561376139</v>
      </c>
      <c r="EW85" s="23">
        <f>EXP(-LN(2)/25)*EW84+(1-EXP(-LN(2)/25))/(LN(2)/25)*Calculateur!ER85*Calculateur!ET85*VLOOKUP('Données projet'!$B$15,Paramètres!$A$1:$I$89,3,0)*0.475*44/12</f>
        <v>0</v>
      </c>
      <c r="EX85" s="23">
        <f>EXP(-LN(2)/2)*EX84+(1-EXP(-LN(2)/2))/(LN(2)/2)*ER85*EU85*VLOOKUP('Données projet'!$B$15,Paramètres!$A$1:$I$89,3,0)*0.475*44/12</f>
        <v>0</v>
      </c>
      <c r="EY85" s="24">
        <f t="shared" si="75"/>
        <v>98.284532561376139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5.6843418860808015E-14</v>
      </c>
      <c r="FF85" s="18">
        <f>FE85*VLOOKUP('Données projet'!$B$16,Paramètres!$A$1:$I$89,3,0)*VLOOKUP('Données projet'!$B$16,Paramètres!$A$1:$I$89,5,0)</f>
        <v>5.4978954722173515E-14</v>
      </c>
      <c r="FG85" s="14">
        <f t="shared" si="101"/>
        <v>8.8550225887742724E-13</v>
      </c>
      <c r="FH85" s="22">
        <f t="shared" si="76"/>
        <v>1.6380047803526383E-12</v>
      </c>
      <c r="FI85" s="62">
        <f t="shared" si="77"/>
        <v>271.50609163198868</v>
      </c>
      <c r="FJ85" s="62">
        <f ca="1">AVERAGE(OFFSET($FI$3,0,0,'Données projet'!$E$16+1,1))-AVERAGE(OFFSET($H$3,0,0,'Données projet'!$E$16+1,1))</f>
        <v>369.69145521630799</v>
      </c>
      <c r="FK85" s="62">
        <f t="shared" si="102"/>
        <v>360.24112103688719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>
        <f>EXP(-LN(2)/35)*FQ84+(1-EXP(-LN(2)/35))/(LN(2)/35)*FM85*FN85*VLOOKUP('Données projet'!$B$16,Paramètres!$A$1:$I$89,3,0)*0.475*44/12</f>
        <v>129.65193657032597</v>
      </c>
      <c r="FR85" s="23">
        <f>EXP(-LN(2)/25)*FR84+(1-EXP(-LN(2)/25))/(LN(2)/25)*Calculateur!FM85*Calculateur!FO85*VLOOKUP('Données projet'!$B$16,Paramètres!$A$1:$I$89,3,0)*0.475*44/12</f>
        <v>0</v>
      </c>
      <c r="FS85" s="23">
        <f>EXP(-LN(2)/2)*FS84+(1-EXP(-LN(2)/2))/(LN(2)/2)*FM85*FP85*VLOOKUP('Données projet'!$B$16,Paramètres!$A$1:$I$89,3,0)*0.475*44/12</f>
        <v>0</v>
      </c>
      <c r="FT85" s="24">
        <f t="shared" si="78"/>
        <v>129.65193657032597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5.6843418860808015E-14</v>
      </c>
      <c r="GA85" s="18">
        <f>FZ85*VLOOKUP('Données projet'!$B$17,Paramètres!$A$1:$I$89,3,0)*VLOOKUP('Données projet'!$B$17,Paramètres!$A$1:$I$89,5,0)</f>
        <v>6.1186256061773749E-14</v>
      </c>
      <c r="GB85" s="14">
        <f t="shared" si="103"/>
        <v>9.7328366192051127E-13</v>
      </c>
      <c r="GC85" s="22">
        <f t="shared" si="79"/>
        <v>1.8017017738191463E-12</v>
      </c>
      <c r="GD85" s="62">
        <f t="shared" si="80"/>
        <v>271.50609163198885</v>
      </c>
      <c r="GE85" s="62">
        <f ca="1">AVERAGE(OFFSET($GD$3,0,0,'Données projet'!$E$17+1,1))-AVERAGE(OFFSET($H$3,0,0,'Données projet'!$E$17+1,1))</f>
        <v>405.06394904053946</v>
      </c>
      <c r="GF85" s="62">
        <f t="shared" si="104"/>
        <v>393.75247087518198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>
        <f>EXP(-LN(2)/35)*GL84+(1-EXP(-LN(2)/35))/(LN(2)/35)*GH85*GI85*VLOOKUP('Données projet'!$B$17,Paramètres!$A$1:$I$89,3,0)*0.475*44/12</f>
        <v>144.29005844116921</v>
      </c>
      <c r="GM85" s="23">
        <f>EXP(-LN(2)/25)*GM84+(1-EXP(-LN(2)/25))/(LN(2)/25)*Calculateur!GH85*Calculateur!GJ85*VLOOKUP('Données projet'!$B$17,Paramètres!$A$1:$I$89,3,0)*0.475*44/12</f>
        <v>0</v>
      </c>
      <c r="GN85" s="23">
        <f>EXP(-LN(2)/2)*GN84+(1-EXP(-LN(2)/2))/(LN(2)/2)*GH85*GK85*VLOOKUP('Données projet'!$B$17,Paramètres!$A$1:$I$89,3,0)*0.475*44/12</f>
        <v>0</v>
      </c>
      <c r="GO85" s="23">
        <f t="shared" si="81"/>
        <v>144.29005844116921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5.6843418860808015E-14</v>
      </c>
      <c r="GV85" s="18">
        <f>GU85*VLOOKUP('Données projet'!$B$18,Paramètres!$A$1:$I$89,3,0)*VLOOKUP('Données projet'!$B$18,Paramètres!$A$1:$I$89,5,0)</f>
        <v>3.813056537183002E-14</v>
      </c>
      <c r="GW85" s="14">
        <f t="shared" si="105"/>
        <v>6.4086286045526829E-13</v>
      </c>
      <c r="GX85" s="22">
        <f t="shared" si="82"/>
        <v>1.1825802166488628E-12</v>
      </c>
      <c r="GY85" s="62">
        <f t="shared" si="83"/>
        <v>271.50609163198823</v>
      </c>
      <c r="GZ85" s="62">
        <f ca="1">AVERAGE(OFFSET($GY$3,0,0,'Données projet'!$E$18+1,1))-AVERAGE(OFFSET($H$3,0,0,'Données projet'!$E$18+1,1))</f>
        <v>273.21861937609918</v>
      </c>
      <c r="HA85" s="62">
        <f t="shared" si="106"/>
        <v>268.83004886965318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>
        <f>EXP(-LN(2)/35)*HG84+(1-EXP(-LN(2)/35))/(LN(2)/35)*HC85*HD85*VLOOKUP('Données projet'!$B$18,Paramètres!$A$1:$I$89,3,0)*0.475*44/12</f>
        <v>110.83149416495608</v>
      </c>
      <c r="HH85" s="23">
        <f>EXP(-LN(2)/25)*HH84+(1-EXP(-LN(2)/25))/(LN(2)/25)*Calculateur!HC85*Calculateur!HE85*VLOOKUP('Données projet'!$B$18,Paramètres!$A$1:$I$89,3,0)*0.475*44/12</f>
        <v>0</v>
      </c>
      <c r="HI85" s="23">
        <f>EXP(-LN(2)/2)*HI84+(1-EXP(-LN(2)/2))/(LN(2)/2)*HC85*HF85*VLOOKUP('Données projet'!$B$18,Paramètres!$A$1:$I$89,3,0)*0.475*44/12</f>
        <v>0</v>
      </c>
      <c r="HJ85" s="24">
        <f t="shared" si="84"/>
        <v>110.83149416495608</v>
      </c>
    </row>
    <row r="86" spans="1:218" s="5" customFormat="1" x14ac:dyDescent="0.4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5.7</v>
      </c>
      <c r="N86" s="14">
        <f>IF('Données projet'!$A$36&gt;35,N85+M86-V85,IF(A86&lt;'Données projet'!$A$36,$K$205^A86,IF(A86='Données projet'!$A$36,'Données projet'!$B$36,N85+M86-V85)))</f>
        <v>190.50000000000006</v>
      </c>
      <c r="O86" s="14">
        <f>N86*VLOOKUP('Données projet'!$B$9,Paramètres!$A$1:$I$89,3,0)*VLOOKUP('Données projet'!$B$9,Paramètres!$A$1:$I$89,5,0)</f>
        <v>172.36440000000005</v>
      </c>
      <c r="P86" s="14">
        <f t="shared" si="87"/>
        <v>43.619144087686877</v>
      </c>
      <c r="Q86" s="22">
        <f t="shared" si="54"/>
        <v>376.17133928605472</v>
      </c>
      <c r="R86" s="62">
        <f t="shared" si="55"/>
        <v>648.0560847631582</v>
      </c>
      <c r="S86" s="62">
        <f ca="1">AVERAGE(OFFSET($R$3,0,0,'Données projet'!$E$9+1,1))-AVERAGE(OFFSET($H$3,0,0,'Données projet'!$E$9+1,1))</f>
        <v>432.80275651765203</v>
      </c>
      <c r="T86" s="62">
        <f t="shared" si="88"/>
        <v>203.89279893419919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11.186022493207473</v>
      </c>
      <c r="AA86" s="23">
        <f>EXP(-LN(2)/25)*AA85+(1-EXP(-LN(2)/25))/(LN(2)/25)*Calculateur!V86*Calculateur!X86*VLOOKUP('Données projet'!$B$9,Paramètres!$A$1:$I$89,3,0)*0.475*44/12</f>
        <v>8.2785017406363508</v>
      </c>
      <c r="AB86" s="23">
        <f>EXP(-LN(2)/2)*AB85+(1-EXP(-LN(2)/2))/(LN(2)/2)*V86*Y86*VLOOKUP('Données projet'!$B$9,Paramètres!$A$1:$I$89,3,0)*0.475*44/12</f>
        <v>0</v>
      </c>
      <c r="AC86" s="24">
        <f t="shared" si="57"/>
        <v>19.464524233843825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54.000000000000341</v>
      </c>
      <c r="AJ86" s="14">
        <f>AI86*VLOOKUP('Données projet'!$B$10,Paramètres!$A$1:$I$89,3,0)*VLOOKUP('Données projet'!$B$10,Paramètres!$A$1:$I$89,5,0)</f>
        <v>23.868000000000151</v>
      </c>
      <c r="AK86" s="14">
        <f t="shared" si="89"/>
        <v>7.6030930962115804</v>
      </c>
      <c r="AL86" s="22">
        <f t="shared" si="58"/>
        <v>54.812153809235433</v>
      </c>
      <c r="AM86" s="62">
        <f t="shared" si="59"/>
        <v>326.69689928633892</v>
      </c>
      <c r="AN86" s="62">
        <f ca="1">AVERAGE(OFFSET($AM$3,0,0,'Données projet'!$E$10+1,1))-AVERAGE(OFFSET($H$3,0,0,'Données projet'!$E$10+1,1))</f>
        <v>413.08876898406481</v>
      </c>
      <c r="AO86" s="62">
        <f t="shared" si="90"/>
        <v>520.31320932826566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174.23063032829057</v>
      </c>
      <c r="AV86" s="23">
        <f>EXP(-LN(2)/25)*AV85+(1-EXP(-LN(2)/25))/(LN(2)/25)*Calculateur!AQ86*Calculateur!AS86*VLOOKUP('Données projet'!$B$10,Paramètres!$A$1:$I$89,3,0)*0.475*44/12</f>
        <v>10.664341656910997</v>
      </c>
      <c r="AW86" s="23">
        <f>EXP(-LN(2)/2)*AW85+(1-EXP(-LN(2)/2))/(LN(2)/2)*AQ86*AT86*VLOOKUP('Données projet'!$B$10,Paramètres!$A$1:$I$89,3,0)*0.475*44/12</f>
        <v>7.6830283594892911E-6</v>
      </c>
      <c r="AX86" s="23">
        <f t="shared" si="60"/>
        <v>184.89497966822995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0</v>
      </c>
      <c r="BD86" s="13">
        <f>IF('Données projet'!$A$88&gt;35,BD85+BC86-BL85,IF(A86&lt;'Données projet'!$A$88,$BA$205^A86,IF(A86='Données projet'!$A$88,'Données projet'!$B$88,BD85+BC86-BL85)))</f>
        <v>54.000000000000341</v>
      </c>
      <c r="BE86" s="14">
        <f>BD86*VLOOKUP('Données projet'!$B$11,Paramètres!$A$1:$I$89,3,0)*VLOOKUP('Données projet'!$B$11,Paramètres!$A$1:$I$89,5,0)</f>
        <v>30.186000000000188</v>
      </c>
      <c r="BF86" s="14">
        <f t="shared" si="91"/>
        <v>9.3563888882899153</v>
      </c>
      <c r="BG86" s="22">
        <f t="shared" si="61"/>
        <v>68.869660647105263</v>
      </c>
      <c r="BH86" s="62">
        <f t="shared" si="62"/>
        <v>340.75440612420874</v>
      </c>
      <c r="BI86" s="62">
        <f ca="1">AVERAGE(OFFSET($BH$3,0,0,'Données projet'!$E$11+1,1))-AVERAGE(OFFSET($H$3,0,0,'Données projet'!$E$11+1,1))</f>
        <v>507.66185230065889</v>
      </c>
      <c r="BJ86" s="62">
        <f t="shared" si="92"/>
        <v>640.14375617778342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220.35050306224977</v>
      </c>
      <c r="BQ86" s="23">
        <f>EXP(-LN(2)/25)*BQ85+(1-EXP(-LN(2)/25))/(LN(2)/25)*Calculateur!BL86*Calculateur!BN86*VLOOKUP('Données projet'!$B$11,Paramètres!$A$1:$I$89,3,0)*0.475*44/12</f>
        <v>13.487255624916859</v>
      </c>
      <c r="BR86" s="23">
        <f>EXP(-LN(2)/2)*BR85+(1-EXP(-LN(2)/2))/(LN(2)/2)*BL86*BO86*VLOOKUP('Données projet'!$B$11,Paramètres!$A$1:$I$89,3,0)*0.475*44/12</f>
        <v>9.7167711605305809E-6</v>
      </c>
      <c r="BS86" s="24">
        <f t="shared" si="63"/>
        <v>233.83776840393779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14.037721542000003</v>
      </c>
      <c r="BY86" s="13">
        <f>IF('Données projet'!$A$114&gt;35,BY85+BX86-CG85,IF(A86&lt;'Données projet'!$A$114,$BV$205^A86,IF(A86='Données projet'!$A$114,'Données projet'!$B$114,BY85+BX86-CG85)))</f>
        <v>363.86995190599998</v>
      </c>
      <c r="BZ86" s="14">
        <f>BY86*VLOOKUP('Données projet'!$B$12,Paramètres!$A$1:$I$89,3,0)*VLOOKUP('Données projet'!$B$12,Paramètres!$A$1:$I$89,5,0)</f>
        <v>170.291137492008</v>
      </c>
      <c r="CA86" s="14">
        <f t="shared" si="93"/>
        <v>43.155222203673517</v>
      </c>
      <c r="CB86" s="22">
        <f t="shared" si="64"/>
        <v>371.75240980331199</v>
      </c>
      <c r="CC86" s="62">
        <f t="shared" si="65"/>
        <v>643.63715528041553</v>
      </c>
      <c r="CD86" s="62">
        <f ca="1">AVERAGE(OFFSET($CC$3,0,0,'Données projet'!$E$12+1,1))-AVERAGE(OFFSET($H$3,0,0,'Données projet'!$E$12+1,1))</f>
        <v>289.21044803824958</v>
      </c>
      <c r="CE86" s="62">
        <f t="shared" si="94"/>
        <v>196.11836398299445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>
        <f>EXP(-LN(2)/35)*CK85+(1-EXP(-LN(2)/35))/(LN(2)/35)*CG86*CH86*VLOOKUP('Données projet'!$B$12,Paramètres!$A$1:$I$89,3,0)*0.475*44/12</f>
        <v>28.462803145350524</v>
      </c>
      <c r="CL86" s="23">
        <f>EXP(-LN(2)/25)*CL85+(1-EXP(-LN(2)/25))/(LN(2)/25)*Calculateur!CG86*Calculateur!CI86*VLOOKUP('Données projet'!$B$12,Paramètres!$A$1:$I$89,3,0)*0.475*44/12</f>
        <v>32.278666749668737</v>
      </c>
      <c r="CM86" s="23">
        <f>EXP(-LN(2)/2)*CM85+(1-EXP(-LN(2)/2))/(LN(2)/2)*CG86*CJ86*VLOOKUP('Données projet'!$B$12,Paramètres!$A$1:$I$89,3,0)*0.475*44/12</f>
        <v>0</v>
      </c>
      <c r="CN86" s="24">
        <f t="shared" si="66"/>
        <v>60.741469895019264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-5.6843418860808015E-14</v>
      </c>
      <c r="CU86" s="18">
        <f>CT86*VLOOKUP('Données projet'!$B$13,Paramètres!$A$1:$I$89,3,0)*VLOOKUP('Données projet'!$B$13,Paramètres!$A$1:$I$89,5,0)</f>
        <v>-5.1431925385259088E-14</v>
      </c>
      <c r="CV86" s="14" t="e">
        <f t="shared" si="95"/>
        <v>#NUM!</v>
      </c>
      <c r="CW86" s="22" t="e">
        <f t="shared" si="67"/>
        <v>#NUM!</v>
      </c>
      <c r="CX86" s="62" t="e">
        <f t="shared" si="68"/>
        <v>#NUM!</v>
      </c>
      <c r="CY86" s="62">
        <f ca="1">AVERAGE(OFFSET($CX$3,0,0,'Données projet'!$E$13+1,1))-AVERAGE(OFFSET($H$3,0,0,'Données projet'!$E$13+1,1))</f>
        <v>376.68007030857598</v>
      </c>
      <c r="CZ86" s="62">
        <f t="shared" si="96"/>
        <v>532.90758914457626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>
        <f>EXP(-LN(2)/35)*DF85+(1-EXP(-LN(2)/35))/(LN(2)/35)*DB86*DC86*VLOOKUP('Données projet'!$B$13,Paramètres!$A$1:$I$89,3,0)*0.475*44/12</f>
        <v>44.110601945827021</v>
      </c>
      <c r="DG86" s="23">
        <f>EXP(-LN(2)/25)*DG85+(1-EXP(-LN(2)/25))/(LN(2)/25)*Calculateur!DB86*Calculateur!DD86*VLOOKUP('Données projet'!$B$13,Paramètres!$A$1:$I$89,3,0)*0.475*44/12</f>
        <v>3.0136724707962141</v>
      </c>
      <c r="DH86" s="23">
        <f>EXP(-LN(2)/2)*DH85+(1-EXP(-LN(2)/2))/(LN(2)/2)*DB86*DE86*VLOOKUP('Données projet'!$B$13,Paramètres!$A$1:$I$89,3,0)*0.475*44/12</f>
        <v>0</v>
      </c>
      <c r="DI86" s="24">
        <f t="shared" si="69"/>
        <v>47.124274416623237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5.6843418860808015E-14</v>
      </c>
      <c r="DP86" s="18">
        <f>DO86*VLOOKUP('Données projet'!$B$14,Paramètres!$A$1:$I$89,3,0)*VLOOKUP('Données projet'!$B$14,Paramètres!$A$1:$I$89,5,0)</f>
        <v>5.4092197387944907E-14</v>
      </c>
      <c r="DQ86" s="14">
        <f t="shared" si="97"/>
        <v>8.7287050538073676E-13</v>
      </c>
      <c r="DR86" s="22">
        <f t="shared" si="70"/>
        <v>1.6144600406554537E-12</v>
      </c>
      <c r="DS86" s="62">
        <f t="shared" si="71"/>
        <v>271.88474547710507</v>
      </c>
      <c r="DT86" s="62">
        <f ca="1">AVERAGE(OFFSET($DS$3,0,0,'Données projet'!$E$14+1,1))-AVERAGE(OFFSET($H$3,0,0,'Données projet'!$E$14+1,1))</f>
        <v>364.63161066507769</v>
      </c>
      <c r="DU86" s="62">
        <f t="shared" si="98"/>
        <v>355.44729904860708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>
        <f>EXP(-LN(2)/35)*EA85+(1-EXP(-LN(2)/35))/(LN(2)/35)*DW86*DX86*VLOOKUP('Données projet'!$B$14,Paramètres!$A$1:$I$89,3,0)*0.475*44/12</f>
        <v>125.05938728415057</v>
      </c>
      <c r="EB86" s="23">
        <f>EXP(-LN(2)/25)*EB85+(1-EXP(-LN(2)/25))/(LN(2)/25)*Calculateur!DW86*Calculateur!DY86*VLOOKUP('Données projet'!$B$14,Paramètres!$A$1:$I$89,3,0)*0.475*44/12</f>
        <v>0</v>
      </c>
      <c r="EC86" s="23">
        <f>EXP(-LN(2)/2)*EC85+(1-EXP(-LN(2)/2))/(LN(2)/2)*DW86*DZ86*VLOOKUP('Données projet'!$B$14,Paramètres!$A$1:$I$89,3,0)*0.475*44/12</f>
        <v>0</v>
      </c>
      <c r="ED86" s="24">
        <f t="shared" si="72"/>
        <v>125.05938728415057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5.6843418860808015E-14</v>
      </c>
      <c r="EK86" s="18">
        <f>EJ86*VLOOKUP('Données projet'!$B$15,Paramètres!$A$1:$I$89,3,0)*VLOOKUP('Données projet'!$B$15,Paramètres!$A$1:$I$89,5,0)</f>
        <v>4.1677594708744434E-14</v>
      </c>
      <c r="EL86" s="14">
        <f t="shared" si="99"/>
        <v>6.9326303456159188E-13</v>
      </c>
      <c r="EM86" s="22">
        <f t="shared" si="73"/>
        <v>1.2800215959791691E-12</v>
      </c>
      <c r="EN86" s="62">
        <f t="shared" si="74"/>
        <v>271.88474547710479</v>
      </c>
      <c r="EO86" s="62">
        <f ca="1">AVERAGE(OFFSET($EN$3,0,0,'Données projet'!$E$15+1,1))-AVERAGE(OFFSET($H$3,0,0,'Données projet'!$E$15+1,1))</f>
        <v>293.59366973965774</v>
      </c>
      <c r="EP86" s="62">
        <f t="shared" si="100"/>
        <v>288.13804536120426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>
        <f>EXP(-LN(2)/35)*EV85+(1-EXP(-LN(2)/35))/(LN(2)/35)*ER86*ES86*VLOOKUP('Données projet'!$B$15,Paramètres!$A$1:$I$89,3,0)*0.475*44/12</f>
        <v>96.357232825493071</v>
      </c>
      <c r="EW86" s="23">
        <f>EXP(-LN(2)/25)*EW85+(1-EXP(-LN(2)/25))/(LN(2)/25)*Calculateur!ER86*Calculateur!ET86*VLOOKUP('Données projet'!$B$15,Paramètres!$A$1:$I$89,3,0)*0.475*44/12</f>
        <v>0</v>
      </c>
      <c r="EX86" s="23">
        <f>EXP(-LN(2)/2)*EX85+(1-EXP(-LN(2)/2))/(LN(2)/2)*ER86*EU86*VLOOKUP('Données projet'!$B$15,Paramètres!$A$1:$I$89,3,0)*0.475*44/12</f>
        <v>0</v>
      </c>
      <c r="EY86" s="24">
        <f t="shared" si="75"/>
        <v>96.357232825493071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5.6843418860808015E-14</v>
      </c>
      <c r="FF86" s="18">
        <f>FE86*VLOOKUP('Données projet'!$B$16,Paramètres!$A$1:$I$89,3,0)*VLOOKUP('Données projet'!$B$16,Paramètres!$A$1:$I$89,5,0)</f>
        <v>5.4978954722173515E-14</v>
      </c>
      <c r="FG86" s="14">
        <f t="shared" si="101"/>
        <v>8.8550225887742724E-13</v>
      </c>
      <c r="FH86" s="22">
        <f t="shared" si="76"/>
        <v>1.6380047803526383E-12</v>
      </c>
      <c r="FI86" s="62">
        <f t="shared" si="77"/>
        <v>271.88474547710513</v>
      </c>
      <c r="FJ86" s="62">
        <f ca="1">AVERAGE(OFFSET($FI$3,0,0,'Données projet'!$E$16+1,1))-AVERAGE(OFFSET($H$3,0,0,'Données projet'!$E$16+1,1))</f>
        <v>369.69145521630799</v>
      </c>
      <c r="FK86" s="62">
        <f t="shared" si="102"/>
        <v>360.24112103688719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>
        <f>EXP(-LN(2)/35)*FQ85+(1-EXP(-LN(2)/35))/(LN(2)/35)*FM86*FN86*VLOOKUP('Données projet'!$B$16,Paramètres!$A$1:$I$89,3,0)*0.475*44/12</f>
        <v>127.1095411740547</v>
      </c>
      <c r="FR86" s="23">
        <f>EXP(-LN(2)/25)*FR85+(1-EXP(-LN(2)/25))/(LN(2)/25)*Calculateur!FM86*Calculateur!FO86*VLOOKUP('Données projet'!$B$16,Paramètres!$A$1:$I$89,3,0)*0.475*44/12</f>
        <v>0</v>
      </c>
      <c r="FS86" s="23">
        <f>EXP(-LN(2)/2)*FS85+(1-EXP(-LN(2)/2))/(LN(2)/2)*FM86*FP86*VLOOKUP('Données projet'!$B$16,Paramètres!$A$1:$I$89,3,0)*0.475*44/12</f>
        <v>0</v>
      </c>
      <c r="FT86" s="24">
        <f t="shared" si="78"/>
        <v>127.1095411740547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5.6843418860808015E-14</v>
      </c>
      <c r="GA86" s="18">
        <f>FZ86*VLOOKUP('Données projet'!$B$17,Paramètres!$A$1:$I$89,3,0)*VLOOKUP('Données projet'!$B$17,Paramètres!$A$1:$I$89,5,0)</f>
        <v>6.1186256061773749E-14</v>
      </c>
      <c r="GB86" s="14">
        <f t="shared" si="103"/>
        <v>9.7328366192051127E-13</v>
      </c>
      <c r="GC86" s="22">
        <f t="shared" si="79"/>
        <v>1.8017017738191463E-12</v>
      </c>
      <c r="GD86" s="62">
        <f t="shared" si="80"/>
        <v>271.8847454771053</v>
      </c>
      <c r="GE86" s="62">
        <f ca="1">AVERAGE(OFFSET($GD$3,0,0,'Données projet'!$E$17+1,1))-AVERAGE(OFFSET($H$3,0,0,'Données projet'!$E$17+1,1))</f>
        <v>405.06394904053946</v>
      </c>
      <c r="GF86" s="62">
        <f t="shared" si="104"/>
        <v>393.75247087518198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>
        <f>EXP(-LN(2)/35)*GL85+(1-EXP(-LN(2)/35))/(LN(2)/35)*GH86*GI86*VLOOKUP('Données projet'!$B$17,Paramètres!$A$1:$I$89,3,0)*0.475*44/12</f>
        <v>141.46061840338345</v>
      </c>
      <c r="GM86" s="23">
        <f>EXP(-LN(2)/25)*GM85+(1-EXP(-LN(2)/25))/(LN(2)/25)*Calculateur!GH86*Calculateur!GJ86*VLOOKUP('Données projet'!$B$17,Paramètres!$A$1:$I$89,3,0)*0.475*44/12</f>
        <v>0</v>
      </c>
      <c r="GN86" s="23">
        <f>EXP(-LN(2)/2)*GN85+(1-EXP(-LN(2)/2))/(LN(2)/2)*GH86*GK86*VLOOKUP('Données projet'!$B$17,Paramètres!$A$1:$I$89,3,0)*0.475*44/12</f>
        <v>0</v>
      </c>
      <c r="GO86" s="23">
        <f t="shared" si="81"/>
        <v>141.46061840338345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5.6843418860808015E-14</v>
      </c>
      <c r="GV86" s="18">
        <f>GU86*VLOOKUP('Données projet'!$B$18,Paramètres!$A$1:$I$89,3,0)*VLOOKUP('Données projet'!$B$18,Paramètres!$A$1:$I$89,5,0)</f>
        <v>3.813056537183002E-14</v>
      </c>
      <c r="GW86" s="14">
        <f t="shared" si="105"/>
        <v>6.4086286045526829E-13</v>
      </c>
      <c r="GX86" s="22">
        <f t="shared" si="82"/>
        <v>1.1825802166488628E-12</v>
      </c>
      <c r="GY86" s="62">
        <f t="shared" si="83"/>
        <v>271.88474547710467</v>
      </c>
      <c r="GZ86" s="62">
        <f ca="1">AVERAGE(OFFSET($GY$3,0,0,'Données projet'!$E$18+1,1))-AVERAGE(OFFSET($H$3,0,0,'Données projet'!$E$18+1,1))</f>
        <v>273.21861937609918</v>
      </c>
      <c r="HA86" s="62">
        <f t="shared" si="106"/>
        <v>268.83004886965318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>
        <f>EXP(-LN(2)/35)*HG85+(1-EXP(-LN(2)/35))/(LN(2)/35)*HC86*HD86*VLOOKUP('Données projet'!$B$18,Paramètres!$A$1:$I$89,3,0)*0.475*44/12</f>
        <v>108.65815616491774</v>
      </c>
      <c r="HH86" s="23">
        <f>EXP(-LN(2)/25)*HH85+(1-EXP(-LN(2)/25))/(LN(2)/25)*Calculateur!HC86*Calculateur!HE86*VLOOKUP('Données projet'!$B$18,Paramètres!$A$1:$I$89,3,0)*0.475*44/12</f>
        <v>0</v>
      </c>
      <c r="HI86" s="23">
        <f>EXP(-LN(2)/2)*HI85+(1-EXP(-LN(2)/2))/(LN(2)/2)*HC86*HF86*VLOOKUP('Données projet'!$B$18,Paramètres!$A$1:$I$89,3,0)*0.475*44/12</f>
        <v>0</v>
      </c>
      <c r="HJ86" s="24">
        <f t="shared" si="84"/>
        <v>108.65815616491774</v>
      </c>
    </row>
    <row r="87" spans="1:218" s="5" customFormat="1" x14ac:dyDescent="0.4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5.7</v>
      </c>
      <c r="N87" s="14">
        <f>IF('Données projet'!$A$36&gt;35,N86+M87-V86,IF(A87&lt;'Données projet'!$A$36,$K$205^A87,IF(A87='Données projet'!$A$36,'Données projet'!$B$36,N86+M87-V86)))</f>
        <v>196.20000000000005</v>
      </c>
      <c r="O87" s="14">
        <f>N87*VLOOKUP('Données projet'!$B$9,Paramètres!$A$1:$I$89,3,0)*VLOOKUP('Données projet'!$B$9,Paramètres!$A$1:$I$89,5,0)</f>
        <v>177.52176000000003</v>
      </c>
      <c r="P87" s="14">
        <f t="shared" si="87"/>
        <v>44.770379339547972</v>
      </c>
      <c r="Q87" s="22">
        <f t="shared" si="54"/>
        <v>387.15880934971273</v>
      </c>
      <c r="R87" s="62">
        <f t="shared" si="55"/>
        <v>659.41563987426298</v>
      </c>
      <c r="S87" s="62">
        <f ca="1">AVERAGE(OFFSET($R$3,0,0,'Données projet'!$E$9+1,1))-AVERAGE(OFFSET($H$3,0,0,'Données projet'!$E$9+1,1))</f>
        <v>432.80275651765203</v>
      </c>
      <c r="T87" s="62">
        <f t="shared" si="88"/>
        <v>203.89279893419919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10.9666714149157</v>
      </c>
      <c r="AA87" s="23">
        <f>EXP(-LN(2)/25)*AA86+(1-EXP(-LN(2)/25))/(LN(2)/25)*Calculateur!V87*Calculateur!X87*VLOOKUP('Données projet'!$B$9,Paramètres!$A$1:$I$89,3,0)*0.475*44/12</f>
        <v>8.0521256751911636</v>
      </c>
      <c r="AB87" s="23">
        <f>EXP(-LN(2)/2)*AB86+(1-EXP(-LN(2)/2))/(LN(2)/2)*V87*Y87*VLOOKUP('Données projet'!$B$9,Paramètres!$A$1:$I$89,3,0)*0.475*44/12</f>
        <v>0</v>
      </c>
      <c r="AC87" s="24">
        <f t="shared" si="57"/>
        <v>19.018797090106865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54.000000000000341</v>
      </c>
      <c r="AJ87" s="14">
        <f>AI87*VLOOKUP('Données projet'!$B$10,Paramètres!$A$1:$I$89,3,0)*VLOOKUP('Données projet'!$B$10,Paramètres!$A$1:$I$89,5,0)</f>
        <v>23.868000000000151</v>
      </c>
      <c r="AK87" s="14">
        <f t="shared" si="89"/>
        <v>7.6030930962115804</v>
      </c>
      <c r="AL87" s="22">
        <f t="shared" si="58"/>
        <v>54.812153809235433</v>
      </c>
      <c r="AM87" s="62">
        <f t="shared" si="59"/>
        <v>327.06898433378575</v>
      </c>
      <c r="AN87" s="62">
        <f ca="1">AVERAGE(OFFSET($AM$3,0,0,'Données projet'!$E$10+1,1))-AVERAGE(OFFSET($H$3,0,0,'Données projet'!$E$10+1,1))</f>
        <v>413.08876898406481</v>
      </c>
      <c r="AO87" s="62">
        <f t="shared" si="90"/>
        <v>520.31320932826566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170.81407393774398</v>
      </c>
      <c r="AV87" s="23">
        <f>EXP(-LN(2)/25)*AV86+(1-EXP(-LN(2)/25))/(LN(2)/25)*Calculateur!AQ87*Calculateur!AS87*VLOOKUP('Données projet'!$B$10,Paramètres!$A$1:$I$89,3,0)*0.475*44/12</f>
        <v>10.372724673489412</v>
      </c>
      <c r="AW87" s="23">
        <f>EXP(-LN(2)/2)*AW86+(1-EXP(-LN(2)/2))/(LN(2)/2)*AQ87*AT87*VLOOKUP('Données projet'!$B$10,Paramètres!$A$1:$I$89,3,0)*0.475*44/12</f>
        <v>5.4327214530434336E-6</v>
      </c>
      <c r="AX87" s="23">
        <f t="shared" si="60"/>
        <v>181.18680404395485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0</v>
      </c>
      <c r="BD87" s="13">
        <f>IF('Données projet'!$A$88&gt;35,BD86+BC87-BL86,IF(A87&lt;'Données projet'!$A$88,$BA$205^A87,IF(A87='Données projet'!$A$88,'Données projet'!$B$88,BD86+BC87-BL86)))</f>
        <v>54.000000000000341</v>
      </c>
      <c r="BE87" s="14">
        <f>BD87*VLOOKUP('Données projet'!$B$11,Paramètres!$A$1:$I$89,3,0)*VLOOKUP('Données projet'!$B$11,Paramètres!$A$1:$I$89,5,0)</f>
        <v>30.186000000000188</v>
      </c>
      <c r="BF87" s="14">
        <f t="shared" si="91"/>
        <v>9.3563888882899153</v>
      </c>
      <c r="BG87" s="22">
        <f t="shared" si="61"/>
        <v>68.869660647105263</v>
      </c>
      <c r="BH87" s="62">
        <f t="shared" si="62"/>
        <v>341.12649117165557</v>
      </c>
      <c r="BI87" s="62">
        <f ca="1">AVERAGE(OFFSET($BH$3,0,0,'Données projet'!$E$11+1,1))-AVERAGE(OFFSET($H$3,0,0,'Données projet'!$E$11+1,1))</f>
        <v>507.66185230065889</v>
      </c>
      <c r="BJ87" s="62">
        <f t="shared" si="92"/>
        <v>640.14375617778342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216.02956409773498</v>
      </c>
      <c r="BQ87" s="23">
        <f>EXP(-LN(2)/25)*BQ86+(1-EXP(-LN(2)/25))/(LN(2)/25)*Calculateur!BL87*Calculateur!BN87*VLOOKUP('Données projet'!$B$11,Paramètres!$A$1:$I$89,3,0)*0.475*44/12</f>
        <v>13.118445910589559</v>
      </c>
      <c r="BR87" s="23">
        <f>EXP(-LN(2)/2)*BR86+(1-EXP(-LN(2)/2))/(LN(2)/2)*BL87*BO87*VLOOKUP('Données projet'!$B$11,Paramètres!$A$1:$I$89,3,0)*0.475*44/12</f>
        <v>6.870794778849053E-6</v>
      </c>
      <c r="BS87" s="24">
        <f t="shared" si="63"/>
        <v>229.14801687911933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14.037721542000003</v>
      </c>
      <c r="BY87" s="13">
        <f>IF('Données projet'!$A$114&gt;35,BY86+BX87-CG86,IF(A87&lt;'Données projet'!$A$114,$BV$205^A87,IF(A87='Données projet'!$A$114,'Données projet'!$B$114,BY86+BX87-CG86)))</f>
        <v>377.90767344799997</v>
      </c>
      <c r="BZ87" s="14">
        <f>BY87*VLOOKUP('Données projet'!$B$12,Paramètres!$A$1:$I$89,3,0)*VLOOKUP('Données projet'!$B$12,Paramètres!$A$1:$I$89,5,0)</f>
        <v>176.86079117366398</v>
      </c>
      <c r="CA87" s="14">
        <f t="shared" si="93"/>
        <v>44.623056495547033</v>
      </c>
      <c r="CB87" s="22">
        <f t="shared" si="64"/>
        <v>385.75103469054244</v>
      </c>
      <c r="CC87" s="62">
        <f t="shared" si="65"/>
        <v>658.00786521509281</v>
      </c>
      <c r="CD87" s="62">
        <f ca="1">AVERAGE(OFFSET($CC$3,0,0,'Données projet'!$E$12+1,1))-AVERAGE(OFFSET($H$3,0,0,'Données projet'!$E$12+1,1))</f>
        <v>289.21044803824958</v>
      </c>
      <c r="CE87" s="62">
        <f t="shared" si="94"/>
        <v>196.11836398299445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>
        <f>EXP(-LN(2)/35)*CK86+(1-EXP(-LN(2)/35))/(LN(2)/35)*CG87*CH87*VLOOKUP('Données projet'!$B$12,Paramètres!$A$1:$I$89,3,0)*0.475*44/12</f>
        <v>27.904664936265902</v>
      </c>
      <c r="CL87" s="23">
        <f>EXP(-LN(2)/25)*CL86+(1-EXP(-LN(2)/25))/(LN(2)/25)*Calculateur!CG87*Calculateur!CI87*VLOOKUP('Données projet'!$B$12,Paramètres!$A$1:$I$89,3,0)*0.475*44/12</f>
        <v>31.396004909937734</v>
      </c>
      <c r="CM87" s="23">
        <f>EXP(-LN(2)/2)*CM86+(1-EXP(-LN(2)/2))/(LN(2)/2)*CG87*CJ87*VLOOKUP('Données projet'!$B$12,Paramètres!$A$1:$I$89,3,0)*0.475*44/12</f>
        <v>0</v>
      </c>
      <c r="CN87" s="24">
        <f t="shared" si="66"/>
        <v>59.300669846203633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-5.6843418860808015E-14</v>
      </c>
      <c r="CU87" s="18">
        <f>CT87*VLOOKUP('Données projet'!$B$13,Paramètres!$A$1:$I$89,3,0)*VLOOKUP('Données projet'!$B$13,Paramètres!$A$1:$I$89,5,0)</f>
        <v>-5.1431925385259088E-14</v>
      </c>
      <c r="CV87" s="14" t="e">
        <f t="shared" si="95"/>
        <v>#NUM!</v>
      </c>
      <c r="CW87" s="22" t="e">
        <f t="shared" si="67"/>
        <v>#NUM!</v>
      </c>
      <c r="CX87" s="62" t="e">
        <f t="shared" si="68"/>
        <v>#NUM!</v>
      </c>
      <c r="CY87" s="62">
        <f ca="1">AVERAGE(OFFSET($CX$3,0,0,'Données projet'!$E$13+1,1))-AVERAGE(OFFSET($H$3,0,0,'Données projet'!$E$13+1,1))</f>
        <v>376.68007030857598</v>
      </c>
      <c r="CZ87" s="62">
        <f t="shared" si="96"/>
        <v>532.90758914457626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>
        <f>EXP(-LN(2)/35)*DF86+(1-EXP(-LN(2)/35))/(LN(2)/35)*DB87*DC87*VLOOKUP('Données projet'!$B$13,Paramètres!$A$1:$I$89,3,0)*0.475*44/12</f>
        <v>43.245619946479913</v>
      </c>
      <c r="DG87" s="23">
        <f>EXP(-LN(2)/25)*DG86+(1-EXP(-LN(2)/25))/(LN(2)/25)*Calculateur!DB87*Calculateur!DD87*VLOOKUP('Données projet'!$B$13,Paramètres!$A$1:$I$89,3,0)*0.475*44/12</f>
        <v>2.9312634386001442</v>
      </c>
      <c r="DH87" s="23">
        <f>EXP(-LN(2)/2)*DH86+(1-EXP(-LN(2)/2))/(LN(2)/2)*DB87*DE87*VLOOKUP('Données projet'!$B$13,Paramètres!$A$1:$I$89,3,0)*0.475*44/12</f>
        <v>0</v>
      </c>
      <c r="DI87" s="24">
        <f t="shared" si="69"/>
        <v>46.17688338508006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5.6843418860808015E-14</v>
      </c>
      <c r="DP87" s="18">
        <f>DO87*VLOOKUP('Données projet'!$B$14,Paramètres!$A$1:$I$89,3,0)*VLOOKUP('Données projet'!$B$14,Paramètres!$A$1:$I$89,5,0)</f>
        <v>5.4092197387944907E-14</v>
      </c>
      <c r="DQ87" s="14">
        <f t="shared" si="97"/>
        <v>8.7287050538073676E-13</v>
      </c>
      <c r="DR87" s="22">
        <f t="shared" si="70"/>
        <v>1.6144600406554537E-12</v>
      </c>
      <c r="DS87" s="62">
        <f t="shared" si="71"/>
        <v>272.2568305245519</v>
      </c>
      <c r="DT87" s="62">
        <f ca="1">AVERAGE(OFFSET($DS$3,0,0,'Données projet'!$E$14+1,1))-AVERAGE(OFFSET($H$3,0,0,'Données projet'!$E$14+1,1))</f>
        <v>364.63161066507769</v>
      </c>
      <c r="DU87" s="62">
        <f t="shared" si="98"/>
        <v>355.44729904860708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>
        <f>EXP(-LN(2)/35)*EA86+(1-EXP(-LN(2)/35))/(LN(2)/35)*DW87*DX87*VLOOKUP('Données projet'!$B$14,Paramètres!$A$1:$I$89,3,0)*0.475*44/12</f>
        <v>122.60704897820273</v>
      </c>
      <c r="EB87" s="23">
        <f>EXP(-LN(2)/25)*EB86+(1-EXP(-LN(2)/25))/(LN(2)/25)*Calculateur!DW87*Calculateur!DY87*VLOOKUP('Données projet'!$B$14,Paramètres!$A$1:$I$89,3,0)*0.475*44/12</f>
        <v>0</v>
      </c>
      <c r="EC87" s="23">
        <f>EXP(-LN(2)/2)*EC86+(1-EXP(-LN(2)/2))/(LN(2)/2)*DW87*DZ87*VLOOKUP('Données projet'!$B$14,Paramètres!$A$1:$I$89,3,0)*0.475*44/12</f>
        <v>0</v>
      </c>
      <c r="ED87" s="24">
        <f t="shared" si="72"/>
        <v>122.60704897820273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5.6843418860808015E-14</v>
      </c>
      <c r="EK87" s="18">
        <f>EJ87*VLOOKUP('Données projet'!$B$15,Paramètres!$A$1:$I$89,3,0)*VLOOKUP('Données projet'!$B$15,Paramètres!$A$1:$I$89,5,0)</f>
        <v>4.1677594708744434E-14</v>
      </c>
      <c r="EL87" s="14">
        <f t="shared" si="99"/>
        <v>6.9326303456159188E-13</v>
      </c>
      <c r="EM87" s="22">
        <f t="shared" si="73"/>
        <v>1.2800215959791691E-12</v>
      </c>
      <c r="EN87" s="62">
        <f t="shared" si="74"/>
        <v>272.25683052455162</v>
      </c>
      <c r="EO87" s="62">
        <f ca="1">AVERAGE(OFFSET($EN$3,0,0,'Données projet'!$E$15+1,1))-AVERAGE(OFFSET($H$3,0,0,'Données projet'!$E$15+1,1))</f>
        <v>293.59366973965774</v>
      </c>
      <c r="EP87" s="62">
        <f t="shared" si="100"/>
        <v>288.13804536120426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>
        <f>EXP(-LN(2)/35)*EV86+(1-EXP(-LN(2)/35))/(LN(2)/35)*ER87*ES87*VLOOKUP('Données projet'!$B$15,Paramètres!$A$1:$I$89,3,0)*0.475*44/12</f>
        <v>94.467726261893915</v>
      </c>
      <c r="EW87" s="23">
        <f>EXP(-LN(2)/25)*EW86+(1-EXP(-LN(2)/25))/(LN(2)/25)*Calculateur!ER87*Calculateur!ET87*VLOOKUP('Données projet'!$B$15,Paramètres!$A$1:$I$89,3,0)*0.475*44/12</f>
        <v>0</v>
      </c>
      <c r="EX87" s="23">
        <f>EXP(-LN(2)/2)*EX86+(1-EXP(-LN(2)/2))/(LN(2)/2)*ER87*EU87*VLOOKUP('Données projet'!$B$15,Paramètres!$A$1:$I$89,3,0)*0.475*44/12</f>
        <v>0</v>
      </c>
      <c r="EY87" s="24">
        <f t="shared" si="75"/>
        <v>94.467726261893915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5.6843418860808015E-14</v>
      </c>
      <c r="FF87" s="18">
        <f>FE87*VLOOKUP('Données projet'!$B$16,Paramètres!$A$1:$I$89,3,0)*VLOOKUP('Données projet'!$B$16,Paramètres!$A$1:$I$89,5,0)</f>
        <v>5.4978954722173515E-14</v>
      </c>
      <c r="FG87" s="14">
        <f t="shared" si="101"/>
        <v>8.8550225887742724E-13</v>
      </c>
      <c r="FH87" s="22">
        <f t="shared" si="76"/>
        <v>1.6380047803526383E-12</v>
      </c>
      <c r="FI87" s="62">
        <f t="shared" si="77"/>
        <v>272.25683052455196</v>
      </c>
      <c r="FJ87" s="62">
        <f ca="1">AVERAGE(OFFSET($FI$3,0,0,'Données projet'!$E$16+1,1))-AVERAGE(OFFSET($H$3,0,0,'Données projet'!$E$16+1,1))</f>
        <v>369.69145521630799</v>
      </c>
      <c r="FK87" s="62">
        <f t="shared" si="102"/>
        <v>360.24112103688719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>
        <f>EXP(-LN(2)/35)*FQ86+(1-EXP(-LN(2)/35))/(LN(2)/35)*FM87*FN87*VLOOKUP('Données projet'!$B$16,Paramètres!$A$1:$I$89,3,0)*0.475*44/12</f>
        <v>124.61700060079623</v>
      </c>
      <c r="FR87" s="23">
        <f>EXP(-LN(2)/25)*FR86+(1-EXP(-LN(2)/25))/(LN(2)/25)*Calculateur!FM87*Calculateur!FO87*VLOOKUP('Données projet'!$B$16,Paramètres!$A$1:$I$89,3,0)*0.475*44/12</f>
        <v>0</v>
      </c>
      <c r="FS87" s="23">
        <f>EXP(-LN(2)/2)*FS86+(1-EXP(-LN(2)/2))/(LN(2)/2)*FM87*FP87*VLOOKUP('Données projet'!$B$16,Paramètres!$A$1:$I$89,3,0)*0.475*44/12</f>
        <v>0</v>
      </c>
      <c r="FT87" s="24">
        <f t="shared" si="78"/>
        <v>124.61700060079623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5.6843418860808015E-14</v>
      </c>
      <c r="GA87" s="18">
        <f>FZ87*VLOOKUP('Données projet'!$B$17,Paramètres!$A$1:$I$89,3,0)*VLOOKUP('Données projet'!$B$17,Paramètres!$A$1:$I$89,5,0)</f>
        <v>6.1186256061773749E-14</v>
      </c>
      <c r="GB87" s="14">
        <f t="shared" si="103"/>
        <v>9.7328366192051127E-13</v>
      </c>
      <c r="GC87" s="22">
        <f t="shared" si="79"/>
        <v>1.8017017738191463E-12</v>
      </c>
      <c r="GD87" s="62">
        <f t="shared" si="80"/>
        <v>272.25683052455213</v>
      </c>
      <c r="GE87" s="62">
        <f ca="1">AVERAGE(OFFSET($GD$3,0,0,'Données projet'!$E$17+1,1))-AVERAGE(OFFSET($H$3,0,0,'Données projet'!$E$17+1,1))</f>
        <v>405.06394904053946</v>
      </c>
      <c r="GF87" s="62">
        <f t="shared" si="104"/>
        <v>393.75247087518198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>
        <f>EXP(-LN(2)/35)*GL86+(1-EXP(-LN(2)/35))/(LN(2)/35)*GH87*GI87*VLOOKUP('Données projet'!$B$17,Paramètres!$A$1:$I$89,3,0)*0.475*44/12</f>
        <v>138.68666195895065</v>
      </c>
      <c r="GM87" s="23">
        <f>EXP(-LN(2)/25)*GM86+(1-EXP(-LN(2)/25))/(LN(2)/25)*Calculateur!GH87*Calculateur!GJ87*VLOOKUP('Données projet'!$B$17,Paramètres!$A$1:$I$89,3,0)*0.475*44/12</f>
        <v>0</v>
      </c>
      <c r="GN87" s="23">
        <f>EXP(-LN(2)/2)*GN86+(1-EXP(-LN(2)/2))/(LN(2)/2)*GH87*GK87*VLOOKUP('Données projet'!$B$17,Paramètres!$A$1:$I$89,3,0)*0.475*44/12</f>
        <v>0</v>
      </c>
      <c r="GO87" s="23">
        <f t="shared" si="81"/>
        <v>138.68666195895065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5.6843418860808015E-14</v>
      </c>
      <c r="GV87" s="18">
        <f>GU87*VLOOKUP('Données projet'!$B$18,Paramètres!$A$1:$I$89,3,0)*VLOOKUP('Données projet'!$B$18,Paramètres!$A$1:$I$89,5,0)</f>
        <v>3.813056537183002E-14</v>
      </c>
      <c r="GW87" s="14">
        <f t="shared" si="105"/>
        <v>6.4086286045526829E-13</v>
      </c>
      <c r="GX87" s="22">
        <f t="shared" si="82"/>
        <v>1.1825802166488628E-12</v>
      </c>
      <c r="GY87" s="62">
        <f t="shared" si="83"/>
        <v>272.2568305245515</v>
      </c>
      <c r="GZ87" s="62">
        <f ca="1">AVERAGE(OFFSET($GY$3,0,0,'Données projet'!$E$18+1,1))-AVERAGE(OFFSET($H$3,0,0,'Données projet'!$E$18+1,1))</f>
        <v>273.21861937609918</v>
      </c>
      <c r="HA87" s="62">
        <f t="shared" si="106"/>
        <v>268.83004886965318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>
        <f>EXP(-LN(2)/35)*HG86+(1-EXP(-LN(2)/35))/(LN(2)/35)*HC87*HD87*VLOOKUP('Données projet'!$B$18,Paramètres!$A$1:$I$89,3,0)*0.475*44/12</f>
        <v>106.52743599745486</v>
      </c>
      <c r="HH87" s="23">
        <f>EXP(-LN(2)/25)*HH86+(1-EXP(-LN(2)/25))/(LN(2)/25)*Calculateur!HC87*Calculateur!HE87*VLOOKUP('Données projet'!$B$18,Paramètres!$A$1:$I$89,3,0)*0.475*44/12</f>
        <v>0</v>
      </c>
      <c r="HI87" s="23">
        <f>EXP(-LN(2)/2)*HI86+(1-EXP(-LN(2)/2))/(LN(2)/2)*HC87*HF87*VLOOKUP('Données projet'!$B$18,Paramètres!$A$1:$I$89,3,0)*0.475*44/12</f>
        <v>0</v>
      </c>
      <c r="HJ87" s="24">
        <f t="shared" si="84"/>
        <v>106.52743599745486</v>
      </c>
    </row>
    <row r="88" spans="1:218" s="5" customFormat="1" x14ac:dyDescent="0.4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5.7</v>
      </c>
      <c r="N88" s="14">
        <f>IF('Données projet'!$A$36&gt;35,N87+M88-V87,IF(A88&lt;'Données projet'!$A$36,$K$205^A88,IF(A88='Données projet'!$A$36,'Données projet'!$B$36,N87+M88-V87)))</f>
        <v>201.90000000000003</v>
      </c>
      <c r="O88" s="14">
        <f>N88*VLOOKUP('Données projet'!$B$9,Paramètres!$A$1:$I$89,3,0)*VLOOKUP('Données projet'!$B$9,Paramètres!$A$1:$I$89,5,0)</f>
        <v>182.67912000000004</v>
      </c>
      <c r="P88" s="14">
        <f t="shared" si="87"/>
        <v>45.917727512477072</v>
      </c>
      <c r="Q88" s="22">
        <f t="shared" si="54"/>
        <v>398.13950941756428</v>
      </c>
      <c r="R88" s="62">
        <f t="shared" si="55"/>
        <v>670.76197014584579</v>
      </c>
      <c r="S88" s="62">
        <f ca="1">AVERAGE(OFFSET($R$3,0,0,'Données projet'!$E$9+1,1))-AVERAGE(OFFSET($H$3,0,0,'Données projet'!$E$9+1,1))</f>
        <v>432.80275651765203</v>
      </c>
      <c r="T88" s="62">
        <f t="shared" si="88"/>
        <v>203.89279893419919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10.751621677478282</v>
      </c>
      <c r="AA88" s="23">
        <f>EXP(-LN(2)/25)*AA87+(1-EXP(-LN(2)/25))/(LN(2)/25)*Calculateur!V88*Calculateur!X88*VLOOKUP('Données projet'!$B$9,Paramètres!$A$1:$I$89,3,0)*0.475*44/12</f>
        <v>7.8319398751601756</v>
      </c>
      <c r="AB88" s="23">
        <f>EXP(-LN(2)/2)*AB87+(1-EXP(-LN(2)/2))/(LN(2)/2)*V88*Y88*VLOOKUP('Données projet'!$B$9,Paramètres!$A$1:$I$89,3,0)*0.475*44/12</f>
        <v>0</v>
      </c>
      <c r="AC88" s="24">
        <f t="shared" si="57"/>
        <v>18.583561552638457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54.000000000000341</v>
      </c>
      <c r="AJ88" s="14">
        <f>AI88*VLOOKUP('Données projet'!$B$10,Paramètres!$A$1:$I$89,3,0)*VLOOKUP('Données projet'!$B$10,Paramètres!$A$1:$I$89,5,0)</f>
        <v>23.868000000000151</v>
      </c>
      <c r="AK88" s="14">
        <f t="shared" si="89"/>
        <v>7.6030930962115804</v>
      </c>
      <c r="AL88" s="22">
        <f t="shared" si="58"/>
        <v>54.812153809235433</v>
      </c>
      <c r="AM88" s="62">
        <f t="shared" si="59"/>
        <v>327.43461453751695</v>
      </c>
      <c r="AN88" s="62">
        <f ca="1">AVERAGE(OFFSET($AM$3,0,0,'Données projet'!$E$10+1,1))-AVERAGE(OFFSET($H$3,0,0,'Données projet'!$E$10+1,1))</f>
        <v>413.08876898406481</v>
      </c>
      <c r="AO88" s="62">
        <f t="shared" si="90"/>
        <v>520.31320932826566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167.4645141341224</v>
      </c>
      <c r="AV88" s="23">
        <f>EXP(-LN(2)/25)*AV87+(1-EXP(-LN(2)/25))/(LN(2)/25)*Calculateur!AQ88*Calculateur!AS88*VLOOKUP('Données projet'!$B$10,Paramètres!$A$1:$I$89,3,0)*0.475*44/12</f>
        <v>10.089081971814961</v>
      </c>
      <c r="AW88" s="23">
        <f>EXP(-LN(2)/2)*AW87+(1-EXP(-LN(2)/2))/(LN(2)/2)*AQ88*AT88*VLOOKUP('Données projet'!$B$10,Paramètres!$A$1:$I$89,3,0)*0.475*44/12</f>
        <v>3.8415141797446456E-6</v>
      </c>
      <c r="AX88" s="23">
        <f t="shared" si="60"/>
        <v>177.55359994745152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 t="e">
        <f>VLOOKUP(A88,'Données projet'!$A$87:$I$107,2,0)</f>
        <v>#N/A</v>
      </c>
      <c r="BB88" s="13" t="e">
        <f>VLOOKUP(A88,'Données projet'!$A$87:$I$107,9,0)</f>
        <v>#N/A</v>
      </c>
      <c r="BC88" s="13">
        <f t="array" ref="BC88">INDEX(BB:BB,MIN(IF(ISNUMBER(BB88:BB284),ROW(BB88:BB284),"")))</f>
        <v>0</v>
      </c>
      <c r="BD88" s="13">
        <f>IF('Données projet'!$A$88&gt;35,BD87+BC88-BL87,IF(A88&lt;'Données projet'!$A$88,$BA$205^A88,IF(A88='Données projet'!$A$88,'Données projet'!$B$88,BD87+BC88-BL87)))</f>
        <v>54.000000000000341</v>
      </c>
      <c r="BE88" s="14">
        <f>BD88*VLOOKUP('Données projet'!$B$11,Paramètres!$A$1:$I$89,3,0)*VLOOKUP('Données projet'!$B$11,Paramètres!$A$1:$I$89,5,0)</f>
        <v>30.186000000000188</v>
      </c>
      <c r="BF88" s="14">
        <f t="shared" si="91"/>
        <v>9.3563888882899153</v>
      </c>
      <c r="BG88" s="22">
        <f t="shared" si="61"/>
        <v>68.869660647105263</v>
      </c>
      <c r="BH88" s="62">
        <f t="shared" si="62"/>
        <v>341.49212137538677</v>
      </c>
      <c r="BI88" s="62">
        <f ca="1">AVERAGE(OFFSET($BH$3,0,0,'Données projet'!$E$11+1,1))-AVERAGE(OFFSET($H$3,0,0,'Données projet'!$E$11+1,1))</f>
        <v>507.66185230065889</v>
      </c>
      <c r="BJ88" s="62">
        <f t="shared" si="92"/>
        <v>640.14375617778342</v>
      </c>
      <c r="BK88" s="16">
        <f>IF(ISNA(VLOOKUP(A88,'Données projet'!$A$87:$I$107,3,0)),0,VLOOKUP(A88,'Données projet'!$A$87:$I$107,3,0))</f>
        <v>0</v>
      </c>
      <c r="BL88" s="16">
        <f>IF(ISNA(VLOOKUP(A88,'Données projet'!$A$87:$I$107,4,0)),0,VLOOKUP(A88,'Données projet'!$A$87:$I$107,4,0))</f>
        <v>0</v>
      </c>
      <c r="BM88" s="17">
        <f>IF(ISNA(VLOOKUP(A88,'Données projet'!$A$87:$I$107,5,0)),0%,VLOOKUP(A88,'Données projet'!$A$87:$I$107,5,0)*VLOOKUP('Données projet'!$B$11,Paramètres!$A$1:$I$89,7,0))</f>
        <v>0</v>
      </c>
      <c r="BN88" s="17">
        <f>IF(ISNA(VLOOKUP(A88,'Données projet'!$A$87:$I$107,6,0)),0%,VLOOKUP(A88,'Données projet'!$A$87:$I$107,6,0)*VLOOKUP('Données projet'!$B$11,Paramètres!$A$1:$I$89,7,0))</f>
        <v>0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211.79335611080177</v>
      </c>
      <c r="BQ88" s="23">
        <f>EXP(-LN(2)/25)*BQ87+(1-EXP(-LN(2)/25))/(LN(2)/25)*Calculateur!BL88*Calculateur!BN88*VLOOKUP('Données projet'!$B$11,Paramètres!$A$1:$I$89,3,0)*0.475*44/12</f>
        <v>12.7597213172954</v>
      </c>
      <c r="BR88" s="23">
        <f>EXP(-LN(2)/2)*BR87+(1-EXP(-LN(2)/2))/(LN(2)/2)*BL88*BO88*VLOOKUP('Données projet'!$B$11,Paramètres!$A$1:$I$89,3,0)*0.475*44/12</f>
        <v>4.8583855802652904E-6</v>
      </c>
      <c r="BS88" s="24">
        <f t="shared" si="63"/>
        <v>224.55308228648275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14.037721542000003</v>
      </c>
      <c r="BY88" s="13">
        <f>IF('Données projet'!$A$114&gt;35,BY87+BX88-CG87,IF(A88&lt;'Données projet'!$A$114,$BV$205^A88,IF(A88='Données projet'!$A$114,'Données projet'!$B$114,BY87+BX88-CG87)))</f>
        <v>391.94539498999995</v>
      </c>
      <c r="BZ88" s="14">
        <f>BY88*VLOOKUP('Données projet'!$B$12,Paramètres!$A$1:$I$89,3,0)*VLOOKUP('Données projet'!$B$12,Paramètres!$A$1:$I$89,5,0)</f>
        <v>183.43044485531996</v>
      </c>
      <c r="CA88" s="14">
        <f t="shared" si="93"/>
        <v>46.084556352616701</v>
      </c>
      <c r="CB88" s="22">
        <f t="shared" si="64"/>
        <v>399.73862710382303</v>
      </c>
      <c r="CC88" s="62">
        <f t="shared" si="65"/>
        <v>672.36108783210454</v>
      </c>
      <c r="CD88" s="62">
        <f ca="1">AVERAGE(OFFSET($CC$3,0,0,'Données projet'!$E$12+1,1))-AVERAGE(OFFSET($H$3,0,0,'Données projet'!$E$12+1,1))</f>
        <v>289.21044803824958</v>
      </c>
      <c r="CE88" s="62">
        <f t="shared" si="94"/>
        <v>196.11836398299445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>
        <f>EXP(-LN(2)/35)*CK87+(1-EXP(-LN(2)/35))/(LN(2)/35)*CG88*CH88*VLOOKUP('Données projet'!$B$12,Paramètres!$A$1:$I$89,3,0)*0.475*44/12</f>
        <v>27.357471477030739</v>
      </c>
      <c r="CL88" s="23">
        <f>EXP(-LN(2)/25)*CL87+(1-EXP(-LN(2)/25))/(LN(2)/25)*Calculateur!CG88*Calculateur!CI88*VLOOKUP('Données projet'!$B$12,Paramètres!$A$1:$I$89,3,0)*0.475*44/12</f>
        <v>30.537479504631346</v>
      </c>
      <c r="CM88" s="23">
        <f>EXP(-LN(2)/2)*CM87+(1-EXP(-LN(2)/2))/(LN(2)/2)*CG88*CJ88*VLOOKUP('Données projet'!$B$12,Paramètres!$A$1:$I$89,3,0)*0.475*44/12</f>
        <v>0</v>
      </c>
      <c r="CN88" s="24">
        <f t="shared" si="66"/>
        <v>57.894950981662085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-5.6843418860808015E-14</v>
      </c>
      <c r="CU88" s="18">
        <f>CT88*VLOOKUP('Données projet'!$B$13,Paramètres!$A$1:$I$89,3,0)*VLOOKUP('Données projet'!$B$13,Paramètres!$A$1:$I$89,5,0)</f>
        <v>-5.1431925385259088E-14</v>
      </c>
      <c r="CV88" s="14" t="e">
        <f t="shared" si="95"/>
        <v>#NUM!</v>
      </c>
      <c r="CW88" s="22" t="e">
        <f t="shared" si="67"/>
        <v>#NUM!</v>
      </c>
      <c r="CX88" s="62" t="e">
        <f t="shared" si="68"/>
        <v>#NUM!</v>
      </c>
      <c r="CY88" s="62">
        <f ca="1">AVERAGE(OFFSET($CX$3,0,0,'Données projet'!$E$13+1,1))-AVERAGE(OFFSET($H$3,0,0,'Données projet'!$E$13+1,1))</f>
        <v>376.68007030857598</v>
      </c>
      <c r="CZ88" s="62">
        <f t="shared" si="96"/>
        <v>532.90758914457626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>
        <f>EXP(-LN(2)/35)*DF87+(1-EXP(-LN(2)/35))/(LN(2)/35)*DB88*DC88*VLOOKUP('Données projet'!$B$13,Paramètres!$A$1:$I$89,3,0)*0.475*44/12</f>
        <v>42.397599716553074</v>
      </c>
      <c r="DG88" s="23">
        <f>EXP(-LN(2)/25)*DG87+(1-EXP(-LN(2)/25))/(LN(2)/25)*Calculateur!DB88*Calculateur!DD88*VLOOKUP('Données projet'!$B$13,Paramètres!$A$1:$I$89,3,0)*0.475*44/12</f>
        <v>2.8511078857231786</v>
      </c>
      <c r="DH88" s="23">
        <f>EXP(-LN(2)/2)*DH87+(1-EXP(-LN(2)/2))/(LN(2)/2)*DB88*DE88*VLOOKUP('Données projet'!$B$13,Paramètres!$A$1:$I$89,3,0)*0.475*44/12</f>
        <v>0</v>
      </c>
      <c r="DI88" s="24">
        <f t="shared" si="69"/>
        <v>45.248707602276255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5.6843418860808015E-14</v>
      </c>
      <c r="DP88" s="18">
        <f>DO88*VLOOKUP('Données projet'!$B$14,Paramètres!$A$1:$I$89,3,0)*VLOOKUP('Données projet'!$B$14,Paramètres!$A$1:$I$89,5,0)</f>
        <v>5.4092197387944907E-14</v>
      </c>
      <c r="DQ88" s="14">
        <f t="shared" si="97"/>
        <v>8.7287050538073676E-13</v>
      </c>
      <c r="DR88" s="22">
        <f t="shared" si="70"/>
        <v>1.6144600406554537E-12</v>
      </c>
      <c r="DS88" s="62">
        <f t="shared" si="71"/>
        <v>272.6224607282831</v>
      </c>
      <c r="DT88" s="62">
        <f ca="1">AVERAGE(OFFSET($DS$3,0,0,'Données projet'!$E$14+1,1))-AVERAGE(OFFSET($H$3,0,0,'Données projet'!$E$14+1,1))</f>
        <v>364.63161066507769</v>
      </c>
      <c r="DU88" s="62">
        <f t="shared" si="98"/>
        <v>355.44729904860708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>
        <f>EXP(-LN(2)/35)*EA87+(1-EXP(-LN(2)/35))/(LN(2)/35)*DW88*DX88*VLOOKUP('Données projet'!$B$14,Paramètres!$A$1:$I$89,3,0)*0.475*44/12</f>
        <v>120.20279953065585</v>
      </c>
      <c r="EB88" s="23">
        <f>EXP(-LN(2)/25)*EB87+(1-EXP(-LN(2)/25))/(LN(2)/25)*Calculateur!DW88*Calculateur!DY88*VLOOKUP('Données projet'!$B$14,Paramètres!$A$1:$I$89,3,0)*0.475*44/12</f>
        <v>0</v>
      </c>
      <c r="EC88" s="23">
        <f>EXP(-LN(2)/2)*EC87+(1-EXP(-LN(2)/2))/(LN(2)/2)*DW88*DZ88*VLOOKUP('Données projet'!$B$14,Paramètres!$A$1:$I$89,3,0)*0.475*44/12</f>
        <v>0</v>
      </c>
      <c r="ED88" s="24">
        <f t="shared" si="72"/>
        <v>120.20279953065585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5.6843418860808015E-14</v>
      </c>
      <c r="EK88" s="18">
        <f>EJ88*VLOOKUP('Données projet'!$B$15,Paramètres!$A$1:$I$89,3,0)*VLOOKUP('Données projet'!$B$15,Paramètres!$A$1:$I$89,5,0)</f>
        <v>4.1677594708744434E-14</v>
      </c>
      <c r="EL88" s="14">
        <f t="shared" si="99"/>
        <v>6.9326303456159188E-13</v>
      </c>
      <c r="EM88" s="22">
        <f t="shared" si="73"/>
        <v>1.2800215959791691E-12</v>
      </c>
      <c r="EN88" s="62">
        <f t="shared" si="74"/>
        <v>272.62246072828282</v>
      </c>
      <c r="EO88" s="62">
        <f ca="1">AVERAGE(OFFSET($EN$3,0,0,'Données projet'!$E$15+1,1))-AVERAGE(OFFSET($H$3,0,0,'Données projet'!$E$15+1,1))</f>
        <v>293.59366973965774</v>
      </c>
      <c r="EP88" s="62">
        <f t="shared" si="100"/>
        <v>288.13804536120426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>
        <f>EXP(-LN(2)/35)*EV87+(1-EXP(-LN(2)/35))/(LN(2)/35)*ER88*ES88*VLOOKUP('Données projet'!$B$15,Paramètres!$A$1:$I$89,3,0)*0.475*44/12</f>
        <v>92.615271769521726</v>
      </c>
      <c r="EW88" s="23">
        <f>EXP(-LN(2)/25)*EW87+(1-EXP(-LN(2)/25))/(LN(2)/25)*Calculateur!ER88*Calculateur!ET88*VLOOKUP('Données projet'!$B$15,Paramètres!$A$1:$I$89,3,0)*0.475*44/12</f>
        <v>0</v>
      </c>
      <c r="EX88" s="23">
        <f>EXP(-LN(2)/2)*EX87+(1-EXP(-LN(2)/2))/(LN(2)/2)*ER88*EU88*VLOOKUP('Données projet'!$B$15,Paramètres!$A$1:$I$89,3,0)*0.475*44/12</f>
        <v>0</v>
      </c>
      <c r="EY88" s="24">
        <f t="shared" si="75"/>
        <v>92.615271769521726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5.6843418860808015E-14</v>
      </c>
      <c r="FF88" s="18">
        <f>FE88*VLOOKUP('Données projet'!$B$16,Paramètres!$A$1:$I$89,3,0)*VLOOKUP('Données projet'!$B$16,Paramètres!$A$1:$I$89,5,0)</f>
        <v>5.4978954722173515E-14</v>
      </c>
      <c r="FG88" s="14">
        <f t="shared" si="101"/>
        <v>8.8550225887742724E-13</v>
      </c>
      <c r="FH88" s="22">
        <f t="shared" si="76"/>
        <v>1.6380047803526383E-12</v>
      </c>
      <c r="FI88" s="62">
        <f t="shared" si="77"/>
        <v>272.62246072828316</v>
      </c>
      <c r="FJ88" s="62">
        <f ca="1">AVERAGE(OFFSET($FI$3,0,0,'Données projet'!$E$16+1,1))-AVERAGE(OFFSET($H$3,0,0,'Données projet'!$E$16+1,1))</f>
        <v>369.69145521630799</v>
      </c>
      <c r="FK88" s="62">
        <f t="shared" si="102"/>
        <v>360.24112103688719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>
        <f>EXP(-LN(2)/35)*FQ87+(1-EXP(-LN(2)/35))/(LN(2)/35)*FM88*FN88*VLOOKUP('Données projet'!$B$16,Paramètres!$A$1:$I$89,3,0)*0.475*44/12</f>
        <v>122.17333722787973</v>
      </c>
      <c r="FR88" s="23">
        <f>EXP(-LN(2)/25)*FR87+(1-EXP(-LN(2)/25))/(LN(2)/25)*Calculateur!FM88*Calculateur!FO88*VLOOKUP('Données projet'!$B$16,Paramètres!$A$1:$I$89,3,0)*0.475*44/12</f>
        <v>0</v>
      </c>
      <c r="FS88" s="23">
        <f>EXP(-LN(2)/2)*FS87+(1-EXP(-LN(2)/2))/(LN(2)/2)*FM88*FP88*VLOOKUP('Données projet'!$B$16,Paramètres!$A$1:$I$89,3,0)*0.475*44/12</f>
        <v>0</v>
      </c>
      <c r="FT88" s="24">
        <f t="shared" si="78"/>
        <v>122.17333722787973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5.6843418860808015E-14</v>
      </c>
      <c r="GA88" s="18">
        <f>FZ88*VLOOKUP('Données projet'!$B$17,Paramètres!$A$1:$I$89,3,0)*VLOOKUP('Données projet'!$B$17,Paramètres!$A$1:$I$89,5,0)</f>
        <v>6.1186256061773749E-14</v>
      </c>
      <c r="GB88" s="14">
        <f t="shared" si="103"/>
        <v>9.7328366192051127E-13</v>
      </c>
      <c r="GC88" s="22">
        <f t="shared" si="79"/>
        <v>1.8017017738191463E-12</v>
      </c>
      <c r="GD88" s="62">
        <f t="shared" si="80"/>
        <v>272.62246072828333</v>
      </c>
      <c r="GE88" s="62">
        <f ca="1">AVERAGE(OFFSET($GD$3,0,0,'Données projet'!$E$17+1,1))-AVERAGE(OFFSET($H$3,0,0,'Données projet'!$E$17+1,1))</f>
        <v>405.06394904053946</v>
      </c>
      <c r="GF88" s="62">
        <f t="shared" si="104"/>
        <v>393.75247087518198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>
        <f>EXP(-LN(2)/35)*GL87+(1-EXP(-LN(2)/35))/(LN(2)/35)*GH88*GI88*VLOOKUP('Données projet'!$B$17,Paramètres!$A$1:$I$89,3,0)*0.475*44/12</f>
        <v>135.9671011084468</v>
      </c>
      <c r="GM88" s="23">
        <f>EXP(-LN(2)/25)*GM87+(1-EXP(-LN(2)/25))/(LN(2)/25)*Calculateur!GH88*Calculateur!GJ88*VLOOKUP('Données projet'!$B$17,Paramètres!$A$1:$I$89,3,0)*0.475*44/12</f>
        <v>0</v>
      </c>
      <c r="GN88" s="23">
        <f>EXP(-LN(2)/2)*GN87+(1-EXP(-LN(2)/2))/(LN(2)/2)*GH88*GK88*VLOOKUP('Données projet'!$B$17,Paramètres!$A$1:$I$89,3,0)*0.475*44/12</f>
        <v>0</v>
      </c>
      <c r="GO88" s="23">
        <f t="shared" si="81"/>
        <v>135.9671011084468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5.6843418860808015E-14</v>
      </c>
      <c r="GV88" s="18">
        <f>GU88*VLOOKUP('Données projet'!$B$18,Paramètres!$A$1:$I$89,3,0)*VLOOKUP('Données projet'!$B$18,Paramètres!$A$1:$I$89,5,0)</f>
        <v>3.813056537183002E-14</v>
      </c>
      <c r="GW88" s="14">
        <f t="shared" si="105"/>
        <v>6.4086286045526829E-13</v>
      </c>
      <c r="GX88" s="22">
        <f t="shared" si="82"/>
        <v>1.1825802166488628E-12</v>
      </c>
      <c r="GY88" s="62">
        <f t="shared" si="83"/>
        <v>272.6224607282827</v>
      </c>
      <c r="GZ88" s="62">
        <f ca="1">AVERAGE(OFFSET($GY$3,0,0,'Données projet'!$E$18+1,1))-AVERAGE(OFFSET($H$3,0,0,'Données projet'!$E$18+1,1))</f>
        <v>273.21861937609918</v>
      </c>
      <c r="HA88" s="62">
        <f t="shared" si="106"/>
        <v>268.83004886965318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>
        <f>EXP(-LN(2)/35)*HG87+(1-EXP(-LN(2)/35))/(LN(2)/35)*HC88*HD88*VLOOKUP('Données projet'!$B$18,Paramètres!$A$1:$I$89,3,0)*0.475*44/12</f>
        <v>104.43849795286495</v>
      </c>
      <c r="HH88" s="23">
        <f>EXP(-LN(2)/25)*HH87+(1-EXP(-LN(2)/25))/(LN(2)/25)*Calculateur!HC88*Calculateur!HE88*VLOOKUP('Données projet'!$B$18,Paramètres!$A$1:$I$89,3,0)*0.475*44/12</f>
        <v>0</v>
      </c>
      <c r="HI88" s="23">
        <f>EXP(-LN(2)/2)*HI87+(1-EXP(-LN(2)/2))/(LN(2)/2)*HC88*HF88*VLOOKUP('Données projet'!$B$18,Paramètres!$A$1:$I$89,3,0)*0.475*44/12</f>
        <v>0</v>
      </c>
      <c r="HJ88" s="24">
        <f t="shared" si="84"/>
        <v>104.43849795286495</v>
      </c>
    </row>
    <row r="89" spans="1:218" s="5" customFormat="1" x14ac:dyDescent="0.4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5.7</v>
      </c>
      <c r="N89" s="14">
        <f>IF('Données projet'!$A$36&gt;35,N88+M89-V88,IF(A89&lt;'Données projet'!$A$36,$K$205^A89,IF(A89='Données projet'!$A$36,'Données projet'!$B$36,N88+M89-V88)))</f>
        <v>207.60000000000002</v>
      </c>
      <c r="O89" s="14">
        <f>N89*VLOOKUP('Données projet'!$B$9,Paramètres!$A$1:$I$89,3,0)*VLOOKUP('Données projet'!$B$9,Paramètres!$A$1:$I$89,5,0)</f>
        <v>187.83647999999999</v>
      </c>
      <c r="P89" s="14">
        <f t="shared" si="87"/>
        <v>47.06131095119698</v>
      </c>
      <c r="Q89" s="22">
        <f t="shared" si="54"/>
        <v>409.11365257333472</v>
      </c>
      <c r="R89" s="62">
        <f t="shared" si="55"/>
        <v>682.09540063873942</v>
      </c>
      <c r="S89" s="62">
        <f ca="1">AVERAGE(OFFSET($R$3,0,0,'Données projet'!$E$9+1,1))-AVERAGE(OFFSET($H$3,0,0,'Données projet'!$E$9+1,1))</f>
        <v>432.80275651765203</v>
      </c>
      <c r="T89" s="62">
        <f t="shared" si="88"/>
        <v>203.89279893419919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10.540788934224622</v>
      </c>
      <c r="AA89" s="23">
        <f>EXP(-LN(2)/25)*AA88+(1-EXP(-LN(2)/25))/(LN(2)/25)*Calculateur!V89*Calculateur!X89*VLOOKUP('Données projet'!$B$9,Paramètres!$A$1:$I$89,3,0)*0.475*44/12</f>
        <v>7.6177750674101024</v>
      </c>
      <c r="AB89" s="23">
        <f>EXP(-LN(2)/2)*AB88+(1-EXP(-LN(2)/2))/(LN(2)/2)*V89*Y89*VLOOKUP('Données projet'!$B$9,Paramètres!$A$1:$I$89,3,0)*0.475*44/12</f>
        <v>0</v>
      </c>
      <c r="AC89" s="24">
        <f t="shared" si="57"/>
        <v>18.158564001634723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54.000000000000341</v>
      </c>
      <c r="AJ89" s="14">
        <f>AI89*VLOOKUP('Données projet'!$B$10,Paramètres!$A$1:$I$89,3,0)*VLOOKUP('Données projet'!$B$10,Paramètres!$A$1:$I$89,5,0)</f>
        <v>23.868000000000151</v>
      </c>
      <c r="AK89" s="14">
        <f t="shared" si="89"/>
        <v>7.6030930962115804</v>
      </c>
      <c r="AL89" s="22">
        <f t="shared" si="58"/>
        <v>54.812153809235433</v>
      </c>
      <c r="AM89" s="62">
        <f t="shared" si="59"/>
        <v>327.79390187464014</v>
      </c>
      <c r="AN89" s="62">
        <f ca="1">AVERAGE(OFFSET($AM$3,0,0,'Données projet'!$E$10+1,1))-AVERAGE(OFFSET($H$3,0,0,'Données projet'!$E$10+1,1))</f>
        <v>413.08876898406481</v>
      </c>
      <c r="AO89" s="62">
        <f t="shared" si="90"/>
        <v>520.31320932826566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164.18063715522007</v>
      </c>
      <c r="AV89" s="23">
        <f>EXP(-LN(2)/25)*AV88+(1-EXP(-LN(2)/25))/(LN(2)/25)*Calculateur!AQ89*Calculateur!AS89*VLOOKUP('Données projet'!$B$10,Paramètres!$A$1:$I$89,3,0)*0.475*44/12</f>
        <v>9.8131954947339182</v>
      </c>
      <c r="AW89" s="23">
        <f>EXP(-LN(2)/2)*AW88+(1-EXP(-LN(2)/2))/(LN(2)/2)*AQ89*AT89*VLOOKUP('Données projet'!$B$10,Paramètres!$A$1:$I$89,3,0)*0.475*44/12</f>
        <v>2.7163607265217168E-6</v>
      </c>
      <c r="AX89" s="23">
        <f t="shared" si="60"/>
        <v>173.99383536631473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0</v>
      </c>
      <c r="BD89" s="13">
        <f>IF('Données projet'!$A$88&gt;35,BD88+BC89-BL88,IF(A89&lt;'Données projet'!$A$88,$BA$205^A89,IF(A89='Données projet'!$A$88,'Données projet'!$B$88,BD88+BC89-BL88)))</f>
        <v>54.000000000000341</v>
      </c>
      <c r="BE89" s="14">
        <f>BD89*VLOOKUP('Données projet'!$B$11,Paramètres!$A$1:$I$89,3,0)*VLOOKUP('Données projet'!$B$11,Paramètres!$A$1:$I$89,5,0)</f>
        <v>30.186000000000188</v>
      </c>
      <c r="BF89" s="14">
        <f t="shared" si="91"/>
        <v>9.3563888882899153</v>
      </c>
      <c r="BG89" s="22">
        <f t="shared" si="61"/>
        <v>68.869660647105263</v>
      </c>
      <c r="BH89" s="62">
        <f t="shared" si="62"/>
        <v>341.85140871250996</v>
      </c>
      <c r="BI89" s="62">
        <f ca="1">AVERAGE(OFFSET($BH$3,0,0,'Données projet'!$E$11+1,1))-AVERAGE(OFFSET($H$3,0,0,'Données projet'!$E$11+1,1))</f>
        <v>507.66185230065889</v>
      </c>
      <c r="BJ89" s="62">
        <f t="shared" si="92"/>
        <v>640.14375617778342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207.64021757866058</v>
      </c>
      <c r="BQ89" s="23">
        <f>EXP(-LN(2)/25)*BQ88+(1-EXP(-LN(2)/25))/(LN(2)/25)*Calculateur!BL89*Calculateur!BN89*VLOOKUP('Données projet'!$B$11,Paramètres!$A$1:$I$89,3,0)*0.475*44/12</f>
        <v>12.410806066869375</v>
      </c>
      <c r="BR89" s="23">
        <f>EXP(-LN(2)/2)*BR88+(1-EXP(-LN(2)/2))/(LN(2)/2)*BL89*BO89*VLOOKUP('Données projet'!$B$11,Paramètres!$A$1:$I$89,3,0)*0.475*44/12</f>
        <v>3.4353973894245265E-6</v>
      </c>
      <c r="BS89" s="24">
        <f t="shared" si="63"/>
        <v>220.05102708092735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14.037721542000003</v>
      </c>
      <c r="BY89" s="13">
        <f>IF('Données projet'!$A$114&gt;35,BY88+BX89-CG88,IF(A89&lt;'Données projet'!$A$114,$BV$205^A89,IF(A89='Données projet'!$A$114,'Données projet'!$B$114,BY88+BX89-CG88)))</f>
        <v>405.98311653199994</v>
      </c>
      <c r="BZ89" s="14">
        <f>BY89*VLOOKUP('Données projet'!$B$12,Paramètres!$A$1:$I$89,3,0)*VLOOKUP('Données projet'!$B$12,Paramètres!$A$1:$I$89,5,0)</f>
        <v>190.00009853697597</v>
      </c>
      <c r="CA89" s="14">
        <f t="shared" si="93"/>
        <v>47.539974636353705</v>
      </c>
      <c r="CB89" s="22">
        <f t="shared" si="64"/>
        <v>413.71562744354918</v>
      </c>
      <c r="CC89" s="62">
        <f t="shared" si="65"/>
        <v>686.69737550895388</v>
      </c>
      <c r="CD89" s="62">
        <f ca="1">AVERAGE(OFFSET($CC$3,0,0,'Données projet'!$E$12+1,1))-AVERAGE(OFFSET($H$3,0,0,'Données projet'!$E$12+1,1))</f>
        <v>289.21044803824958</v>
      </c>
      <c r="CE89" s="62">
        <f t="shared" si="94"/>
        <v>196.11836398299445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>
        <f>EXP(-LN(2)/35)*CK88+(1-EXP(-LN(2)/35))/(LN(2)/35)*CG89*CH89*VLOOKUP('Données projet'!$B$12,Paramètres!$A$1:$I$89,3,0)*0.475*44/12</f>
        <v>26.821008147776119</v>
      </c>
      <c r="CL89" s="23">
        <f>EXP(-LN(2)/25)*CL88+(1-EXP(-LN(2)/25))/(LN(2)/25)*Calculateur!CG89*Calculateur!CI89*VLOOKUP('Données projet'!$B$12,Paramètres!$A$1:$I$89,3,0)*0.475*44/12</f>
        <v>29.702430521680949</v>
      </c>
      <c r="CM89" s="23">
        <f>EXP(-LN(2)/2)*CM88+(1-EXP(-LN(2)/2))/(LN(2)/2)*CG89*CJ89*VLOOKUP('Données projet'!$B$12,Paramètres!$A$1:$I$89,3,0)*0.475*44/12</f>
        <v>0</v>
      </c>
      <c r="CN89" s="24">
        <f t="shared" si="66"/>
        <v>56.523438669457065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-5.6843418860808015E-14</v>
      </c>
      <c r="CU89" s="18">
        <f>CT89*VLOOKUP('Données projet'!$B$13,Paramètres!$A$1:$I$89,3,0)*VLOOKUP('Données projet'!$B$13,Paramètres!$A$1:$I$89,5,0)</f>
        <v>-5.1431925385259088E-14</v>
      </c>
      <c r="CV89" s="14" t="e">
        <f t="shared" si="95"/>
        <v>#NUM!</v>
      </c>
      <c r="CW89" s="22" t="e">
        <f t="shared" si="67"/>
        <v>#NUM!</v>
      </c>
      <c r="CX89" s="62" t="e">
        <f t="shared" si="68"/>
        <v>#NUM!</v>
      </c>
      <c r="CY89" s="62">
        <f ca="1">AVERAGE(OFFSET($CX$3,0,0,'Données projet'!$E$13+1,1))-AVERAGE(OFFSET($H$3,0,0,'Données projet'!$E$13+1,1))</f>
        <v>376.68007030857598</v>
      </c>
      <c r="CZ89" s="62">
        <f t="shared" si="96"/>
        <v>532.90758914457626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>
        <f>EXP(-LN(2)/35)*DF88+(1-EXP(-LN(2)/35))/(LN(2)/35)*DB89*DC89*VLOOKUP('Données projet'!$B$13,Paramètres!$A$1:$I$89,3,0)*0.475*44/12</f>
        <v>41.566208646093834</v>
      </c>
      <c r="DG89" s="23">
        <f>EXP(-LN(2)/25)*DG88+(1-EXP(-LN(2)/25))/(LN(2)/25)*Calculateur!DB89*Calculateur!DD89*VLOOKUP('Données projet'!$B$13,Paramètres!$A$1:$I$89,3,0)*0.475*44/12</f>
        <v>2.7731441906548309</v>
      </c>
      <c r="DH89" s="23">
        <f>EXP(-LN(2)/2)*DH88+(1-EXP(-LN(2)/2))/(LN(2)/2)*DB89*DE89*VLOOKUP('Données projet'!$B$13,Paramètres!$A$1:$I$89,3,0)*0.475*44/12</f>
        <v>0</v>
      </c>
      <c r="DI89" s="24">
        <f t="shared" si="69"/>
        <v>44.339352836748667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5.6843418860808015E-14</v>
      </c>
      <c r="DP89" s="18">
        <f>DO89*VLOOKUP('Données projet'!$B$14,Paramètres!$A$1:$I$89,3,0)*VLOOKUP('Données projet'!$B$14,Paramètres!$A$1:$I$89,5,0)</f>
        <v>5.4092197387944907E-14</v>
      </c>
      <c r="DQ89" s="14">
        <f t="shared" si="97"/>
        <v>8.7287050538073676E-13</v>
      </c>
      <c r="DR89" s="22">
        <f t="shared" si="70"/>
        <v>1.6144600406554537E-12</v>
      </c>
      <c r="DS89" s="62">
        <f t="shared" si="71"/>
        <v>272.98174806540629</v>
      </c>
      <c r="DT89" s="62">
        <f ca="1">AVERAGE(OFFSET($DS$3,0,0,'Données projet'!$E$14+1,1))-AVERAGE(OFFSET($H$3,0,0,'Données projet'!$E$14+1,1))</f>
        <v>364.63161066507769</v>
      </c>
      <c r="DU89" s="62">
        <f t="shared" si="98"/>
        <v>355.44729904860708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>
        <f>EXP(-LN(2)/35)*EA88+(1-EXP(-LN(2)/35))/(LN(2)/35)*DW89*DX89*VLOOKUP('Données projet'!$B$14,Paramètres!$A$1:$I$89,3,0)*0.475*44/12</f>
        <v>117.845695948328</v>
      </c>
      <c r="EB89" s="23">
        <f>EXP(-LN(2)/25)*EB88+(1-EXP(-LN(2)/25))/(LN(2)/25)*Calculateur!DW89*Calculateur!DY89*VLOOKUP('Données projet'!$B$14,Paramètres!$A$1:$I$89,3,0)*0.475*44/12</f>
        <v>0</v>
      </c>
      <c r="EC89" s="23">
        <f>EXP(-LN(2)/2)*EC88+(1-EXP(-LN(2)/2))/(LN(2)/2)*DW89*DZ89*VLOOKUP('Données projet'!$B$14,Paramètres!$A$1:$I$89,3,0)*0.475*44/12</f>
        <v>0</v>
      </c>
      <c r="ED89" s="24">
        <f t="shared" si="72"/>
        <v>117.845695948328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5.6843418860808015E-14</v>
      </c>
      <c r="EK89" s="18">
        <f>EJ89*VLOOKUP('Données projet'!$B$15,Paramètres!$A$1:$I$89,3,0)*VLOOKUP('Données projet'!$B$15,Paramètres!$A$1:$I$89,5,0)</f>
        <v>4.1677594708744434E-14</v>
      </c>
      <c r="EL89" s="14">
        <f t="shared" si="99"/>
        <v>6.9326303456159188E-13</v>
      </c>
      <c r="EM89" s="22">
        <f t="shared" si="73"/>
        <v>1.2800215959791691E-12</v>
      </c>
      <c r="EN89" s="62">
        <f t="shared" si="74"/>
        <v>272.98174806540601</v>
      </c>
      <c r="EO89" s="62">
        <f ca="1">AVERAGE(OFFSET($EN$3,0,0,'Données projet'!$E$15+1,1))-AVERAGE(OFFSET($H$3,0,0,'Données projet'!$E$15+1,1))</f>
        <v>293.59366973965774</v>
      </c>
      <c r="EP89" s="62">
        <f t="shared" si="100"/>
        <v>288.13804536120426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>
        <f>EXP(-LN(2)/35)*EV88+(1-EXP(-LN(2)/35))/(LN(2)/35)*ER89*ES89*VLOOKUP('Données projet'!$B$15,Paramètres!$A$1:$I$89,3,0)*0.475*44/12</f>
        <v>90.799142779859281</v>
      </c>
      <c r="EW89" s="23">
        <f>EXP(-LN(2)/25)*EW88+(1-EXP(-LN(2)/25))/(LN(2)/25)*Calculateur!ER89*Calculateur!ET89*VLOOKUP('Données projet'!$B$15,Paramètres!$A$1:$I$89,3,0)*0.475*44/12</f>
        <v>0</v>
      </c>
      <c r="EX89" s="23">
        <f>EXP(-LN(2)/2)*EX88+(1-EXP(-LN(2)/2))/(LN(2)/2)*ER89*EU89*VLOOKUP('Données projet'!$B$15,Paramètres!$A$1:$I$89,3,0)*0.475*44/12</f>
        <v>0</v>
      </c>
      <c r="EY89" s="24">
        <f t="shared" si="75"/>
        <v>90.799142779859281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5.6843418860808015E-14</v>
      </c>
      <c r="FF89" s="18">
        <f>FE89*VLOOKUP('Données projet'!$B$16,Paramètres!$A$1:$I$89,3,0)*VLOOKUP('Données projet'!$B$16,Paramètres!$A$1:$I$89,5,0)</f>
        <v>5.4978954722173515E-14</v>
      </c>
      <c r="FG89" s="14">
        <f t="shared" si="101"/>
        <v>8.8550225887742724E-13</v>
      </c>
      <c r="FH89" s="22">
        <f t="shared" si="76"/>
        <v>1.6380047803526383E-12</v>
      </c>
      <c r="FI89" s="62">
        <f t="shared" si="77"/>
        <v>272.98174806540635</v>
      </c>
      <c r="FJ89" s="62">
        <f ca="1">AVERAGE(OFFSET($FI$3,0,0,'Données projet'!$E$16+1,1))-AVERAGE(OFFSET($H$3,0,0,'Données projet'!$E$16+1,1))</f>
        <v>369.69145521630799</v>
      </c>
      <c r="FK89" s="62">
        <f t="shared" si="102"/>
        <v>360.24112103688719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>
        <f>EXP(-LN(2)/35)*FQ88+(1-EXP(-LN(2)/35))/(LN(2)/35)*FM89*FN89*VLOOKUP('Données projet'!$B$16,Paramètres!$A$1:$I$89,3,0)*0.475*44/12</f>
        <v>119.77759260321864</v>
      </c>
      <c r="FR89" s="23">
        <f>EXP(-LN(2)/25)*FR88+(1-EXP(-LN(2)/25))/(LN(2)/25)*Calculateur!FM89*Calculateur!FO89*VLOOKUP('Données projet'!$B$16,Paramètres!$A$1:$I$89,3,0)*0.475*44/12</f>
        <v>0</v>
      </c>
      <c r="FS89" s="23">
        <f>EXP(-LN(2)/2)*FS88+(1-EXP(-LN(2)/2))/(LN(2)/2)*FM89*FP89*VLOOKUP('Données projet'!$B$16,Paramètres!$A$1:$I$89,3,0)*0.475*44/12</f>
        <v>0</v>
      </c>
      <c r="FT89" s="24">
        <f t="shared" si="78"/>
        <v>119.77759260321864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5.6843418860808015E-14</v>
      </c>
      <c r="GA89" s="18">
        <f>FZ89*VLOOKUP('Données projet'!$B$17,Paramètres!$A$1:$I$89,3,0)*VLOOKUP('Données projet'!$B$17,Paramètres!$A$1:$I$89,5,0)</f>
        <v>6.1186256061773749E-14</v>
      </c>
      <c r="GB89" s="14">
        <f t="shared" si="103"/>
        <v>9.7328366192051127E-13</v>
      </c>
      <c r="GC89" s="22">
        <f t="shared" si="79"/>
        <v>1.8017017738191463E-12</v>
      </c>
      <c r="GD89" s="62">
        <f t="shared" si="80"/>
        <v>272.98174806540652</v>
      </c>
      <c r="GE89" s="62">
        <f ca="1">AVERAGE(OFFSET($GD$3,0,0,'Données projet'!$E$17+1,1))-AVERAGE(OFFSET($H$3,0,0,'Données projet'!$E$17+1,1))</f>
        <v>405.06394904053946</v>
      </c>
      <c r="GF89" s="62">
        <f t="shared" si="104"/>
        <v>393.75247087518198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>
        <f>EXP(-LN(2)/35)*GL88+(1-EXP(-LN(2)/35))/(LN(2)/35)*GH89*GI89*VLOOKUP('Données projet'!$B$17,Paramètres!$A$1:$I$89,3,0)*0.475*44/12</f>
        <v>133.300869187453</v>
      </c>
      <c r="GM89" s="23">
        <f>EXP(-LN(2)/25)*GM88+(1-EXP(-LN(2)/25))/(LN(2)/25)*Calculateur!GH89*Calculateur!GJ89*VLOOKUP('Données projet'!$B$17,Paramètres!$A$1:$I$89,3,0)*0.475*44/12</f>
        <v>0</v>
      </c>
      <c r="GN89" s="23">
        <f>EXP(-LN(2)/2)*GN88+(1-EXP(-LN(2)/2))/(LN(2)/2)*GH89*GK89*VLOOKUP('Données projet'!$B$17,Paramètres!$A$1:$I$89,3,0)*0.475*44/12</f>
        <v>0</v>
      </c>
      <c r="GO89" s="23">
        <f t="shared" si="81"/>
        <v>133.300869187453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5.6843418860808015E-14</v>
      </c>
      <c r="GV89" s="18">
        <f>GU89*VLOOKUP('Données projet'!$B$18,Paramètres!$A$1:$I$89,3,0)*VLOOKUP('Données projet'!$B$18,Paramètres!$A$1:$I$89,5,0)</f>
        <v>3.813056537183002E-14</v>
      </c>
      <c r="GW89" s="14">
        <f t="shared" si="105"/>
        <v>6.4086286045526829E-13</v>
      </c>
      <c r="GX89" s="22">
        <f t="shared" si="82"/>
        <v>1.1825802166488628E-12</v>
      </c>
      <c r="GY89" s="62">
        <f t="shared" si="83"/>
        <v>272.9817480654059</v>
      </c>
      <c r="GZ89" s="62">
        <f ca="1">AVERAGE(OFFSET($GY$3,0,0,'Données projet'!$E$18+1,1))-AVERAGE(OFFSET($H$3,0,0,'Données projet'!$E$18+1,1))</f>
        <v>273.21861937609918</v>
      </c>
      <c r="HA89" s="62">
        <f t="shared" si="106"/>
        <v>268.83004886965318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>
        <f>EXP(-LN(2)/35)*HG88+(1-EXP(-LN(2)/35))/(LN(2)/35)*HC89*HD89*VLOOKUP('Données projet'!$B$18,Paramètres!$A$1:$I$89,3,0)*0.475*44/12</f>
        <v>102.39052270920305</v>
      </c>
      <c r="HH89" s="23">
        <f>EXP(-LN(2)/25)*HH88+(1-EXP(-LN(2)/25))/(LN(2)/25)*Calculateur!HC89*Calculateur!HE89*VLOOKUP('Données projet'!$B$18,Paramètres!$A$1:$I$89,3,0)*0.475*44/12</f>
        <v>0</v>
      </c>
      <c r="HI89" s="23">
        <f>EXP(-LN(2)/2)*HI88+(1-EXP(-LN(2)/2))/(LN(2)/2)*HC89*HF89*VLOOKUP('Données projet'!$B$18,Paramètres!$A$1:$I$89,3,0)*0.475*44/12</f>
        <v>0</v>
      </c>
      <c r="HJ89" s="24">
        <f t="shared" si="84"/>
        <v>102.39052270920305</v>
      </c>
    </row>
    <row r="90" spans="1:218" s="5" customFormat="1" x14ac:dyDescent="0.4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5.7</v>
      </c>
      <c r="N90" s="14">
        <f>IF('Données projet'!$A$36&gt;35,N89+M90-V89,IF(A90&lt;'Données projet'!$A$36,$K$205^A90,IF(A90='Données projet'!$A$36,'Données projet'!$B$36,N89+M90-V89)))</f>
        <v>213.3</v>
      </c>
      <c r="O90" s="14">
        <f>N90*VLOOKUP('Données projet'!$B$9,Paramètres!$A$1:$I$89,3,0)*VLOOKUP('Données projet'!$B$9,Paramètres!$A$1:$I$89,5,0)</f>
        <v>192.99384000000001</v>
      </c>
      <c r="P90" s="14">
        <f t="shared" si="87"/>
        <v>48.20124489972266</v>
      </c>
      <c r="Q90" s="22">
        <f t="shared" si="54"/>
        <v>420.08143953368364</v>
      </c>
      <c r="R90" s="62">
        <f t="shared" si="55"/>
        <v>693.41624210415853</v>
      </c>
      <c r="S90" s="62">
        <f ca="1">AVERAGE(OFFSET($R$3,0,0,'Données projet'!$E$9+1,1))-AVERAGE(OFFSET($H$3,0,0,'Données projet'!$E$9+1,1))</f>
        <v>432.80275651765203</v>
      </c>
      <c r="T90" s="62">
        <f t="shared" si="88"/>
        <v>203.89279893419919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10.334090492470892</v>
      </c>
      <c r="AA90" s="23">
        <f>EXP(-LN(2)/25)*AA89+(1-EXP(-LN(2)/25))/(LN(2)/25)*Calculateur!V90*Calculateur!X90*VLOOKUP('Données projet'!$B$9,Paramètres!$A$1:$I$89,3,0)*0.475*44/12</f>
        <v>7.4094666075903932</v>
      </c>
      <c r="AB90" s="23">
        <f>EXP(-LN(2)/2)*AB89+(1-EXP(-LN(2)/2))/(LN(2)/2)*V90*Y90*VLOOKUP('Données projet'!$B$9,Paramètres!$A$1:$I$89,3,0)*0.475*44/12</f>
        <v>0</v>
      </c>
      <c r="AC90" s="24">
        <f t="shared" si="57"/>
        <v>17.743557100061285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54.000000000000341</v>
      </c>
      <c r="AJ90" s="14">
        <f>AI90*VLOOKUP('Données projet'!$B$10,Paramètres!$A$1:$I$89,3,0)*VLOOKUP('Données projet'!$B$10,Paramètres!$A$1:$I$89,5,0)</f>
        <v>23.868000000000151</v>
      </c>
      <c r="AK90" s="14">
        <f t="shared" si="89"/>
        <v>7.6030930962115804</v>
      </c>
      <c r="AL90" s="22">
        <f t="shared" si="58"/>
        <v>54.812153809235433</v>
      </c>
      <c r="AM90" s="62">
        <f t="shared" si="59"/>
        <v>328.14695637971028</v>
      </c>
      <c r="AN90" s="62">
        <f ca="1">AVERAGE(OFFSET($AM$3,0,0,'Données projet'!$E$10+1,1))-AVERAGE(OFFSET($H$3,0,0,'Données projet'!$E$10+1,1))</f>
        <v>413.08876898406481</v>
      </c>
      <c r="AO90" s="62">
        <f t="shared" si="90"/>
        <v>520.31320932826566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160.96115500090684</v>
      </c>
      <c r="AV90" s="23">
        <f>EXP(-LN(2)/25)*AV89+(1-EXP(-LN(2)/25))/(LN(2)/25)*Calculateur!AQ90*Calculateur!AS90*VLOOKUP('Données projet'!$B$10,Paramètres!$A$1:$I$89,3,0)*0.475*44/12</f>
        <v>9.5448531478768963</v>
      </c>
      <c r="AW90" s="23">
        <f>EXP(-LN(2)/2)*AW89+(1-EXP(-LN(2)/2))/(LN(2)/2)*AQ90*AT90*VLOOKUP('Données projet'!$B$10,Paramètres!$A$1:$I$89,3,0)*0.475*44/12</f>
        <v>1.9207570898723228E-6</v>
      </c>
      <c r="AX90" s="23">
        <f t="shared" si="60"/>
        <v>170.50601006954082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0</v>
      </c>
      <c r="BD90" s="13">
        <f>IF('Données projet'!$A$88&gt;35,BD89+BC90-BL89,IF(A90&lt;'Données projet'!$A$88,$BA$205^A90,IF(A90='Données projet'!$A$88,'Données projet'!$B$88,BD89+BC90-BL89)))</f>
        <v>54.000000000000341</v>
      </c>
      <c r="BE90" s="14">
        <f>BD90*VLOOKUP('Données projet'!$B$11,Paramètres!$A$1:$I$89,3,0)*VLOOKUP('Données projet'!$B$11,Paramètres!$A$1:$I$89,5,0)</f>
        <v>30.186000000000188</v>
      </c>
      <c r="BF90" s="14">
        <f t="shared" si="91"/>
        <v>9.3563888882899153</v>
      </c>
      <c r="BG90" s="22">
        <f t="shared" si="61"/>
        <v>68.869660647105263</v>
      </c>
      <c r="BH90" s="62">
        <f t="shared" si="62"/>
        <v>342.2044632175801</v>
      </c>
      <c r="BI90" s="62">
        <f ca="1">AVERAGE(OFFSET($BH$3,0,0,'Données projet'!$E$11+1,1))-AVERAGE(OFFSET($H$3,0,0,'Données projet'!$E$11+1,1))</f>
        <v>507.66185230065889</v>
      </c>
      <c r="BJ90" s="62">
        <f t="shared" si="92"/>
        <v>640.14375617778342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203.56851955997033</v>
      </c>
      <c r="BQ90" s="23">
        <f>EXP(-LN(2)/25)*BQ89+(1-EXP(-LN(2)/25))/(LN(2)/25)*Calculateur!BL90*Calculateur!BN90*VLOOKUP('Données projet'!$B$11,Paramètres!$A$1:$I$89,3,0)*0.475*44/12</f>
        <v>12.071431922314906</v>
      </c>
      <c r="BR90" s="23">
        <f>EXP(-LN(2)/2)*BR89+(1-EXP(-LN(2)/2))/(LN(2)/2)*BL90*BO90*VLOOKUP('Données projet'!$B$11,Paramètres!$A$1:$I$89,3,0)*0.475*44/12</f>
        <v>2.4291927901326452E-6</v>
      </c>
      <c r="BS90" s="24">
        <f t="shared" si="63"/>
        <v>215.63995391147802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14.037721542000003</v>
      </c>
      <c r="BY90" s="13">
        <f>IF('Données projet'!$A$114&gt;35,BY89+BX90-CG89,IF(A90&lt;'Données projet'!$A$114,$BV$205^A90,IF(A90='Données projet'!$A$114,'Données projet'!$B$114,BY89+BX90-CG89)))</f>
        <v>420.02083807399993</v>
      </c>
      <c r="BZ90" s="14">
        <f>BY90*VLOOKUP('Données projet'!$B$12,Paramètres!$A$1:$I$89,3,0)*VLOOKUP('Données projet'!$B$12,Paramètres!$A$1:$I$89,5,0)</f>
        <v>196.56975221863195</v>
      </c>
      <c r="CA90" s="14">
        <f t="shared" si="93"/>
        <v>48.989545730059085</v>
      </c>
      <c r="CB90" s="22">
        <f t="shared" si="64"/>
        <v>427.6824439273035</v>
      </c>
      <c r="CC90" s="62">
        <f t="shared" si="65"/>
        <v>701.01724649777839</v>
      </c>
      <c r="CD90" s="62">
        <f ca="1">AVERAGE(OFFSET($CC$3,0,0,'Données projet'!$E$12+1,1))-AVERAGE(OFFSET($H$3,0,0,'Données projet'!$E$12+1,1))</f>
        <v>289.21044803824958</v>
      </c>
      <c r="CE90" s="62">
        <f t="shared" si="94"/>
        <v>196.11836398299445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>
        <f>EXP(-LN(2)/35)*CK89+(1-EXP(-LN(2)/35))/(LN(2)/35)*CG90*CH90*VLOOKUP('Données projet'!$B$12,Paramètres!$A$1:$I$89,3,0)*0.475*44/12</f>
        <v>26.295064537197863</v>
      </c>
      <c r="CL90" s="23">
        <f>EXP(-LN(2)/25)*CL89+(1-EXP(-LN(2)/25))/(LN(2)/25)*Calculateur!CG90*Calculateur!CI90*VLOOKUP('Données projet'!$B$12,Paramètres!$A$1:$I$89,3,0)*0.475*44/12</f>
        <v>28.890215997082649</v>
      </c>
      <c r="CM90" s="23">
        <f>EXP(-LN(2)/2)*CM89+(1-EXP(-LN(2)/2))/(LN(2)/2)*CG90*CJ90*VLOOKUP('Données projet'!$B$12,Paramètres!$A$1:$I$89,3,0)*0.475*44/12</f>
        <v>0</v>
      </c>
      <c r="CN90" s="24">
        <f t="shared" si="66"/>
        <v>55.185280534280508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-5.6843418860808015E-14</v>
      </c>
      <c r="CU90" s="18">
        <f>CT90*VLOOKUP('Données projet'!$B$13,Paramètres!$A$1:$I$89,3,0)*VLOOKUP('Données projet'!$B$13,Paramètres!$A$1:$I$89,5,0)</f>
        <v>-5.1431925385259088E-14</v>
      </c>
      <c r="CV90" s="14" t="e">
        <f t="shared" si="95"/>
        <v>#NUM!</v>
      </c>
      <c r="CW90" s="22" t="e">
        <f t="shared" si="67"/>
        <v>#NUM!</v>
      </c>
      <c r="CX90" s="62" t="e">
        <f t="shared" si="68"/>
        <v>#NUM!</v>
      </c>
      <c r="CY90" s="62">
        <f ca="1">AVERAGE(OFFSET($CX$3,0,0,'Données projet'!$E$13+1,1))-AVERAGE(OFFSET($H$3,0,0,'Données projet'!$E$13+1,1))</f>
        <v>376.68007030857598</v>
      </c>
      <c r="CZ90" s="62">
        <f t="shared" si="96"/>
        <v>532.90758914457626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>
        <f>EXP(-LN(2)/35)*DF89+(1-EXP(-LN(2)/35))/(LN(2)/35)*DB90*DC90*VLOOKUP('Données projet'!$B$13,Paramètres!$A$1:$I$89,3,0)*0.475*44/12</f>
        <v>40.751120647427818</v>
      </c>
      <c r="DG90" s="23">
        <f>EXP(-LN(2)/25)*DG89+(1-EXP(-LN(2)/25))/(LN(2)/25)*Calculateur!DB90*Calculateur!DD90*VLOOKUP('Données projet'!$B$13,Paramètres!$A$1:$I$89,3,0)*0.475*44/12</f>
        <v>2.6973124169280598</v>
      </c>
      <c r="DH90" s="23">
        <f>EXP(-LN(2)/2)*DH89+(1-EXP(-LN(2)/2))/(LN(2)/2)*DB90*DE90*VLOOKUP('Données projet'!$B$13,Paramètres!$A$1:$I$89,3,0)*0.475*44/12</f>
        <v>0</v>
      </c>
      <c r="DI90" s="24">
        <f t="shared" si="69"/>
        <v>43.448433064355875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5.6843418860808015E-14</v>
      </c>
      <c r="DP90" s="18">
        <f>DO90*VLOOKUP('Données projet'!$B$14,Paramètres!$A$1:$I$89,3,0)*VLOOKUP('Données projet'!$B$14,Paramètres!$A$1:$I$89,5,0)</f>
        <v>5.4092197387944907E-14</v>
      </c>
      <c r="DQ90" s="14">
        <f t="shared" si="97"/>
        <v>8.7287050538073676E-13</v>
      </c>
      <c r="DR90" s="22">
        <f t="shared" si="70"/>
        <v>1.6144600406554537E-12</v>
      </c>
      <c r="DS90" s="62">
        <f t="shared" si="71"/>
        <v>273.33480257047643</v>
      </c>
      <c r="DT90" s="62">
        <f ca="1">AVERAGE(OFFSET($DS$3,0,0,'Données projet'!$E$14+1,1))-AVERAGE(OFFSET($H$3,0,0,'Données projet'!$E$14+1,1))</f>
        <v>364.63161066507769</v>
      </c>
      <c r="DU90" s="62">
        <f t="shared" si="98"/>
        <v>355.44729904860708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>
        <f>EXP(-LN(2)/35)*EA89+(1-EXP(-LN(2)/35))/(LN(2)/35)*DW90*DX90*VLOOKUP('Données projet'!$B$14,Paramètres!$A$1:$I$89,3,0)*0.475*44/12</f>
        <v>115.53481372955838</v>
      </c>
      <c r="EB90" s="23">
        <f>EXP(-LN(2)/25)*EB89+(1-EXP(-LN(2)/25))/(LN(2)/25)*Calculateur!DW90*Calculateur!DY90*VLOOKUP('Données projet'!$B$14,Paramètres!$A$1:$I$89,3,0)*0.475*44/12</f>
        <v>0</v>
      </c>
      <c r="EC90" s="23">
        <f>EXP(-LN(2)/2)*EC89+(1-EXP(-LN(2)/2))/(LN(2)/2)*DW90*DZ90*VLOOKUP('Données projet'!$B$14,Paramètres!$A$1:$I$89,3,0)*0.475*44/12</f>
        <v>0</v>
      </c>
      <c r="ED90" s="24">
        <f t="shared" si="72"/>
        <v>115.53481372955838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5.6843418860808015E-14</v>
      </c>
      <c r="EK90" s="18">
        <f>EJ90*VLOOKUP('Données projet'!$B$15,Paramètres!$A$1:$I$89,3,0)*VLOOKUP('Données projet'!$B$15,Paramètres!$A$1:$I$89,5,0)</f>
        <v>4.1677594708744434E-14</v>
      </c>
      <c r="EL90" s="14">
        <f t="shared" si="99"/>
        <v>6.9326303456159188E-13</v>
      </c>
      <c r="EM90" s="22">
        <f t="shared" si="73"/>
        <v>1.2800215959791691E-12</v>
      </c>
      <c r="EN90" s="62">
        <f t="shared" si="74"/>
        <v>273.33480257047614</v>
      </c>
      <c r="EO90" s="62">
        <f ca="1">AVERAGE(OFFSET($EN$3,0,0,'Données projet'!$E$15+1,1))-AVERAGE(OFFSET($H$3,0,0,'Données projet'!$E$15+1,1))</f>
        <v>293.59366973965774</v>
      </c>
      <c r="EP90" s="62">
        <f t="shared" si="100"/>
        <v>288.13804536120426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>
        <f>EXP(-LN(2)/35)*EV89+(1-EXP(-LN(2)/35))/(LN(2)/35)*ER90*ES90*VLOOKUP('Données projet'!$B$15,Paramètres!$A$1:$I$89,3,0)*0.475*44/12</f>
        <v>89.018626971954816</v>
      </c>
      <c r="EW90" s="23">
        <f>EXP(-LN(2)/25)*EW89+(1-EXP(-LN(2)/25))/(LN(2)/25)*Calculateur!ER90*Calculateur!ET90*VLOOKUP('Données projet'!$B$15,Paramètres!$A$1:$I$89,3,0)*0.475*44/12</f>
        <v>0</v>
      </c>
      <c r="EX90" s="23">
        <f>EXP(-LN(2)/2)*EX89+(1-EXP(-LN(2)/2))/(LN(2)/2)*ER90*EU90*VLOOKUP('Données projet'!$B$15,Paramètres!$A$1:$I$89,3,0)*0.475*44/12</f>
        <v>0</v>
      </c>
      <c r="EY90" s="24">
        <f t="shared" si="75"/>
        <v>89.018626971954816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5.6843418860808015E-14</v>
      </c>
      <c r="FF90" s="18">
        <f>FE90*VLOOKUP('Données projet'!$B$16,Paramètres!$A$1:$I$89,3,0)*VLOOKUP('Données projet'!$B$16,Paramètres!$A$1:$I$89,5,0)</f>
        <v>5.4978954722173515E-14</v>
      </c>
      <c r="FG90" s="14">
        <f t="shared" si="101"/>
        <v>8.8550225887742724E-13</v>
      </c>
      <c r="FH90" s="22">
        <f t="shared" si="76"/>
        <v>1.6380047803526383E-12</v>
      </c>
      <c r="FI90" s="62">
        <f t="shared" si="77"/>
        <v>273.33480257047648</v>
      </c>
      <c r="FJ90" s="62">
        <f ca="1">AVERAGE(OFFSET($FI$3,0,0,'Données projet'!$E$16+1,1))-AVERAGE(OFFSET($H$3,0,0,'Données projet'!$E$16+1,1))</f>
        <v>369.69145521630799</v>
      </c>
      <c r="FK90" s="62">
        <f t="shared" si="102"/>
        <v>360.24112103688719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>
        <f>EXP(-LN(2)/35)*FQ89+(1-EXP(-LN(2)/35))/(LN(2)/35)*FM90*FN90*VLOOKUP('Données projet'!$B$16,Paramètres!$A$1:$I$89,3,0)*0.475*44/12</f>
        <v>117.42882706938721</v>
      </c>
      <c r="FR90" s="23">
        <f>EXP(-LN(2)/25)*FR89+(1-EXP(-LN(2)/25))/(LN(2)/25)*Calculateur!FM90*Calculateur!FO90*VLOOKUP('Données projet'!$B$16,Paramètres!$A$1:$I$89,3,0)*0.475*44/12</f>
        <v>0</v>
      </c>
      <c r="FS90" s="23">
        <f>EXP(-LN(2)/2)*FS89+(1-EXP(-LN(2)/2))/(LN(2)/2)*FM90*FP90*VLOOKUP('Données projet'!$B$16,Paramètres!$A$1:$I$89,3,0)*0.475*44/12</f>
        <v>0</v>
      </c>
      <c r="FT90" s="24">
        <f t="shared" si="78"/>
        <v>117.42882706938721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5.6843418860808015E-14</v>
      </c>
      <c r="GA90" s="18">
        <f>FZ90*VLOOKUP('Données projet'!$B$17,Paramètres!$A$1:$I$89,3,0)*VLOOKUP('Données projet'!$B$17,Paramètres!$A$1:$I$89,5,0)</f>
        <v>6.1186256061773749E-14</v>
      </c>
      <c r="GB90" s="14">
        <f t="shared" si="103"/>
        <v>9.7328366192051127E-13</v>
      </c>
      <c r="GC90" s="22">
        <f t="shared" si="79"/>
        <v>1.8017017738191463E-12</v>
      </c>
      <c r="GD90" s="62">
        <f t="shared" si="80"/>
        <v>273.33480257047665</v>
      </c>
      <c r="GE90" s="62">
        <f ca="1">AVERAGE(OFFSET($GD$3,0,0,'Données projet'!$E$17+1,1))-AVERAGE(OFFSET($H$3,0,0,'Données projet'!$E$17+1,1))</f>
        <v>405.06394904053946</v>
      </c>
      <c r="GF90" s="62">
        <f t="shared" si="104"/>
        <v>393.75247087518198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>
        <f>EXP(-LN(2)/35)*GL89+(1-EXP(-LN(2)/35))/(LN(2)/35)*GH90*GI90*VLOOKUP('Données projet'!$B$17,Paramètres!$A$1:$I$89,3,0)*0.475*44/12</f>
        <v>130.686920448189</v>
      </c>
      <c r="GM90" s="23">
        <f>EXP(-LN(2)/25)*GM89+(1-EXP(-LN(2)/25))/(LN(2)/25)*Calculateur!GH90*Calculateur!GJ90*VLOOKUP('Données projet'!$B$17,Paramètres!$A$1:$I$89,3,0)*0.475*44/12</f>
        <v>0</v>
      </c>
      <c r="GN90" s="23">
        <f>EXP(-LN(2)/2)*GN89+(1-EXP(-LN(2)/2))/(LN(2)/2)*GH90*GK90*VLOOKUP('Données projet'!$B$17,Paramètres!$A$1:$I$89,3,0)*0.475*44/12</f>
        <v>0</v>
      </c>
      <c r="GO90" s="23">
        <f t="shared" si="81"/>
        <v>130.686920448189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5.6843418860808015E-14</v>
      </c>
      <c r="GV90" s="18">
        <f>GU90*VLOOKUP('Données projet'!$B$18,Paramètres!$A$1:$I$89,3,0)*VLOOKUP('Données projet'!$B$18,Paramètres!$A$1:$I$89,5,0)</f>
        <v>3.813056537183002E-14</v>
      </c>
      <c r="GW90" s="14">
        <f t="shared" si="105"/>
        <v>6.4086286045526829E-13</v>
      </c>
      <c r="GX90" s="22">
        <f t="shared" si="82"/>
        <v>1.1825802166488628E-12</v>
      </c>
      <c r="GY90" s="62">
        <f t="shared" si="83"/>
        <v>273.33480257047603</v>
      </c>
      <c r="GZ90" s="62">
        <f ca="1">AVERAGE(OFFSET($GY$3,0,0,'Données projet'!$E$18+1,1))-AVERAGE(OFFSET($H$3,0,0,'Données projet'!$E$18+1,1))</f>
        <v>273.21861937609918</v>
      </c>
      <c r="HA90" s="62">
        <f t="shared" si="106"/>
        <v>268.83004886965318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>
        <f>EXP(-LN(2)/35)*HG89+(1-EXP(-LN(2)/35))/(LN(2)/35)*HC90*HD90*VLOOKUP('Données projet'!$B$18,Paramètres!$A$1:$I$89,3,0)*0.475*44/12</f>
        <v>100.3827070109278</v>
      </c>
      <c r="HH90" s="23">
        <f>EXP(-LN(2)/25)*HH89+(1-EXP(-LN(2)/25))/(LN(2)/25)*Calculateur!HC90*Calculateur!HE90*VLOOKUP('Données projet'!$B$18,Paramètres!$A$1:$I$89,3,0)*0.475*44/12</f>
        <v>0</v>
      </c>
      <c r="HI90" s="23">
        <f>EXP(-LN(2)/2)*HI89+(1-EXP(-LN(2)/2))/(LN(2)/2)*HC90*HF90*VLOOKUP('Données projet'!$B$18,Paramètres!$A$1:$I$89,3,0)*0.475*44/12</f>
        <v>0</v>
      </c>
      <c r="HJ90" s="24">
        <f t="shared" si="84"/>
        <v>100.3827070109278</v>
      </c>
    </row>
    <row r="91" spans="1:218" s="5" customFormat="1" x14ac:dyDescent="0.4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>
        <f>VLOOKUP(A91,'Données projet'!$A$35:$I$55,2,0)</f>
        <v>219</v>
      </c>
      <c r="L91" s="13">
        <f>VLOOKUP(A91,'Données projet'!$A$35:$I$55,9,0)</f>
        <v>5.7</v>
      </c>
      <c r="M91" s="13">
        <f t="array" ref="M91">INDEX(L:L,MIN(IF(ISNUMBER(L91:L287),ROW(L91:L287),"")))</f>
        <v>5.7</v>
      </c>
      <c r="N91" s="14">
        <f>IF('Données projet'!$A$36&gt;35,N90+M91-V90,IF(A91&lt;'Données projet'!$A$36,$K$205^A91,IF(A91='Données projet'!$A$36,'Données projet'!$B$36,N90+M91-V90)))</f>
        <v>219</v>
      </c>
      <c r="O91" s="14">
        <f>N91*VLOOKUP('Données projet'!$B$9,Paramètres!$A$1:$I$89,3,0)*VLOOKUP('Données projet'!$B$9,Paramètres!$A$1:$I$89,5,0)</f>
        <v>198.15119999999999</v>
      </c>
      <c r="P91" s="14">
        <f t="shared" si="87"/>
        <v>49.337638092068957</v>
      </c>
      <c r="Q91" s="22">
        <f t="shared" si="54"/>
        <v>431.04305967702004</v>
      </c>
      <c r="R91" s="62">
        <f t="shared" si="55"/>
        <v>704.72479204621368</v>
      </c>
      <c r="S91" s="62">
        <f ca="1">AVERAGE(OFFSET($R$3,0,0,'Données projet'!$E$9+1,1))-AVERAGE(OFFSET($H$3,0,0,'Données projet'!$E$9+1,1))</f>
        <v>432.80275651765203</v>
      </c>
      <c r="T91" s="62">
        <f t="shared" si="88"/>
        <v>203.89279893419919</v>
      </c>
      <c r="U91" s="16">
        <f>IF(ISNA(VLOOKUP(A91,'Données projet'!$A$35:$I$55,3,0)),0,VLOOKUP(A91,'Données projet'!$A$35:$I$55,3,0))</f>
        <v>5</v>
      </c>
      <c r="V91" s="16">
        <f>IF(ISNA(VLOOKUP(A91,'Données projet'!$A$35:$I$55,4,0)),0,VLOOKUP(A91,'Données projet'!$A$35:$I$55,4,0))</f>
        <v>35</v>
      </c>
      <c r="W91" s="17">
        <f>IF(ISNA(VLOOKUP(A91,'Données projet'!$A$35:$I$55,5,0)),0%,VLOOKUP(A91,'Données projet'!$A$35:$I$55,5,0)*VLOOKUP('Données projet'!$B$9,Paramètres!$A$1:$I$89,7,0))</f>
        <v>0.215</v>
      </c>
      <c r="X91" s="17">
        <f>IF(ISNA(VLOOKUP(A91,'Données projet'!$A$35:$I$55,6,0)),0%,VLOOKUP(A91,'Données projet'!$A$35:$I$55,6,0)*VLOOKUP('Données projet'!$B$9,Paramètres!$A$1:$I$89,7,0))</f>
        <v>0.17200000000000001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17.658173016581987</v>
      </c>
      <c r="AA91" s="23">
        <f>EXP(-LN(2)/25)*AA90+(1-EXP(-LN(2)/25))/(LN(2)/25)*Calculateur!V91*Calculateur!X91*VLOOKUP('Données projet'!$B$9,Paramètres!$A$1:$I$89,3,0)*0.475*44/12</f>
        <v>13.204528065953225</v>
      </c>
      <c r="AB91" s="23">
        <f>EXP(-LN(2)/2)*AB90+(1-EXP(-LN(2)/2))/(LN(2)/2)*V91*Y91*VLOOKUP('Données projet'!$B$9,Paramètres!$A$1:$I$89,3,0)*0.475*44/12</f>
        <v>0</v>
      </c>
      <c r="AC91" s="24">
        <f t="shared" si="57"/>
        <v>30.86270108253521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54.000000000000341</v>
      </c>
      <c r="AJ91" s="14">
        <f>AI91*VLOOKUP('Données projet'!$B$10,Paramètres!$A$1:$I$89,3,0)*VLOOKUP('Données projet'!$B$10,Paramètres!$A$1:$I$89,5,0)</f>
        <v>23.868000000000151</v>
      </c>
      <c r="AK91" s="14">
        <f t="shared" si="89"/>
        <v>7.6030930962115804</v>
      </c>
      <c r="AL91" s="22">
        <f t="shared" si="58"/>
        <v>54.812153809235433</v>
      </c>
      <c r="AM91" s="62">
        <f t="shared" si="59"/>
        <v>328.49388617842914</v>
      </c>
      <c r="AN91" s="62">
        <f ca="1">AVERAGE(OFFSET($AM$3,0,0,'Données projet'!$E$10+1,1))-AVERAGE(OFFSET($H$3,0,0,'Données projet'!$E$10+1,1))</f>
        <v>413.08876898406481</v>
      </c>
      <c r="AO91" s="62">
        <f t="shared" si="90"/>
        <v>520.31320932826566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157.80480492794948</v>
      </c>
      <c r="AV91" s="23">
        <f>EXP(-LN(2)/25)*AV90+(1-EXP(-LN(2)/25))/(LN(2)/25)*Calculateur!AQ91*Calculateur!AS91*VLOOKUP('Données projet'!$B$10,Paramètres!$A$1:$I$89,3,0)*0.475*44/12</f>
        <v>9.2838486366061908</v>
      </c>
      <c r="AW91" s="23">
        <f>EXP(-LN(2)/2)*AW90+(1-EXP(-LN(2)/2))/(LN(2)/2)*AQ91*AT91*VLOOKUP('Données projet'!$B$10,Paramètres!$A$1:$I$89,3,0)*0.475*44/12</f>
        <v>1.3581803632608584E-6</v>
      </c>
      <c r="AX91" s="23">
        <f t="shared" si="60"/>
        <v>167.08865492273603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0</v>
      </c>
      <c r="BD91" s="13">
        <f>IF('Données projet'!$A$88&gt;35,BD90+BC91-BL90,IF(A91&lt;'Données projet'!$A$88,$BA$205^A91,IF(A91='Données projet'!$A$88,'Données projet'!$B$88,BD90+BC91-BL90)))</f>
        <v>54.000000000000341</v>
      </c>
      <c r="BE91" s="14">
        <f>BD91*VLOOKUP('Données projet'!$B$11,Paramètres!$A$1:$I$89,3,0)*VLOOKUP('Données projet'!$B$11,Paramètres!$A$1:$I$89,5,0)</f>
        <v>30.186000000000188</v>
      </c>
      <c r="BF91" s="14">
        <f t="shared" si="91"/>
        <v>9.3563888882899153</v>
      </c>
      <c r="BG91" s="22">
        <f t="shared" si="61"/>
        <v>68.869660647105263</v>
      </c>
      <c r="BH91" s="62">
        <f t="shared" si="62"/>
        <v>342.55139301629896</v>
      </c>
      <c r="BI91" s="62">
        <f ca="1">AVERAGE(OFFSET($BH$3,0,0,'Données projet'!$E$11+1,1))-AVERAGE(OFFSET($H$3,0,0,'Données projet'!$E$11+1,1))</f>
        <v>507.66185230065889</v>
      </c>
      <c r="BJ91" s="62">
        <f t="shared" si="92"/>
        <v>640.14375617778342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199.57666505593602</v>
      </c>
      <c r="BQ91" s="23">
        <f>EXP(-LN(2)/25)*BQ90+(1-EXP(-LN(2)/25))/(LN(2)/25)*Calculateur!BL91*Calculateur!BN91*VLOOKUP('Données projet'!$B$11,Paramètres!$A$1:$I$89,3,0)*0.475*44/12</f>
        <v>11.74133798159019</v>
      </c>
      <c r="BR91" s="23">
        <f>EXP(-LN(2)/2)*BR90+(1-EXP(-LN(2)/2))/(LN(2)/2)*BL91*BO91*VLOOKUP('Données projet'!$B$11,Paramètres!$A$1:$I$89,3,0)*0.475*44/12</f>
        <v>1.7176986947122632E-6</v>
      </c>
      <c r="BS91" s="24">
        <f t="shared" si="63"/>
        <v>211.31800475522491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14.037721542000003</v>
      </c>
      <c r="BY91" s="13">
        <f>IF('Données projet'!$A$114&gt;35,BY90+BX91-CG90,IF(A91&lt;'Données projet'!$A$114,$BV$205^A91,IF(A91='Données projet'!$A$114,'Données projet'!$B$114,BY90+BX91-CG90)))</f>
        <v>434.05855961599991</v>
      </c>
      <c r="BZ91" s="14">
        <f>BY91*VLOOKUP('Données projet'!$B$12,Paramètres!$A$1:$I$89,3,0)*VLOOKUP('Données projet'!$B$12,Paramètres!$A$1:$I$89,5,0)</f>
        <v>203.13940590028798</v>
      </c>
      <c r="CA91" s="14">
        <f t="shared" si="93"/>
        <v>50.43348746117708</v>
      </c>
      <c r="CB91" s="22">
        <f t="shared" si="64"/>
        <v>441.63945593788486</v>
      </c>
      <c r="CC91" s="62">
        <f t="shared" si="65"/>
        <v>715.3211883070785</v>
      </c>
      <c r="CD91" s="62">
        <f ca="1">AVERAGE(OFFSET($CC$3,0,0,'Données projet'!$E$12+1,1))-AVERAGE(OFFSET($H$3,0,0,'Données projet'!$E$12+1,1))</f>
        <v>289.21044803824958</v>
      </c>
      <c r="CE91" s="62">
        <f t="shared" si="94"/>
        <v>196.11836398299445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>
        <f>EXP(-LN(2)/35)*CK90+(1-EXP(-LN(2)/35))/(LN(2)/35)*CG91*CH91*VLOOKUP('Données projet'!$B$12,Paramètres!$A$1:$I$89,3,0)*0.475*44/12</f>
        <v>25.779434360029121</v>
      </c>
      <c r="CL91" s="23">
        <f>EXP(-LN(2)/25)*CL90+(1-EXP(-LN(2)/25))/(LN(2)/25)*Calculateur!CG91*Calculateur!CI91*VLOOKUP('Données projet'!$B$12,Paramètres!$A$1:$I$89,3,0)*0.475*44/12</f>
        <v>28.100211521371993</v>
      </c>
      <c r="CM91" s="23">
        <f>EXP(-LN(2)/2)*CM90+(1-EXP(-LN(2)/2))/(LN(2)/2)*CG91*CJ91*VLOOKUP('Données projet'!$B$12,Paramètres!$A$1:$I$89,3,0)*0.475*44/12</f>
        <v>0</v>
      </c>
      <c r="CN91" s="24">
        <f t="shared" si="66"/>
        <v>53.879645881401117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-5.6843418860808015E-14</v>
      </c>
      <c r="CU91" s="18">
        <f>CT91*VLOOKUP('Données projet'!$B$13,Paramètres!$A$1:$I$89,3,0)*VLOOKUP('Données projet'!$B$13,Paramètres!$A$1:$I$89,5,0)</f>
        <v>-5.1431925385259088E-14</v>
      </c>
      <c r="CV91" s="14" t="e">
        <f t="shared" si="95"/>
        <v>#NUM!</v>
      </c>
      <c r="CW91" s="22" t="e">
        <f t="shared" si="67"/>
        <v>#NUM!</v>
      </c>
      <c r="CX91" s="62" t="e">
        <f t="shared" si="68"/>
        <v>#NUM!</v>
      </c>
      <c r="CY91" s="62">
        <f ca="1">AVERAGE(OFFSET($CX$3,0,0,'Données projet'!$E$13+1,1))-AVERAGE(OFFSET($H$3,0,0,'Données projet'!$E$13+1,1))</f>
        <v>376.68007030857598</v>
      </c>
      <c r="CZ91" s="62">
        <f t="shared" si="96"/>
        <v>532.90758914457626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>
        <f>EXP(-LN(2)/35)*DF90+(1-EXP(-LN(2)/35))/(LN(2)/35)*DB91*DC91*VLOOKUP('Données projet'!$B$13,Paramètres!$A$1:$I$89,3,0)*0.475*44/12</f>
        <v>39.952016027261052</v>
      </c>
      <c r="DG91" s="23">
        <f>EXP(-LN(2)/25)*DG90+(1-EXP(-LN(2)/25))/(LN(2)/25)*Calculateur!DB91*Calculateur!DD91*VLOOKUP('Données projet'!$B$13,Paramètres!$A$1:$I$89,3,0)*0.475*44/12</f>
        <v>2.6235542670416669</v>
      </c>
      <c r="DH91" s="23">
        <f>EXP(-LN(2)/2)*DH90+(1-EXP(-LN(2)/2))/(LN(2)/2)*DB91*DE91*VLOOKUP('Données projet'!$B$13,Paramètres!$A$1:$I$89,3,0)*0.475*44/12</f>
        <v>0</v>
      </c>
      <c r="DI91" s="24">
        <f t="shared" si="69"/>
        <v>42.575570294302722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5.6843418860808015E-14</v>
      </c>
      <c r="DP91" s="18">
        <f>DO91*VLOOKUP('Données projet'!$B$14,Paramètres!$A$1:$I$89,3,0)*VLOOKUP('Données projet'!$B$14,Paramètres!$A$1:$I$89,5,0)</f>
        <v>5.4092197387944907E-14</v>
      </c>
      <c r="DQ91" s="14">
        <f t="shared" si="97"/>
        <v>8.7287050538073676E-13</v>
      </c>
      <c r="DR91" s="22">
        <f t="shared" si="70"/>
        <v>1.6144600406554537E-12</v>
      </c>
      <c r="DS91" s="62">
        <f t="shared" si="71"/>
        <v>273.68173236919529</v>
      </c>
      <c r="DT91" s="62">
        <f ca="1">AVERAGE(OFFSET($DS$3,0,0,'Données projet'!$E$14+1,1))-AVERAGE(OFFSET($H$3,0,0,'Données projet'!$E$14+1,1))</f>
        <v>364.63161066507769</v>
      </c>
      <c r="DU91" s="62">
        <f t="shared" si="98"/>
        <v>355.44729904860708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>
        <f>EXP(-LN(2)/35)*EA90+(1-EXP(-LN(2)/35))/(LN(2)/35)*DW91*DX91*VLOOKUP('Données projet'!$B$14,Paramètres!$A$1:$I$89,3,0)*0.475*44/12</f>
        <v>113.26924650159985</v>
      </c>
      <c r="EB91" s="23">
        <f>EXP(-LN(2)/25)*EB90+(1-EXP(-LN(2)/25))/(LN(2)/25)*Calculateur!DW91*Calculateur!DY91*VLOOKUP('Données projet'!$B$14,Paramètres!$A$1:$I$89,3,0)*0.475*44/12</f>
        <v>0</v>
      </c>
      <c r="EC91" s="23">
        <f>EXP(-LN(2)/2)*EC90+(1-EXP(-LN(2)/2))/(LN(2)/2)*DW91*DZ91*VLOOKUP('Données projet'!$B$14,Paramètres!$A$1:$I$89,3,0)*0.475*44/12</f>
        <v>0</v>
      </c>
      <c r="ED91" s="24">
        <f t="shared" si="72"/>
        <v>113.26924650159985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5.6843418860808015E-14</v>
      </c>
      <c r="EK91" s="18">
        <f>EJ91*VLOOKUP('Données projet'!$B$15,Paramètres!$A$1:$I$89,3,0)*VLOOKUP('Données projet'!$B$15,Paramètres!$A$1:$I$89,5,0)</f>
        <v>4.1677594708744434E-14</v>
      </c>
      <c r="EL91" s="14">
        <f t="shared" si="99"/>
        <v>6.9326303456159188E-13</v>
      </c>
      <c r="EM91" s="22">
        <f t="shared" si="73"/>
        <v>1.2800215959791691E-12</v>
      </c>
      <c r="EN91" s="62">
        <f t="shared" si="74"/>
        <v>273.681732369195</v>
      </c>
      <c r="EO91" s="62">
        <f ca="1">AVERAGE(OFFSET($EN$3,0,0,'Données projet'!$E$15+1,1))-AVERAGE(OFFSET($H$3,0,0,'Données projet'!$E$15+1,1))</f>
        <v>293.59366973965774</v>
      </c>
      <c r="EP91" s="62">
        <f t="shared" si="100"/>
        <v>288.13804536120426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>
        <f>EXP(-LN(2)/35)*EV90+(1-EXP(-LN(2)/35))/(LN(2)/35)*ER91*ES91*VLOOKUP('Données projet'!$B$15,Paramètres!$A$1:$I$89,3,0)*0.475*44/12</f>
        <v>87.273025993035944</v>
      </c>
      <c r="EW91" s="23">
        <f>EXP(-LN(2)/25)*EW90+(1-EXP(-LN(2)/25))/(LN(2)/25)*Calculateur!ER91*Calculateur!ET91*VLOOKUP('Données projet'!$B$15,Paramètres!$A$1:$I$89,3,0)*0.475*44/12</f>
        <v>0</v>
      </c>
      <c r="EX91" s="23">
        <f>EXP(-LN(2)/2)*EX90+(1-EXP(-LN(2)/2))/(LN(2)/2)*ER91*EU91*VLOOKUP('Données projet'!$B$15,Paramètres!$A$1:$I$89,3,0)*0.475*44/12</f>
        <v>0</v>
      </c>
      <c r="EY91" s="24">
        <f t="shared" si="75"/>
        <v>87.273025993035944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5.6843418860808015E-14</v>
      </c>
      <c r="FF91" s="18">
        <f>FE91*VLOOKUP('Données projet'!$B$16,Paramètres!$A$1:$I$89,3,0)*VLOOKUP('Données projet'!$B$16,Paramètres!$A$1:$I$89,5,0)</f>
        <v>5.4978954722173515E-14</v>
      </c>
      <c r="FG91" s="14">
        <f t="shared" si="101"/>
        <v>8.8550225887742724E-13</v>
      </c>
      <c r="FH91" s="22">
        <f t="shared" si="76"/>
        <v>1.6380047803526383E-12</v>
      </c>
      <c r="FI91" s="62">
        <f t="shared" si="77"/>
        <v>273.68173236919534</v>
      </c>
      <c r="FJ91" s="62">
        <f ca="1">AVERAGE(OFFSET($FI$3,0,0,'Données projet'!$E$16+1,1))-AVERAGE(OFFSET($H$3,0,0,'Données projet'!$E$16+1,1))</f>
        <v>369.69145521630799</v>
      </c>
      <c r="FK91" s="62">
        <f t="shared" si="102"/>
        <v>360.24112103688719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>
        <f>EXP(-LN(2)/35)*FQ90+(1-EXP(-LN(2)/35))/(LN(2)/35)*FM91*FN91*VLOOKUP('Données projet'!$B$16,Paramètres!$A$1:$I$89,3,0)*0.475*44/12</f>
        <v>115.12611939506871</v>
      </c>
      <c r="FR91" s="23">
        <f>EXP(-LN(2)/25)*FR90+(1-EXP(-LN(2)/25))/(LN(2)/25)*Calculateur!FM91*Calculateur!FO91*VLOOKUP('Données projet'!$B$16,Paramètres!$A$1:$I$89,3,0)*0.475*44/12</f>
        <v>0</v>
      </c>
      <c r="FS91" s="23">
        <f>EXP(-LN(2)/2)*FS90+(1-EXP(-LN(2)/2))/(LN(2)/2)*FM91*FP91*VLOOKUP('Données projet'!$B$16,Paramètres!$A$1:$I$89,3,0)*0.475*44/12</f>
        <v>0</v>
      </c>
      <c r="FT91" s="24">
        <f t="shared" si="78"/>
        <v>115.12611939506871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5.6843418860808015E-14</v>
      </c>
      <c r="GA91" s="18">
        <f>FZ91*VLOOKUP('Données projet'!$B$17,Paramètres!$A$1:$I$89,3,0)*VLOOKUP('Données projet'!$B$17,Paramètres!$A$1:$I$89,5,0)</f>
        <v>6.1186256061773749E-14</v>
      </c>
      <c r="GB91" s="14">
        <f t="shared" si="103"/>
        <v>9.7328366192051127E-13</v>
      </c>
      <c r="GC91" s="22">
        <f t="shared" si="79"/>
        <v>1.8017017738191463E-12</v>
      </c>
      <c r="GD91" s="62">
        <f t="shared" si="80"/>
        <v>273.68173236919552</v>
      </c>
      <c r="GE91" s="62">
        <f ca="1">AVERAGE(OFFSET($GD$3,0,0,'Données projet'!$E$17+1,1))-AVERAGE(OFFSET($H$3,0,0,'Données projet'!$E$17+1,1))</f>
        <v>405.06394904053946</v>
      </c>
      <c r="GF91" s="62">
        <f t="shared" si="104"/>
        <v>393.75247087518198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>
        <f>EXP(-LN(2)/35)*GL90+(1-EXP(-LN(2)/35))/(LN(2)/35)*GH91*GI91*VLOOKUP('Données projet'!$B$17,Paramètres!$A$1:$I$89,3,0)*0.475*44/12</f>
        <v>128.12422964935067</v>
      </c>
      <c r="GM91" s="23">
        <f>EXP(-LN(2)/25)*GM90+(1-EXP(-LN(2)/25))/(LN(2)/25)*Calculateur!GH91*Calculateur!GJ91*VLOOKUP('Données projet'!$B$17,Paramètres!$A$1:$I$89,3,0)*0.475*44/12</f>
        <v>0</v>
      </c>
      <c r="GN91" s="23">
        <f>EXP(-LN(2)/2)*GN90+(1-EXP(-LN(2)/2))/(LN(2)/2)*GH91*GK91*VLOOKUP('Données projet'!$B$17,Paramètres!$A$1:$I$89,3,0)*0.475*44/12</f>
        <v>0</v>
      </c>
      <c r="GO91" s="23">
        <f t="shared" si="81"/>
        <v>128.12422964935067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5.6843418860808015E-14</v>
      </c>
      <c r="GV91" s="18">
        <f>GU91*VLOOKUP('Données projet'!$B$18,Paramètres!$A$1:$I$89,3,0)*VLOOKUP('Données projet'!$B$18,Paramètres!$A$1:$I$89,5,0)</f>
        <v>3.813056537183002E-14</v>
      </c>
      <c r="GW91" s="14">
        <f t="shared" si="105"/>
        <v>6.4086286045526829E-13</v>
      </c>
      <c r="GX91" s="22">
        <f t="shared" si="82"/>
        <v>1.1825802166488628E-12</v>
      </c>
      <c r="GY91" s="62">
        <f t="shared" si="83"/>
        <v>273.68173236919489</v>
      </c>
      <c r="GZ91" s="62">
        <f ca="1">AVERAGE(OFFSET($GY$3,0,0,'Données projet'!$E$18+1,1))-AVERAGE(OFFSET($H$3,0,0,'Données projet'!$E$18+1,1))</f>
        <v>273.21861937609918</v>
      </c>
      <c r="HA91" s="62">
        <f t="shared" si="106"/>
        <v>268.83004886965318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>
        <f>EXP(-LN(2)/35)*HG90+(1-EXP(-LN(2)/35))/(LN(2)/35)*HC91*HD91*VLOOKUP('Données projet'!$B$18,Paramètres!$A$1:$I$89,3,0)*0.475*44/12</f>
        <v>98.41426335384908</v>
      </c>
      <c r="HH91" s="23">
        <f>EXP(-LN(2)/25)*HH90+(1-EXP(-LN(2)/25))/(LN(2)/25)*Calculateur!HC91*Calculateur!HE91*VLOOKUP('Données projet'!$B$18,Paramètres!$A$1:$I$89,3,0)*0.475*44/12</f>
        <v>0</v>
      </c>
      <c r="HI91" s="23">
        <f>EXP(-LN(2)/2)*HI90+(1-EXP(-LN(2)/2))/(LN(2)/2)*HC91*HF91*VLOOKUP('Données projet'!$B$18,Paramètres!$A$1:$I$89,3,0)*0.475*44/12</f>
        <v>0</v>
      </c>
      <c r="HJ91" s="24">
        <f t="shared" si="84"/>
        <v>98.41426335384908</v>
      </c>
    </row>
    <row r="92" spans="1:218" s="5" customFormat="1" x14ac:dyDescent="0.4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5.7</v>
      </c>
      <c r="N92" s="14">
        <f>IF('Données projet'!$A$36&gt;35,N91+M92-V91,IF(A92&lt;'Données projet'!$A$36,$K$205^A92,IF(A92='Données projet'!$A$36,'Données projet'!$B$36,N91+M92-V91)))</f>
        <v>189.7</v>
      </c>
      <c r="O92" s="14">
        <f>N92*VLOOKUP('Données projet'!$B$9,Paramètres!$A$1:$I$89,3,0)*VLOOKUP('Données projet'!$B$9,Paramètres!$A$1:$I$89,5,0)</f>
        <v>171.64055999999997</v>
      </c>
      <c r="P92" s="14">
        <f t="shared" si="87"/>
        <v>43.457248820627512</v>
      </c>
      <c r="Q92" s="22">
        <f t="shared" si="54"/>
        <v>374.62868369592616</v>
      </c>
      <c r="R92" s="62">
        <f t="shared" si="55"/>
        <v>648.6513274074498</v>
      </c>
      <c r="S92" s="62">
        <f ca="1">AVERAGE(OFFSET($R$3,0,0,'Données projet'!$E$9+1,1))-AVERAGE(OFFSET($H$3,0,0,'Données projet'!$E$9+1,1))</f>
        <v>432.80275651765203</v>
      </c>
      <c r="T92" s="62">
        <f t="shared" si="88"/>
        <v>203.89279893419919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17.311907014148865</v>
      </c>
      <c r="AA92" s="23">
        <f>EXP(-LN(2)/25)*AA91+(1-EXP(-LN(2)/25))/(LN(2)/25)*Calculateur!V92*Calculateur!X92*VLOOKUP('Données projet'!$B$9,Paramètres!$A$1:$I$89,3,0)*0.475*44/12</f>
        <v>12.843449551593782</v>
      </c>
      <c r="AB92" s="23">
        <f>EXP(-LN(2)/2)*AB91+(1-EXP(-LN(2)/2))/(LN(2)/2)*V92*Y92*VLOOKUP('Données projet'!$B$9,Paramètres!$A$1:$I$89,3,0)*0.475*44/12</f>
        <v>0</v>
      </c>
      <c r="AC92" s="24">
        <f t="shared" si="57"/>
        <v>30.155356565742647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54.000000000000341</v>
      </c>
      <c r="AJ92" s="14">
        <f>AI92*VLOOKUP('Données projet'!$B$10,Paramètres!$A$1:$I$89,3,0)*VLOOKUP('Données projet'!$B$10,Paramètres!$A$1:$I$89,5,0)</f>
        <v>23.868000000000151</v>
      </c>
      <c r="AK92" s="14">
        <f t="shared" si="89"/>
        <v>7.6030930962115804</v>
      </c>
      <c r="AL92" s="22">
        <f t="shared" si="58"/>
        <v>54.812153809235433</v>
      </c>
      <c r="AM92" s="62">
        <f t="shared" si="59"/>
        <v>328.83479752075903</v>
      </c>
      <c r="AN92" s="62">
        <f ca="1">AVERAGE(OFFSET($AM$3,0,0,'Données projet'!$E$10+1,1))-AVERAGE(OFFSET($H$3,0,0,'Données projet'!$E$10+1,1))</f>
        <v>413.08876898406481</v>
      </c>
      <c r="AO92" s="62">
        <f t="shared" si="90"/>
        <v>520.31320932826566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154.71034895473935</v>
      </c>
      <c r="AV92" s="23">
        <f>EXP(-LN(2)/25)*AV91+(1-EXP(-LN(2)/25))/(LN(2)/25)*Calculateur!AQ92*Calculateur!AS92*VLOOKUP('Données projet'!$B$10,Paramètres!$A$1:$I$89,3,0)*0.475*44/12</f>
        <v>9.0299813074218136</v>
      </c>
      <c r="AW92" s="23">
        <f>EXP(-LN(2)/2)*AW91+(1-EXP(-LN(2)/2))/(LN(2)/2)*AQ92*AT92*VLOOKUP('Données projet'!$B$10,Paramètres!$A$1:$I$89,3,0)*0.475*44/12</f>
        <v>9.6037854493616139E-7</v>
      </c>
      <c r="AX92" s="23">
        <f t="shared" si="60"/>
        <v>163.74033122253971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0</v>
      </c>
      <c r="BD92" s="13">
        <f>IF('Données projet'!$A$88&gt;35,BD91+BC92-BL91,IF(A92&lt;'Données projet'!$A$88,$BA$205^A92,IF(A92='Données projet'!$A$88,'Données projet'!$B$88,BD91+BC92-BL91)))</f>
        <v>54.000000000000341</v>
      </c>
      <c r="BE92" s="14">
        <f>BD92*VLOOKUP('Données projet'!$B$11,Paramètres!$A$1:$I$89,3,0)*VLOOKUP('Données projet'!$B$11,Paramètres!$A$1:$I$89,5,0)</f>
        <v>30.186000000000188</v>
      </c>
      <c r="BF92" s="14">
        <f t="shared" si="91"/>
        <v>9.3563888882899153</v>
      </c>
      <c r="BG92" s="22">
        <f t="shared" si="61"/>
        <v>68.869660647105263</v>
      </c>
      <c r="BH92" s="62">
        <f t="shared" si="62"/>
        <v>342.89230435862885</v>
      </c>
      <c r="BI92" s="62">
        <f ca="1">AVERAGE(OFFSET($BH$3,0,0,'Données projet'!$E$11+1,1))-AVERAGE(OFFSET($H$3,0,0,'Données projet'!$E$11+1,1))</f>
        <v>507.66185230065889</v>
      </c>
      <c r="BJ92" s="62">
        <f t="shared" si="92"/>
        <v>640.14375617778342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195.66308838393499</v>
      </c>
      <c r="BQ92" s="23">
        <f>EXP(-LN(2)/25)*BQ91+(1-EXP(-LN(2)/25))/(LN(2)/25)*Calculateur!BL92*Calculateur!BN92*VLOOKUP('Données projet'!$B$11,Paramètres!$A$1:$I$89,3,0)*0.475*44/12</f>
        <v>11.420270477033478</v>
      </c>
      <c r="BR92" s="23">
        <f>EXP(-LN(2)/2)*BR91+(1-EXP(-LN(2)/2))/(LN(2)/2)*BL92*BO92*VLOOKUP('Données projet'!$B$11,Paramètres!$A$1:$I$89,3,0)*0.475*44/12</f>
        <v>1.2145963950663226E-6</v>
      </c>
      <c r="BS92" s="24">
        <f t="shared" si="63"/>
        <v>207.08336007556488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14.037721542000003</v>
      </c>
      <c r="BY92" s="13">
        <f>IF('Données projet'!$A$114&gt;35,BY91+BX92-CG91,IF(A92&lt;'Données projet'!$A$114,$BV$205^A92,IF(A92='Données projet'!$A$114,'Données projet'!$B$114,BY91+BX92-CG91)))</f>
        <v>448.0962811579999</v>
      </c>
      <c r="BZ92" s="14">
        <f>BY92*VLOOKUP('Données projet'!$B$12,Paramètres!$A$1:$I$89,3,0)*VLOOKUP('Données projet'!$B$12,Paramètres!$A$1:$I$89,5,0)</f>
        <v>209.70905958194396</v>
      </c>
      <c r="CA92" s="14">
        <f t="shared" si="93"/>
        <v>51.872002767947485</v>
      </c>
      <c r="CB92" s="22">
        <f t="shared" si="64"/>
        <v>455.58701692606093</v>
      </c>
      <c r="CC92" s="62">
        <f t="shared" si="65"/>
        <v>729.60966063758451</v>
      </c>
      <c r="CD92" s="62">
        <f ca="1">AVERAGE(OFFSET($CC$3,0,0,'Données projet'!$E$12+1,1))-AVERAGE(OFFSET($H$3,0,0,'Données projet'!$E$12+1,1))</f>
        <v>289.21044803824958</v>
      </c>
      <c r="CE92" s="62">
        <f t="shared" si="94"/>
        <v>196.11836398299445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>
        <f>EXP(-LN(2)/35)*CK91+(1-EXP(-LN(2)/35))/(LN(2)/35)*CG92*CH92*VLOOKUP('Données projet'!$B$12,Paramètres!$A$1:$I$89,3,0)*0.475*44/12</f>
        <v>25.273915376131303</v>
      </c>
      <c r="CL92" s="23">
        <f>EXP(-LN(2)/25)*CL91+(1-EXP(-LN(2)/25))/(LN(2)/25)*Calculateur!CG92*Calculateur!CI92*VLOOKUP('Données projet'!$B$12,Paramètres!$A$1:$I$89,3,0)*0.475*44/12</f>
        <v>27.331809759594176</v>
      </c>
      <c r="CM92" s="23">
        <f>EXP(-LN(2)/2)*CM91+(1-EXP(-LN(2)/2))/(LN(2)/2)*CG92*CJ92*VLOOKUP('Données projet'!$B$12,Paramètres!$A$1:$I$89,3,0)*0.475*44/12</f>
        <v>0</v>
      </c>
      <c r="CN92" s="24">
        <f t="shared" si="66"/>
        <v>52.605725135725478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-5.6843418860808015E-14</v>
      </c>
      <c r="CU92" s="18">
        <f>CT92*VLOOKUP('Données projet'!$B$13,Paramètres!$A$1:$I$89,3,0)*VLOOKUP('Données projet'!$B$13,Paramètres!$A$1:$I$89,5,0)</f>
        <v>-5.1431925385259088E-14</v>
      </c>
      <c r="CV92" s="14" t="e">
        <f t="shared" si="95"/>
        <v>#NUM!</v>
      </c>
      <c r="CW92" s="22" t="e">
        <f t="shared" si="67"/>
        <v>#NUM!</v>
      </c>
      <c r="CX92" s="62" t="e">
        <f t="shared" si="68"/>
        <v>#NUM!</v>
      </c>
      <c r="CY92" s="62">
        <f ca="1">AVERAGE(OFFSET($CX$3,0,0,'Données projet'!$E$13+1,1))-AVERAGE(OFFSET($H$3,0,0,'Données projet'!$E$13+1,1))</f>
        <v>376.68007030857598</v>
      </c>
      <c r="CZ92" s="62">
        <f t="shared" si="96"/>
        <v>532.90758914457626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>
        <f>EXP(-LN(2)/35)*DF91+(1-EXP(-LN(2)/35))/(LN(2)/35)*DB92*DC92*VLOOKUP('Données projet'!$B$13,Paramètres!$A$1:$I$89,3,0)*0.475*44/12</f>
        <v>39.168581361290066</v>
      </c>
      <c r="DG92" s="23">
        <f>EXP(-LN(2)/25)*DG91+(1-EXP(-LN(2)/25))/(LN(2)/25)*Calculateur!DB92*Calculateur!DD92*VLOOKUP('Données projet'!$B$13,Paramètres!$A$1:$I$89,3,0)*0.475*44/12</f>
        <v>2.55181303764269</v>
      </c>
      <c r="DH92" s="23">
        <f>EXP(-LN(2)/2)*DH91+(1-EXP(-LN(2)/2))/(LN(2)/2)*DB92*DE92*VLOOKUP('Données projet'!$B$13,Paramètres!$A$1:$I$89,3,0)*0.475*44/12</f>
        <v>0</v>
      </c>
      <c r="DI92" s="24">
        <f t="shared" si="69"/>
        <v>41.720394398932754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5.6843418860808015E-14</v>
      </c>
      <c r="DP92" s="18">
        <f>DO92*VLOOKUP('Données projet'!$B$14,Paramètres!$A$1:$I$89,3,0)*VLOOKUP('Données projet'!$B$14,Paramètres!$A$1:$I$89,5,0)</f>
        <v>5.4092197387944907E-14</v>
      </c>
      <c r="DQ92" s="14">
        <f t="shared" si="97"/>
        <v>8.7287050538073676E-13</v>
      </c>
      <c r="DR92" s="22">
        <f t="shared" si="70"/>
        <v>1.6144600406554537E-12</v>
      </c>
      <c r="DS92" s="62">
        <f t="shared" si="71"/>
        <v>274.02264371152518</v>
      </c>
      <c r="DT92" s="62">
        <f ca="1">AVERAGE(OFFSET($DS$3,0,0,'Données projet'!$E$14+1,1))-AVERAGE(OFFSET($H$3,0,0,'Données projet'!$E$14+1,1))</f>
        <v>364.63161066507769</v>
      </c>
      <c r="DU92" s="62">
        <f t="shared" si="98"/>
        <v>355.44729904860708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>
        <f>EXP(-LN(2)/35)*EA91+(1-EXP(-LN(2)/35))/(LN(2)/35)*DW92*DX92*VLOOKUP('Données projet'!$B$14,Paramètres!$A$1:$I$89,3,0)*0.475*44/12</f>
        <v>111.04810566512202</v>
      </c>
      <c r="EB92" s="23">
        <f>EXP(-LN(2)/25)*EB91+(1-EXP(-LN(2)/25))/(LN(2)/25)*Calculateur!DW92*Calculateur!DY92*VLOOKUP('Données projet'!$B$14,Paramètres!$A$1:$I$89,3,0)*0.475*44/12</f>
        <v>0</v>
      </c>
      <c r="EC92" s="23">
        <f>EXP(-LN(2)/2)*EC91+(1-EXP(-LN(2)/2))/(LN(2)/2)*DW92*DZ92*VLOOKUP('Données projet'!$B$14,Paramètres!$A$1:$I$89,3,0)*0.475*44/12</f>
        <v>0</v>
      </c>
      <c r="ED92" s="24">
        <f t="shared" si="72"/>
        <v>111.04810566512202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5.6843418860808015E-14</v>
      </c>
      <c r="EK92" s="18">
        <f>EJ92*VLOOKUP('Données projet'!$B$15,Paramètres!$A$1:$I$89,3,0)*VLOOKUP('Données projet'!$B$15,Paramètres!$A$1:$I$89,5,0)</f>
        <v>4.1677594708744434E-14</v>
      </c>
      <c r="EL92" s="14">
        <f t="shared" si="99"/>
        <v>6.9326303456159188E-13</v>
      </c>
      <c r="EM92" s="22">
        <f t="shared" si="73"/>
        <v>1.2800215959791691E-12</v>
      </c>
      <c r="EN92" s="62">
        <f t="shared" si="74"/>
        <v>274.02264371152489</v>
      </c>
      <c r="EO92" s="62">
        <f ca="1">AVERAGE(OFFSET($EN$3,0,0,'Données projet'!$E$15+1,1))-AVERAGE(OFFSET($H$3,0,0,'Données projet'!$E$15+1,1))</f>
        <v>293.59366973965774</v>
      </c>
      <c r="EP92" s="62">
        <f t="shared" si="100"/>
        <v>288.13804536120426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>
        <f>EXP(-LN(2)/35)*EV91+(1-EXP(-LN(2)/35))/(LN(2)/35)*ER92*ES92*VLOOKUP('Données projet'!$B$15,Paramètres!$A$1:$I$89,3,0)*0.475*44/12</f>
        <v>85.561655184602216</v>
      </c>
      <c r="EW92" s="23">
        <f>EXP(-LN(2)/25)*EW91+(1-EXP(-LN(2)/25))/(LN(2)/25)*Calculateur!ER92*Calculateur!ET92*VLOOKUP('Données projet'!$B$15,Paramètres!$A$1:$I$89,3,0)*0.475*44/12</f>
        <v>0</v>
      </c>
      <c r="EX92" s="23">
        <f>EXP(-LN(2)/2)*EX91+(1-EXP(-LN(2)/2))/(LN(2)/2)*ER92*EU92*VLOOKUP('Données projet'!$B$15,Paramètres!$A$1:$I$89,3,0)*0.475*44/12</f>
        <v>0</v>
      </c>
      <c r="EY92" s="24">
        <f t="shared" si="75"/>
        <v>85.561655184602216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5.6843418860808015E-14</v>
      </c>
      <c r="FF92" s="18">
        <f>FE92*VLOOKUP('Données projet'!$B$16,Paramètres!$A$1:$I$89,3,0)*VLOOKUP('Données projet'!$B$16,Paramètres!$A$1:$I$89,5,0)</f>
        <v>5.4978954722173515E-14</v>
      </c>
      <c r="FG92" s="14">
        <f t="shared" si="101"/>
        <v>8.8550225887742724E-13</v>
      </c>
      <c r="FH92" s="22">
        <f t="shared" si="76"/>
        <v>1.6380047803526383E-12</v>
      </c>
      <c r="FI92" s="62">
        <f t="shared" si="77"/>
        <v>274.02264371152523</v>
      </c>
      <c r="FJ92" s="62">
        <f ca="1">AVERAGE(OFFSET($FI$3,0,0,'Données projet'!$E$16+1,1))-AVERAGE(OFFSET($H$3,0,0,'Données projet'!$E$16+1,1))</f>
        <v>369.69145521630799</v>
      </c>
      <c r="FK92" s="62">
        <f t="shared" si="102"/>
        <v>360.24112103688719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>
        <f>EXP(-LN(2)/35)*FQ91+(1-EXP(-LN(2)/35))/(LN(2)/35)*FM92*FN92*VLOOKUP('Données projet'!$B$16,Paramètres!$A$1:$I$89,3,0)*0.475*44/12</f>
        <v>112.86856641373059</v>
      </c>
      <c r="FR92" s="23">
        <f>EXP(-LN(2)/25)*FR91+(1-EXP(-LN(2)/25))/(LN(2)/25)*Calculateur!FM92*Calculateur!FO92*VLOOKUP('Données projet'!$B$16,Paramètres!$A$1:$I$89,3,0)*0.475*44/12</f>
        <v>0</v>
      </c>
      <c r="FS92" s="23">
        <f>EXP(-LN(2)/2)*FS91+(1-EXP(-LN(2)/2))/(LN(2)/2)*FM92*FP92*VLOOKUP('Données projet'!$B$16,Paramètres!$A$1:$I$89,3,0)*0.475*44/12</f>
        <v>0</v>
      </c>
      <c r="FT92" s="24">
        <f t="shared" si="78"/>
        <v>112.86856641373059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5.6843418860808015E-14</v>
      </c>
      <c r="GA92" s="18">
        <f>FZ92*VLOOKUP('Données projet'!$B$17,Paramètres!$A$1:$I$89,3,0)*VLOOKUP('Données projet'!$B$17,Paramètres!$A$1:$I$89,5,0)</f>
        <v>6.1186256061773749E-14</v>
      </c>
      <c r="GB92" s="14">
        <f t="shared" si="103"/>
        <v>9.7328366192051127E-13</v>
      </c>
      <c r="GC92" s="22">
        <f t="shared" si="79"/>
        <v>1.8017017738191463E-12</v>
      </c>
      <c r="GD92" s="62">
        <f t="shared" si="80"/>
        <v>274.0226437115254</v>
      </c>
      <c r="GE92" s="62">
        <f ca="1">AVERAGE(OFFSET($GD$3,0,0,'Données projet'!$E$17+1,1))-AVERAGE(OFFSET($H$3,0,0,'Données projet'!$E$17+1,1))</f>
        <v>405.06394904053946</v>
      </c>
      <c r="GF92" s="62">
        <f t="shared" si="104"/>
        <v>393.75247087518198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>
        <f>EXP(-LN(2)/35)*GL91+(1-EXP(-LN(2)/35))/(LN(2)/35)*GH92*GI92*VLOOKUP('Données projet'!$B$17,Paramètres!$A$1:$I$89,3,0)*0.475*44/12</f>
        <v>125.61179165399051</v>
      </c>
      <c r="GM92" s="23">
        <f>EXP(-LN(2)/25)*GM91+(1-EXP(-LN(2)/25))/(LN(2)/25)*Calculateur!GH92*Calculateur!GJ92*VLOOKUP('Données projet'!$B$17,Paramètres!$A$1:$I$89,3,0)*0.475*44/12</f>
        <v>0</v>
      </c>
      <c r="GN92" s="23">
        <f>EXP(-LN(2)/2)*GN91+(1-EXP(-LN(2)/2))/(LN(2)/2)*GH92*GK92*VLOOKUP('Données projet'!$B$17,Paramètres!$A$1:$I$89,3,0)*0.475*44/12</f>
        <v>0</v>
      </c>
      <c r="GO92" s="23">
        <f t="shared" si="81"/>
        <v>125.61179165399051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5.6843418860808015E-14</v>
      </c>
      <c r="GV92" s="18">
        <f>GU92*VLOOKUP('Données projet'!$B$18,Paramètres!$A$1:$I$89,3,0)*VLOOKUP('Données projet'!$B$18,Paramètres!$A$1:$I$89,5,0)</f>
        <v>3.813056537183002E-14</v>
      </c>
      <c r="GW92" s="14">
        <f t="shared" si="105"/>
        <v>6.4086286045526829E-13</v>
      </c>
      <c r="GX92" s="22">
        <f t="shared" si="82"/>
        <v>1.1825802166488628E-12</v>
      </c>
      <c r="GY92" s="62">
        <f t="shared" si="83"/>
        <v>274.02264371152478</v>
      </c>
      <c r="GZ92" s="62">
        <f ca="1">AVERAGE(OFFSET($GY$3,0,0,'Données projet'!$E$18+1,1))-AVERAGE(OFFSET($H$3,0,0,'Données projet'!$E$18+1,1))</f>
        <v>273.21861937609918</v>
      </c>
      <c r="HA92" s="62">
        <f t="shared" si="106"/>
        <v>268.83004886965318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>
        <f>EXP(-LN(2)/35)*HG91+(1-EXP(-LN(2)/35))/(LN(2)/35)*HC92*HD92*VLOOKUP('Données projet'!$B$18,Paramètres!$A$1:$I$89,3,0)*0.475*44/12</f>
        <v>96.484419676253594</v>
      </c>
      <c r="HH92" s="23">
        <f>EXP(-LN(2)/25)*HH91+(1-EXP(-LN(2)/25))/(LN(2)/25)*Calculateur!HC92*Calculateur!HE92*VLOOKUP('Données projet'!$B$18,Paramètres!$A$1:$I$89,3,0)*0.475*44/12</f>
        <v>0</v>
      </c>
      <c r="HI92" s="23">
        <f>EXP(-LN(2)/2)*HI91+(1-EXP(-LN(2)/2))/(LN(2)/2)*HC92*HF92*VLOOKUP('Données projet'!$B$18,Paramètres!$A$1:$I$89,3,0)*0.475*44/12</f>
        <v>0</v>
      </c>
      <c r="HJ92" s="24">
        <f t="shared" si="84"/>
        <v>96.484419676253594</v>
      </c>
    </row>
    <row r="93" spans="1:218" s="5" customFormat="1" x14ac:dyDescent="0.4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5.7</v>
      </c>
      <c r="N93" s="14">
        <f>IF('Données projet'!$A$36&gt;35,N92+M93-V92,IF(A93&lt;'Données projet'!$A$36,$K$205^A93,IF(A93='Données projet'!$A$36,'Données projet'!$B$36,N92+M93-V92)))</f>
        <v>195.39999999999998</v>
      </c>
      <c r="O93" s="14">
        <f>N93*VLOOKUP('Données projet'!$B$9,Paramètres!$A$1:$I$89,3,0)*VLOOKUP('Données projet'!$B$9,Paramètres!$A$1:$I$89,5,0)</f>
        <v>176.79791999999998</v>
      </c>
      <c r="P93" s="14">
        <f t="shared" si="87"/>
        <v>44.609039852547795</v>
      </c>
      <c r="Q93" s="22">
        <f t="shared" si="54"/>
        <v>385.61712174318728</v>
      </c>
      <c r="R93" s="62">
        <f t="shared" si="55"/>
        <v>659.97476274741496</v>
      </c>
      <c r="S93" s="62">
        <f ca="1">AVERAGE(OFFSET($R$3,0,0,'Données projet'!$E$9+1,1))-AVERAGE(OFFSET($H$3,0,0,'Données projet'!$E$9+1,1))</f>
        <v>432.80275651765203</v>
      </c>
      <c r="T93" s="62">
        <f t="shared" si="88"/>
        <v>203.89279893419919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16.972431076822048</v>
      </c>
      <c r="AA93" s="23">
        <f>EXP(-LN(2)/25)*AA92+(1-EXP(-LN(2)/25))/(LN(2)/25)*Calculateur!V93*Calculateur!X93*VLOOKUP('Données projet'!$B$9,Paramètres!$A$1:$I$89,3,0)*0.475*44/12</f>
        <v>12.492244748197793</v>
      </c>
      <c r="AB93" s="23">
        <f>EXP(-LN(2)/2)*AB92+(1-EXP(-LN(2)/2))/(LN(2)/2)*V93*Y93*VLOOKUP('Données projet'!$B$9,Paramètres!$A$1:$I$89,3,0)*0.475*44/12</f>
        <v>0</v>
      </c>
      <c r="AC93" s="24">
        <f t="shared" si="57"/>
        <v>29.464675825019839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54.000000000000341</v>
      </c>
      <c r="AJ93" s="14">
        <f>AI93*VLOOKUP('Données projet'!$B$10,Paramètres!$A$1:$I$89,3,0)*VLOOKUP('Données projet'!$B$10,Paramètres!$A$1:$I$89,5,0)</f>
        <v>23.868000000000151</v>
      </c>
      <c r="AK93" s="14">
        <f t="shared" si="89"/>
        <v>7.6030930962115804</v>
      </c>
      <c r="AL93" s="22">
        <f t="shared" si="58"/>
        <v>54.812153809235433</v>
      </c>
      <c r="AM93" s="62">
        <f t="shared" si="59"/>
        <v>329.16979481346311</v>
      </c>
      <c r="AN93" s="62">
        <f ca="1">AVERAGE(OFFSET($AM$3,0,0,'Données projet'!$E$10+1,1))-AVERAGE(OFFSET($H$3,0,0,'Données projet'!$E$10+1,1))</f>
        <v>413.08876898406481</v>
      </c>
      <c r="AO93" s="62">
        <f t="shared" si="90"/>
        <v>520.31320932826566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151.67657337573209</v>
      </c>
      <c r="AV93" s="23">
        <f>EXP(-LN(2)/25)*AV92+(1-EXP(-LN(2)/25))/(LN(2)/25)*Calculateur!AQ93*Calculateur!AS93*VLOOKUP('Données projet'!$B$10,Paramètres!$A$1:$I$89,3,0)*0.475*44/12</f>
        <v>8.783055993704286</v>
      </c>
      <c r="AW93" s="23">
        <f>EXP(-LN(2)/2)*AW92+(1-EXP(-LN(2)/2))/(LN(2)/2)*AQ93*AT93*VLOOKUP('Données projet'!$B$10,Paramètres!$A$1:$I$89,3,0)*0.475*44/12</f>
        <v>6.790901816304292E-7</v>
      </c>
      <c r="AX93" s="23">
        <f t="shared" si="60"/>
        <v>160.45963004852658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 t="e">
        <f>VLOOKUP(A93,'Données projet'!$A$87:$I$107,2,0)</f>
        <v>#N/A</v>
      </c>
      <c r="BB93" s="13" t="e">
        <f>VLOOKUP(A93,'Données projet'!$A$87:$I$107,9,0)</f>
        <v>#N/A</v>
      </c>
      <c r="BC93" s="13">
        <f t="array" ref="BC93">INDEX(BB:BB,MIN(IF(ISNUMBER(BB93:BB289),ROW(BB93:BB289),"")))</f>
        <v>0</v>
      </c>
      <c r="BD93" s="13">
        <f>IF('Données projet'!$A$88&gt;35,BD92+BC93-BL92,IF(A93&lt;'Données projet'!$A$88,$BA$205^A93,IF(A93='Données projet'!$A$88,'Données projet'!$B$88,BD92+BC93-BL92)))</f>
        <v>54.000000000000341</v>
      </c>
      <c r="BE93" s="14">
        <f>BD93*VLOOKUP('Données projet'!$B$11,Paramètres!$A$1:$I$89,3,0)*VLOOKUP('Données projet'!$B$11,Paramètres!$A$1:$I$89,5,0)</f>
        <v>30.186000000000188</v>
      </c>
      <c r="BF93" s="14">
        <f t="shared" si="91"/>
        <v>9.3563888882899153</v>
      </c>
      <c r="BG93" s="22">
        <f t="shared" si="61"/>
        <v>68.869660647105263</v>
      </c>
      <c r="BH93" s="62">
        <f t="shared" si="62"/>
        <v>343.22730165133294</v>
      </c>
      <c r="BI93" s="62">
        <f ca="1">AVERAGE(OFFSET($BH$3,0,0,'Données projet'!$E$11+1,1))-AVERAGE(OFFSET($H$3,0,0,'Données projet'!$E$11+1,1))</f>
        <v>507.66185230065889</v>
      </c>
      <c r="BJ93" s="62">
        <f t="shared" si="92"/>
        <v>640.14375617778342</v>
      </c>
      <c r="BK93" s="16">
        <f>IF(ISNA(VLOOKUP(A93,'Données projet'!$A$87:$I$107,3,0)),0,VLOOKUP(A93,'Données projet'!$A$87:$I$107,3,0))</f>
        <v>0</v>
      </c>
      <c r="BL93" s="16">
        <f>IF(ISNA(VLOOKUP(A93,'Données projet'!$A$87:$I$107,4,0)),0,VLOOKUP(A93,'Données projet'!$A$87:$I$107,4,0))</f>
        <v>0</v>
      </c>
      <c r="BM93" s="17">
        <f>IF(ISNA(VLOOKUP(A93,'Données projet'!$A$87:$I$107,5,0)),0%,VLOOKUP(A93,'Données projet'!$A$87:$I$107,5,0)*VLOOKUP('Données projet'!$B$11,Paramètres!$A$1:$I$89,7,0))</f>
        <v>0</v>
      </c>
      <c r="BN93" s="17">
        <f>IF(ISNA(VLOOKUP(A93,'Données projet'!$A$87:$I$107,6,0)),0%,VLOOKUP(A93,'Données projet'!$A$87:$I$107,6,0)*VLOOKUP('Données projet'!$B$11,Paramètres!$A$1:$I$89,7,0))</f>
        <v>0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191.82625456342583</v>
      </c>
      <c r="BQ93" s="23">
        <f>EXP(-LN(2)/25)*BQ92+(1-EXP(-LN(2)/25))/(LN(2)/25)*Calculateur!BL93*Calculateur!BN93*VLOOKUP('Données projet'!$B$11,Paramètres!$A$1:$I$89,3,0)*0.475*44/12</f>
        <v>11.107982580273074</v>
      </c>
      <c r="BR93" s="23">
        <f>EXP(-LN(2)/2)*BR92+(1-EXP(-LN(2)/2))/(LN(2)/2)*BL93*BO93*VLOOKUP('Données projet'!$B$11,Paramètres!$A$1:$I$89,3,0)*0.475*44/12</f>
        <v>8.5884934735613162E-7</v>
      </c>
      <c r="BS93" s="24">
        <f t="shared" si="63"/>
        <v>202.93423800254826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>
        <f>VLOOKUP(A93,'Données projet'!$A$113:$I$133,2,0)</f>
        <v>462.1340027</v>
      </c>
      <c r="BW93" s="13">
        <f>VLOOKUP(A93,'Données projet'!$A$113:$I$133,9,0)</f>
        <v>14.037721542000003</v>
      </c>
      <c r="BX93" s="13">
        <f t="array" ref="BX93">INDEX(BW:BW,MIN(IF(ISNUMBER(BW93:BW289),ROW(BW93:BW289),"")))</f>
        <v>14.037721542000003</v>
      </c>
      <c r="BY93" s="13">
        <f>IF('Données projet'!$A$114&gt;35,BY92+BX93-CG92,IF(A93&lt;'Données projet'!$A$114,$BV$205^A93,IF(A93='Données projet'!$A$114,'Données projet'!$B$114,BY92+BX93-CG92)))</f>
        <v>462.13400269999988</v>
      </c>
      <c r="BZ93" s="14">
        <f>BY93*VLOOKUP('Données projet'!$B$12,Paramètres!$A$1:$I$89,3,0)*VLOOKUP('Données projet'!$B$12,Paramètres!$A$1:$I$89,5,0)</f>
        <v>216.27871326359994</v>
      </c>
      <c r="CA93" s="14">
        <f t="shared" si="93"/>
        <v>53.305281151343181</v>
      </c>
      <c r="CB93" s="22">
        <f t="shared" si="64"/>
        <v>469.52545693935923</v>
      </c>
      <c r="CC93" s="62">
        <f t="shared" si="65"/>
        <v>743.8830979435869</v>
      </c>
      <c r="CD93" s="62">
        <f ca="1">AVERAGE(OFFSET($CC$3,0,0,'Données projet'!$E$12+1,1))-AVERAGE(OFFSET($H$3,0,0,'Données projet'!$E$12+1,1))</f>
        <v>289.21044803824958</v>
      </c>
      <c r="CE93" s="62">
        <f t="shared" si="94"/>
        <v>196.11836398299445</v>
      </c>
      <c r="CF93" s="16">
        <f>IF(ISNA(VLOOKUP(A93,'Données projet'!$A$113:$I$133,3,0)),0,VLOOKUP(A93,'Données projet'!$A$113:$I$133,3,0))</f>
        <v>8</v>
      </c>
      <c r="CG93" s="16">
        <f>IF(ISNA(VLOOKUP(A93,'Données projet'!$A$113:$I$133,4,0)),0,VLOOKUP(A93,'Données projet'!$A$113:$I$133,4,0))</f>
        <v>92.426800529999994</v>
      </c>
      <c r="CH93" s="17">
        <f>IF(ISNA(VLOOKUP(A93,'Données projet'!$A$113:$I$133,5,0)),0%,VLOOKUP(A93,'Données projet'!$A$113:$I$133,5,0)*VLOOKUP('Données projet'!$B$12,Paramètres!$A$1:$I$89,7,0))</f>
        <v>0.27500000000000002</v>
      </c>
      <c r="CI93" s="17">
        <f>IF(ISNA(VLOOKUP(A93,'Données projet'!$A$113:$I$133,6,0)),0%,VLOOKUP(A93,'Données projet'!$A$113:$I$133,6,0)*VLOOKUP('Données projet'!$B$12,Paramètres!$A$1:$I$89,7,0))</f>
        <v>0.27500000000000002</v>
      </c>
      <c r="CJ93" s="17">
        <f>IF(ISNA(VLOOKUP(A93,'Données projet'!$A$113:$I$133,7,0)),0%,VLOOKUP(A93,'Données projet'!$A$113:$I$133,7,0))</f>
        <v>0</v>
      </c>
      <c r="CK93" s="23">
        <f>EXP(-LN(2)/35)*CK92+(1-EXP(-LN(2)/35))/(LN(2)/35)*CG93*CH93*VLOOKUP('Données projet'!$B$12,Paramètres!$A$1:$I$89,3,0)*0.475*44/12</f>
        <v>40.558230251067357</v>
      </c>
      <c r="CL93" s="23">
        <f>EXP(-LN(2)/25)*CL92+(1-EXP(-LN(2)/25))/(LN(2)/25)*Calculateur!CG93*Calculateur!CI93*VLOOKUP('Données projet'!$B$12,Paramètres!$A$1:$I$89,3,0)*0.475*44/12</f>
        <v>42.302209362934803</v>
      </c>
      <c r="CM93" s="23">
        <f>EXP(-LN(2)/2)*CM92+(1-EXP(-LN(2)/2))/(LN(2)/2)*CG93*CJ93*VLOOKUP('Données projet'!$B$12,Paramètres!$A$1:$I$89,3,0)*0.475*44/12</f>
        <v>0</v>
      </c>
      <c r="CN93" s="24">
        <f t="shared" si="66"/>
        <v>82.860439614002161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-5.6843418860808015E-14</v>
      </c>
      <c r="CU93" s="18">
        <f>CT93*VLOOKUP('Données projet'!$B$13,Paramètres!$A$1:$I$89,3,0)*VLOOKUP('Données projet'!$B$13,Paramètres!$A$1:$I$89,5,0)</f>
        <v>-5.1431925385259088E-14</v>
      </c>
      <c r="CV93" s="14" t="e">
        <f t="shared" si="95"/>
        <v>#NUM!</v>
      </c>
      <c r="CW93" s="22" t="e">
        <f t="shared" si="67"/>
        <v>#NUM!</v>
      </c>
      <c r="CX93" s="62" t="e">
        <f t="shared" si="68"/>
        <v>#NUM!</v>
      </c>
      <c r="CY93" s="62">
        <f ca="1">AVERAGE(OFFSET($CX$3,0,0,'Données projet'!$E$13+1,1))-AVERAGE(OFFSET($H$3,0,0,'Données projet'!$E$13+1,1))</f>
        <v>376.68007030857598</v>
      </c>
      <c r="CZ93" s="62">
        <f t="shared" si="96"/>
        <v>532.90758914457626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>
        <f>EXP(-LN(2)/35)*DF92+(1-EXP(-LN(2)/35))/(LN(2)/35)*DB93*DC93*VLOOKUP('Données projet'!$B$13,Paramètres!$A$1:$I$89,3,0)*0.475*44/12</f>
        <v>38.400509371270807</v>
      </c>
      <c r="DG93" s="23">
        <f>EXP(-LN(2)/25)*DG92+(1-EXP(-LN(2)/25))/(LN(2)/25)*Calculateur!DB93*Calculateur!DD93*VLOOKUP('Données projet'!$B$13,Paramètres!$A$1:$I$89,3,0)*0.475*44/12</f>
        <v>2.4820335759343353</v>
      </c>
      <c r="DH93" s="23">
        <f>EXP(-LN(2)/2)*DH92+(1-EXP(-LN(2)/2))/(LN(2)/2)*DB93*DE93*VLOOKUP('Données projet'!$B$13,Paramètres!$A$1:$I$89,3,0)*0.475*44/12</f>
        <v>0</v>
      </c>
      <c r="DI93" s="24">
        <f t="shared" si="69"/>
        <v>40.882542947205145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5.6843418860808015E-14</v>
      </c>
      <c r="DP93" s="18">
        <f>DO93*VLOOKUP('Données projet'!$B$14,Paramètres!$A$1:$I$89,3,0)*VLOOKUP('Données projet'!$B$14,Paramètres!$A$1:$I$89,5,0)</f>
        <v>5.4092197387944907E-14</v>
      </c>
      <c r="DQ93" s="14">
        <f t="shared" si="97"/>
        <v>8.7287050538073676E-13</v>
      </c>
      <c r="DR93" s="22">
        <f t="shared" si="70"/>
        <v>1.6144600406554537E-12</v>
      </c>
      <c r="DS93" s="62">
        <f t="shared" si="71"/>
        <v>274.35764100422927</v>
      </c>
      <c r="DT93" s="62">
        <f ca="1">AVERAGE(OFFSET($DS$3,0,0,'Données projet'!$E$14+1,1))-AVERAGE(OFFSET($H$3,0,0,'Données projet'!$E$14+1,1))</f>
        <v>364.63161066507769</v>
      </c>
      <c r="DU93" s="62">
        <f t="shared" si="98"/>
        <v>355.44729904860708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>
        <f>EXP(-LN(2)/35)*EA92+(1-EXP(-LN(2)/35))/(LN(2)/35)*DW93*DX93*VLOOKUP('Données projet'!$B$14,Paramètres!$A$1:$I$89,3,0)*0.475*44/12</f>
        <v>108.8705200456854</v>
      </c>
      <c r="EB93" s="23">
        <f>EXP(-LN(2)/25)*EB92+(1-EXP(-LN(2)/25))/(LN(2)/25)*Calculateur!DW93*Calculateur!DY93*VLOOKUP('Données projet'!$B$14,Paramètres!$A$1:$I$89,3,0)*0.475*44/12</f>
        <v>0</v>
      </c>
      <c r="EC93" s="23">
        <f>EXP(-LN(2)/2)*EC92+(1-EXP(-LN(2)/2))/(LN(2)/2)*DW93*DZ93*VLOOKUP('Données projet'!$B$14,Paramètres!$A$1:$I$89,3,0)*0.475*44/12</f>
        <v>0</v>
      </c>
      <c r="ED93" s="24">
        <f t="shared" si="72"/>
        <v>108.8705200456854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5.6843418860808015E-14</v>
      </c>
      <c r="EK93" s="18">
        <f>EJ93*VLOOKUP('Données projet'!$B$15,Paramètres!$A$1:$I$89,3,0)*VLOOKUP('Données projet'!$B$15,Paramètres!$A$1:$I$89,5,0)</f>
        <v>4.1677594708744434E-14</v>
      </c>
      <c r="EL93" s="14">
        <f t="shared" si="99"/>
        <v>6.9326303456159188E-13</v>
      </c>
      <c r="EM93" s="22">
        <f t="shared" si="73"/>
        <v>1.2800215959791691E-12</v>
      </c>
      <c r="EN93" s="62">
        <f t="shared" si="74"/>
        <v>274.35764100422898</v>
      </c>
      <c r="EO93" s="62">
        <f ca="1">AVERAGE(OFFSET($EN$3,0,0,'Données projet'!$E$15+1,1))-AVERAGE(OFFSET($H$3,0,0,'Données projet'!$E$15+1,1))</f>
        <v>293.59366973965774</v>
      </c>
      <c r="EP93" s="62">
        <f t="shared" si="100"/>
        <v>288.13804536120426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>
        <f>EXP(-LN(2)/35)*EV92+(1-EXP(-LN(2)/35))/(LN(2)/35)*ER93*ES93*VLOOKUP('Données projet'!$B$15,Paramètres!$A$1:$I$89,3,0)*0.475*44/12</f>
        <v>83.883843313888747</v>
      </c>
      <c r="EW93" s="23">
        <f>EXP(-LN(2)/25)*EW92+(1-EXP(-LN(2)/25))/(LN(2)/25)*Calculateur!ER93*Calculateur!ET93*VLOOKUP('Données projet'!$B$15,Paramètres!$A$1:$I$89,3,0)*0.475*44/12</f>
        <v>0</v>
      </c>
      <c r="EX93" s="23">
        <f>EXP(-LN(2)/2)*EX92+(1-EXP(-LN(2)/2))/(LN(2)/2)*ER93*EU93*VLOOKUP('Données projet'!$B$15,Paramètres!$A$1:$I$89,3,0)*0.475*44/12</f>
        <v>0</v>
      </c>
      <c r="EY93" s="24">
        <f t="shared" si="75"/>
        <v>83.883843313888747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5.6843418860808015E-14</v>
      </c>
      <c r="FF93" s="18">
        <f>FE93*VLOOKUP('Données projet'!$B$16,Paramètres!$A$1:$I$89,3,0)*VLOOKUP('Données projet'!$B$16,Paramètres!$A$1:$I$89,5,0)</f>
        <v>5.4978954722173515E-14</v>
      </c>
      <c r="FG93" s="14">
        <f t="shared" si="101"/>
        <v>8.8550225887742724E-13</v>
      </c>
      <c r="FH93" s="22">
        <f t="shared" si="76"/>
        <v>1.6380047803526383E-12</v>
      </c>
      <c r="FI93" s="62">
        <f t="shared" si="77"/>
        <v>274.35764100422932</v>
      </c>
      <c r="FJ93" s="62">
        <f ca="1">AVERAGE(OFFSET($FI$3,0,0,'Données projet'!$E$16+1,1))-AVERAGE(OFFSET($H$3,0,0,'Données projet'!$E$16+1,1))</f>
        <v>369.69145521630799</v>
      </c>
      <c r="FK93" s="62">
        <f t="shared" si="102"/>
        <v>360.24112103688719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>
        <f>EXP(-LN(2)/35)*FQ92+(1-EXP(-LN(2)/35))/(LN(2)/35)*FM93*FN93*VLOOKUP('Données projet'!$B$16,Paramètres!$A$1:$I$89,3,0)*0.475*44/12</f>
        <v>110.65528266938516</v>
      </c>
      <c r="FR93" s="23">
        <f>EXP(-LN(2)/25)*FR92+(1-EXP(-LN(2)/25))/(LN(2)/25)*Calculateur!FM93*Calculateur!FO93*VLOOKUP('Données projet'!$B$16,Paramètres!$A$1:$I$89,3,0)*0.475*44/12</f>
        <v>0</v>
      </c>
      <c r="FS93" s="23">
        <f>EXP(-LN(2)/2)*FS92+(1-EXP(-LN(2)/2))/(LN(2)/2)*FM93*FP93*VLOOKUP('Données projet'!$B$16,Paramètres!$A$1:$I$89,3,0)*0.475*44/12</f>
        <v>0</v>
      </c>
      <c r="FT93" s="24">
        <f t="shared" si="78"/>
        <v>110.65528266938516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5.6843418860808015E-14</v>
      </c>
      <c r="GA93" s="18">
        <f>FZ93*VLOOKUP('Données projet'!$B$17,Paramètres!$A$1:$I$89,3,0)*VLOOKUP('Données projet'!$B$17,Paramètres!$A$1:$I$89,5,0)</f>
        <v>6.1186256061773749E-14</v>
      </c>
      <c r="GB93" s="14">
        <f t="shared" si="103"/>
        <v>9.7328366192051127E-13</v>
      </c>
      <c r="GC93" s="22">
        <f t="shared" si="79"/>
        <v>1.8017017738191463E-12</v>
      </c>
      <c r="GD93" s="62">
        <f t="shared" si="80"/>
        <v>274.35764100422949</v>
      </c>
      <c r="GE93" s="62">
        <f ca="1">AVERAGE(OFFSET($GD$3,0,0,'Données projet'!$E$17+1,1))-AVERAGE(OFFSET($H$3,0,0,'Données projet'!$E$17+1,1))</f>
        <v>405.06394904053946</v>
      </c>
      <c r="GF93" s="62">
        <f t="shared" si="104"/>
        <v>393.75247087518198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>
        <f>EXP(-LN(2)/35)*GL92+(1-EXP(-LN(2)/35))/(LN(2)/35)*GH93*GI93*VLOOKUP('Données projet'!$B$17,Paramètres!$A$1:$I$89,3,0)*0.475*44/12</f>
        <v>123.1486210352835</v>
      </c>
      <c r="GM93" s="23">
        <f>EXP(-LN(2)/25)*GM92+(1-EXP(-LN(2)/25))/(LN(2)/25)*Calculateur!GH93*Calculateur!GJ93*VLOOKUP('Données projet'!$B$17,Paramètres!$A$1:$I$89,3,0)*0.475*44/12</f>
        <v>0</v>
      </c>
      <c r="GN93" s="23">
        <f>EXP(-LN(2)/2)*GN92+(1-EXP(-LN(2)/2))/(LN(2)/2)*GH93*GK93*VLOOKUP('Données projet'!$B$17,Paramètres!$A$1:$I$89,3,0)*0.475*44/12</f>
        <v>0</v>
      </c>
      <c r="GO93" s="23">
        <f t="shared" si="81"/>
        <v>123.1486210352835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5.6843418860808015E-14</v>
      </c>
      <c r="GV93" s="18">
        <f>GU93*VLOOKUP('Données projet'!$B$18,Paramètres!$A$1:$I$89,3,0)*VLOOKUP('Données projet'!$B$18,Paramètres!$A$1:$I$89,5,0)</f>
        <v>3.813056537183002E-14</v>
      </c>
      <c r="GW93" s="14">
        <f t="shared" si="105"/>
        <v>6.4086286045526829E-13</v>
      </c>
      <c r="GX93" s="22">
        <f t="shared" si="82"/>
        <v>1.1825802166488628E-12</v>
      </c>
      <c r="GY93" s="62">
        <f t="shared" si="83"/>
        <v>274.35764100422887</v>
      </c>
      <c r="GZ93" s="62">
        <f ca="1">AVERAGE(OFFSET($GY$3,0,0,'Données projet'!$E$18+1,1))-AVERAGE(OFFSET($H$3,0,0,'Données projet'!$E$18+1,1))</f>
        <v>273.21861937609918</v>
      </c>
      <c r="HA93" s="62">
        <f t="shared" si="106"/>
        <v>268.83004886965318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>
        <f>EXP(-LN(2)/35)*HG92+(1-EXP(-LN(2)/35))/(LN(2)/35)*HC93*HD93*VLOOKUP('Données projet'!$B$18,Paramètres!$A$1:$I$89,3,0)*0.475*44/12</f>
        <v>94.592419056087337</v>
      </c>
      <c r="HH93" s="23">
        <f>EXP(-LN(2)/25)*HH92+(1-EXP(-LN(2)/25))/(LN(2)/25)*Calculateur!HC93*Calculateur!HE93*VLOOKUP('Données projet'!$B$18,Paramètres!$A$1:$I$89,3,0)*0.475*44/12</f>
        <v>0</v>
      </c>
      <c r="HI93" s="23">
        <f>EXP(-LN(2)/2)*HI92+(1-EXP(-LN(2)/2))/(LN(2)/2)*HC93*HF93*VLOOKUP('Données projet'!$B$18,Paramètres!$A$1:$I$89,3,0)*0.475*44/12</f>
        <v>0</v>
      </c>
      <c r="HJ93" s="24">
        <f t="shared" si="84"/>
        <v>94.592419056087337</v>
      </c>
    </row>
    <row r="94" spans="1:218" s="5" customFormat="1" x14ac:dyDescent="0.4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5.7</v>
      </c>
      <c r="N94" s="14">
        <f>IF('Données projet'!$A$36&gt;35,N93+M94-V93,IF(A94&lt;'Données projet'!$A$36,$K$205^A94,IF(A94='Données projet'!$A$36,'Données projet'!$B$36,N93+M94-V93)))</f>
        <v>201.09999999999997</v>
      </c>
      <c r="O94" s="14">
        <f>N94*VLOOKUP('Données projet'!$B$9,Paramètres!$A$1:$I$89,3,0)*VLOOKUP('Données projet'!$B$9,Paramètres!$A$1:$I$89,5,0)</f>
        <v>181.95527999999996</v>
      </c>
      <c r="P94" s="14">
        <f t="shared" si="87"/>
        <v>45.756926029204784</v>
      </c>
      <c r="Q94" s="22">
        <f t="shared" si="54"/>
        <v>396.59875883419824</v>
      </c>
      <c r="R94" s="62">
        <f t="shared" si="55"/>
        <v>671.28558567704329</v>
      </c>
      <c r="S94" s="62">
        <f ca="1">AVERAGE(OFFSET($R$3,0,0,'Données projet'!$E$9+1,1))-AVERAGE(OFFSET($H$3,0,0,'Données projet'!$E$9+1,1))</f>
        <v>432.80275651765203</v>
      </c>
      <c r="T94" s="62">
        <f t="shared" si="88"/>
        <v>203.89279893419919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16.639612055566332</v>
      </c>
      <c r="AA94" s="23">
        <f>EXP(-LN(2)/25)*AA93+(1-EXP(-LN(2)/25))/(LN(2)/25)*Calculateur!V94*Calculateur!X94*VLOOKUP('Données projet'!$B$9,Paramètres!$A$1:$I$89,3,0)*0.475*44/12</f>
        <v>12.150643658619725</v>
      </c>
      <c r="AB94" s="23">
        <f>EXP(-LN(2)/2)*AB93+(1-EXP(-LN(2)/2))/(LN(2)/2)*V94*Y94*VLOOKUP('Données projet'!$B$9,Paramètres!$A$1:$I$89,3,0)*0.475*44/12</f>
        <v>0</v>
      </c>
      <c r="AC94" s="24">
        <f t="shared" si="57"/>
        <v>28.790255714186056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54.000000000000341</v>
      </c>
      <c r="AJ94" s="14">
        <f>AI94*VLOOKUP('Données projet'!$B$10,Paramètres!$A$1:$I$89,3,0)*VLOOKUP('Données projet'!$B$10,Paramètres!$A$1:$I$89,5,0)</f>
        <v>23.868000000000151</v>
      </c>
      <c r="AK94" s="14">
        <f t="shared" si="89"/>
        <v>7.6030930962115804</v>
      </c>
      <c r="AL94" s="22">
        <f t="shared" si="58"/>
        <v>54.812153809235433</v>
      </c>
      <c r="AM94" s="62">
        <f t="shared" si="59"/>
        <v>329.49898065208049</v>
      </c>
      <c r="AN94" s="62">
        <f ca="1">AVERAGE(OFFSET($AM$3,0,0,'Données projet'!$E$10+1,1))-AVERAGE(OFFSET($H$3,0,0,'Données projet'!$E$10+1,1))</f>
        <v>413.08876898406481</v>
      </c>
      <c r="AO94" s="62">
        <f t="shared" si="90"/>
        <v>520.31320932826566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148.7022882854088</v>
      </c>
      <c r="AV94" s="23">
        <f>EXP(-LN(2)/25)*AV93+(1-EXP(-LN(2)/25))/(LN(2)/25)*Calculateur!AQ94*Calculateur!AS94*VLOOKUP('Données projet'!$B$10,Paramètres!$A$1:$I$89,3,0)*0.475*44/12</f>
        <v>8.5428828656756011</v>
      </c>
      <c r="AW94" s="23">
        <f>EXP(-LN(2)/2)*AW93+(1-EXP(-LN(2)/2))/(LN(2)/2)*AQ94*AT94*VLOOKUP('Données projet'!$B$10,Paramètres!$A$1:$I$89,3,0)*0.475*44/12</f>
        <v>4.801892724680807E-7</v>
      </c>
      <c r="AX94" s="23">
        <f t="shared" si="60"/>
        <v>157.24517163127368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0</v>
      </c>
      <c r="BD94" s="13">
        <f>IF('Données projet'!$A$88&gt;35,BD93+BC94-BL93,IF(A94&lt;'Données projet'!$A$88,$BA$205^A94,IF(A94='Données projet'!$A$88,'Données projet'!$B$88,BD93+BC94-BL93)))</f>
        <v>54.000000000000341</v>
      </c>
      <c r="BE94" s="14">
        <f>BD94*VLOOKUP('Données projet'!$B$11,Paramètres!$A$1:$I$89,3,0)*VLOOKUP('Données projet'!$B$11,Paramètres!$A$1:$I$89,5,0)</f>
        <v>30.186000000000188</v>
      </c>
      <c r="BF94" s="14">
        <f t="shared" si="91"/>
        <v>9.3563888882899153</v>
      </c>
      <c r="BG94" s="22">
        <f t="shared" si="61"/>
        <v>68.869660647105263</v>
      </c>
      <c r="BH94" s="62">
        <f t="shared" si="62"/>
        <v>343.55648748995031</v>
      </c>
      <c r="BI94" s="62">
        <f ca="1">AVERAGE(OFFSET($BH$3,0,0,'Données projet'!$E$11+1,1))-AVERAGE(OFFSET($H$3,0,0,'Données projet'!$E$11+1,1))</f>
        <v>507.66185230065889</v>
      </c>
      <c r="BJ94" s="62">
        <f t="shared" si="92"/>
        <v>640.14375617778342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188.06465871389929</v>
      </c>
      <c r="BQ94" s="23">
        <f>EXP(-LN(2)/25)*BQ93+(1-EXP(-LN(2)/25))/(LN(2)/25)*Calculateur!BL94*Calculateur!BN94*VLOOKUP('Données projet'!$B$11,Paramètres!$A$1:$I$89,3,0)*0.475*44/12</f>
        <v>10.804234212472091</v>
      </c>
      <c r="BR94" s="23">
        <f>EXP(-LN(2)/2)*BR93+(1-EXP(-LN(2)/2))/(LN(2)/2)*BL94*BO94*VLOOKUP('Données projet'!$B$11,Paramètres!$A$1:$I$89,3,0)*0.475*44/12</f>
        <v>6.072981975331613E-7</v>
      </c>
      <c r="BS94" s="24">
        <f t="shared" si="63"/>
        <v>198.86889353366959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15.160379742999993</v>
      </c>
      <c r="BY94" s="13">
        <f>IF('Données projet'!$A$114&gt;35,BY93+BX94-CG93,IF(A94&lt;'Données projet'!$A$114,$BV$205^A94,IF(A94='Données projet'!$A$114,'Données projet'!$B$114,BY93+BX94-CG93)))</f>
        <v>384.86758191299992</v>
      </c>
      <c r="BZ94" s="14">
        <f>BY94*VLOOKUP('Données projet'!$B$12,Paramètres!$A$1:$I$89,3,0)*VLOOKUP('Données projet'!$B$12,Paramètres!$A$1:$I$89,5,0)</f>
        <v>180.11802833528395</v>
      </c>
      <c r="CA94" s="14">
        <f t="shared" si="93"/>
        <v>45.348444294752184</v>
      </c>
      <c r="CB94" s="22">
        <f t="shared" si="64"/>
        <v>392.68743983064627</v>
      </c>
      <c r="CC94" s="62">
        <f t="shared" si="65"/>
        <v>667.37426667349132</v>
      </c>
      <c r="CD94" s="62">
        <f ca="1">AVERAGE(OFFSET($CC$3,0,0,'Données projet'!$E$12+1,1))-AVERAGE(OFFSET($H$3,0,0,'Données projet'!$E$12+1,1))</f>
        <v>289.21044803824958</v>
      </c>
      <c r="CE94" s="62">
        <f t="shared" si="94"/>
        <v>196.11836398299445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>
        <f>EXP(-LN(2)/35)*CK93+(1-EXP(-LN(2)/35))/(LN(2)/35)*CG94*CH94*VLOOKUP('Données projet'!$B$12,Paramètres!$A$1:$I$89,3,0)*0.475*44/12</f>
        <v>39.762908093921695</v>
      </c>
      <c r="CL94" s="23">
        <f>EXP(-LN(2)/25)*CL93+(1-EXP(-LN(2)/25))/(LN(2)/25)*Calculateur!CG94*Calculateur!CI94*VLOOKUP('Données projet'!$B$12,Paramètres!$A$1:$I$89,3,0)*0.475*44/12</f>
        <v>41.145453223328843</v>
      </c>
      <c r="CM94" s="23">
        <f>EXP(-LN(2)/2)*CM93+(1-EXP(-LN(2)/2))/(LN(2)/2)*CG94*CJ94*VLOOKUP('Données projet'!$B$12,Paramètres!$A$1:$I$89,3,0)*0.475*44/12</f>
        <v>0</v>
      </c>
      <c r="CN94" s="24">
        <f t="shared" si="66"/>
        <v>80.908361317250538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-5.6843418860808015E-14</v>
      </c>
      <c r="CU94" s="18">
        <f>CT94*VLOOKUP('Données projet'!$B$13,Paramètres!$A$1:$I$89,3,0)*VLOOKUP('Données projet'!$B$13,Paramètres!$A$1:$I$89,5,0)</f>
        <v>-5.1431925385259088E-14</v>
      </c>
      <c r="CV94" s="14" t="e">
        <f t="shared" si="95"/>
        <v>#NUM!</v>
      </c>
      <c r="CW94" s="22" t="e">
        <f t="shared" si="67"/>
        <v>#NUM!</v>
      </c>
      <c r="CX94" s="62" t="e">
        <f t="shared" si="68"/>
        <v>#NUM!</v>
      </c>
      <c r="CY94" s="62">
        <f ca="1">AVERAGE(OFFSET($CX$3,0,0,'Données projet'!$E$13+1,1))-AVERAGE(OFFSET($H$3,0,0,'Données projet'!$E$13+1,1))</f>
        <v>376.68007030857598</v>
      </c>
      <c r="CZ94" s="62">
        <f t="shared" si="96"/>
        <v>532.90758914457626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>
        <f>EXP(-LN(2)/35)*DF93+(1-EXP(-LN(2)/35))/(LN(2)/35)*DB94*DC94*VLOOKUP('Données projet'!$B$13,Paramètres!$A$1:$I$89,3,0)*0.475*44/12</f>
        <v>37.64749880449817</v>
      </c>
      <c r="DG94" s="23">
        <f>EXP(-LN(2)/25)*DG93+(1-EXP(-LN(2)/25))/(LN(2)/25)*Calculateur!DB94*Calculateur!DD94*VLOOKUP('Données projet'!$B$13,Paramètres!$A$1:$I$89,3,0)*0.475*44/12</f>
        <v>2.4141622372759377</v>
      </c>
      <c r="DH94" s="23">
        <f>EXP(-LN(2)/2)*DH93+(1-EXP(-LN(2)/2))/(LN(2)/2)*DB94*DE94*VLOOKUP('Données projet'!$B$13,Paramètres!$A$1:$I$89,3,0)*0.475*44/12</f>
        <v>0</v>
      </c>
      <c r="DI94" s="24">
        <f t="shared" si="69"/>
        <v>40.061661041774109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5.6843418860808015E-14</v>
      </c>
      <c r="DP94" s="18">
        <f>DO94*VLOOKUP('Données projet'!$B$14,Paramètres!$A$1:$I$89,3,0)*VLOOKUP('Données projet'!$B$14,Paramètres!$A$1:$I$89,5,0)</f>
        <v>5.4092197387944907E-14</v>
      </c>
      <c r="DQ94" s="14">
        <f t="shared" si="97"/>
        <v>8.7287050538073676E-13</v>
      </c>
      <c r="DR94" s="22">
        <f t="shared" si="70"/>
        <v>1.6144600406554537E-12</v>
      </c>
      <c r="DS94" s="62">
        <f t="shared" si="71"/>
        <v>274.68682684284664</v>
      </c>
      <c r="DT94" s="62">
        <f ca="1">AVERAGE(OFFSET($DS$3,0,0,'Données projet'!$E$14+1,1))-AVERAGE(OFFSET($H$3,0,0,'Données projet'!$E$14+1,1))</f>
        <v>364.63161066507769</v>
      </c>
      <c r="DU94" s="62">
        <f t="shared" si="98"/>
        <v>355.44729904860708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>
        <f>EXP(-LN(2)/35)*EA93+(1-EXP(-LN(2)/35))/(LN(2)/35)*DW94*DX94*VLOOKUP('Données projet'!$B$14,Paramètres!$A$1:$I$89,3,0)*0.475*44/12</f>
        <v>106.73563555204984</v>
      </c>
      <c r="EB94" s="23">
        <f>EXP(-LN(2)/25)*EB93+(1-EXP(-LN(2)/25))/(LN(2)/25)*Calculateur!DW94*Calculateur!DY94*VLOOKUP('Données projet'!$B$14,Paramètres!$A$1:$I$89,3,0)*0.475*44/12</f>
        <v>0</v>
      </c>
      <c r="EC94" s="23">
        <f>EXP(-LN(2)/2)*EC93+(1-EXP(-LN(2)/2))/(LN(2)/2)*DW94*DZ94*VLOOKUP('Données projet'!$B$14,Paramètres!$A$1:$I$89,3,0)*0.475*44/12</f>
        <v>0</v>
      </c>
      <c r="ED94" s="24">
        <f t="shared" si="72"/>
        <v>106.73563555204984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5.6843418860808015E-14</v>
      </c>
      <c r="EK94" s="18">
        <f>EJ94*VLOOKUP('Données projet'!$B$15,Paramètres!$A$1:$I$89,3,0)*VLOOKUP('Données projet'!$B$15,Paramètres!$A$1:$I$89,5,0)</f>
        <v>4.1677594708744434E-14</v>
      </c>
      <c r="EL94" s="14">
        <f t="shared" si="99"/>
        <v>6.9326303456159188E-13</v>
      </c>
      <c r="EM94" s="22">
        <f t="shared" si="73"/>
        <v>1.2800215959791691E-12</v>
      </c>
      <c r="EN94" s="62">
        <f t="shared" si="74"/>
        <v>274.68682684284636</v>
      </c>
      <c r="EO94" s="62">
        <f ca="1">AVERAGE(OFFSET($EN$3,0,0,'Données projet'!$E$15+1,1))-AVERAGE(OFFSET($H$3,0,0,'Données projet'!$E$15+1,1))</f>
        <v>293.59366973965774</v>
      </c>
      <c r="EP94" s="62">
        <f t="shared" si="100"/>
        <v>288.13804536120426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>
        <f>EXP(-LN(2)/35)*EV93+(1-EXP(-LN(2)/35))/(LN(2)/35)*ER94*ES94*VLOOKUP('Données projet'!$B$15,Paramètres!$A$1:$I$89,3,0)*0.475*44/12</f>
        <v>82.238932310595771</v>
      </c>
      <c r="EW94" s="23">
        <f>EXP(-LN(2)/25)*EW93+(1-EXP(-LN(2)/25))/(LN(2)/25)*Calculateur!ER94*Calculateur!ET94*VLOOKUP('Données projet'!$B$15,Paramètres!$A$1:$I$89,3,0)*0.475*44/12</f>
        <v>0</v>
      </c>
      <c r="EX94" s="23">
        <f>EXP(-LN(2)/2)*EX93+(1-EXP(-LN(2)/2))/(LN(2)/2)*ER94*EU94*VLOOKUP('Données projet'!$B$15,Paramètres!$A$1:$I$89,3,0)*0.475*44/12</f>
        <v>0</v>
      </c>
      <c r="EY94" s="24">
        <f t="shared" si="75"/>
        <v>82.238932310595771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5.6843418860808015E-14</v>
      </c>
      <c r="FF94" s="18">
        <f>FE94*VLOOKUP('Données projet'!$B$16,Paramètres!$A$1:$I$89,3,0)*VLOOKUP('Données projet'!$B$16,Paramètres!$A$1:$I$89,5,0)</f>
        <v>5.4978954722173515E-14</v>
      </c>
      <c r="FG94" s="14">
        <f t="shared" si="101"/>
        <v>8.8550225887742724E-13</v>
      </c>
      <c r="FH94" s="22">
        <f t="shared" si="76"/>
        <v>1.6380047803526383E-12</v>
      </c>
      <c r="FI94" s="62">
        <f t="shared" si="77"/>
        <v>274.6868268428467</v>
      </c>
      <c r="FJ94" s="62">
        <f ca="1">AVERAGE(OFFSET($FI$3,0,0,'Données projet'!$E$16+1,1))-AVERAGE(OFFSET($H$3,0,0,'Données projet'!$E$16+1,1))</f>
        <v>369.69145521630799</v>
      </c>
      <c r="FK94" s="62">
        <f t="shared" si="102"/>
        <v>360.24112103688719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>
        <f>EXP(-LN(2)/35)*FQ93+(1-EXP(-LN(2)/35))/(LN(2)/35)*FM94*FN94*VLOOKUP('Données projet'!$B$16,Paramètres!$A$1:$I$89,3,0)*0.475*44/12</f>
        <v>108.48540006929656</v>
      </c>
      <c r="FR94" s="23">
        <f>EXP(-LN(2)/25)*FR93+(1-EXP(-LN(2)/25))/(LN(2)/25)*Calculateur!FM94*Calculateur!FO94*VLOOKUP('Données projet'!$B$16,Paramètres!$A$1:$I$89,3,0)*0.475*44/12</f>
        <v>0</v>
      </c>
      <c r="FS94" s="23">
        <f>EXP(-LN(2)/2)*FS93+(1-EXP(-LN(2)/2))/(LN(2)/2)*FM94*FP94*VLOOKUP('Données projet'!$B$16,Paramètres!$A$1:$I$89,3,0)*0.475*44/12</f>
        <v>0</v>
      </c>
      <c r="FT94" s="24">
        <f t="shared" si="78"/>
        <v>108.48540006929656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5.6843418860808015E-14</v>
      </c>
      <c r="GA94" s="18">
        <f>FZ94*VLOOKUP('Données projet'!$B$17,Paramètres!$A$1:$I$89,3,0)*VLOOKUP('Données projet'!$B$17,Paramètres!$A$1:$I$89,5,0)</f>
        <v>6.1186256061773749E-14</v>
      </c>
      <c r="GB94" s="14">
        <f t="shared" si="103"/>
        <v>9.7328366192051127E-13</v>
      </c>
      <c r="GC94" s="22">
        <f t="shared" si="79"/>
        <v>1.8017017738191463E-12</v>
      </c>
      <c r="GD94" s="62">
        <f t="shared" si="80"/>
        <v>274.68682684284687</v>
      </c>
      <c r="GE94" s="62">
        <f ca="1">AVERAGE(OFFSET($GD$3,0,0,'Données projet'!$E$17+1,1))-AVERAGE(OFFSET($H$3,0,0,'Données projet'!$E$17+1,1))</f>
        <v>405.06394904053946</v>
      </c>
      <c r="GF94" s="62">
        <f t="shared" si="104"/>
        <v>393.75247087518198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>
        <f>EXP(-LN(2)/35)*GL93+(1-EXP(-LN(2)/35))/(LN(2)/35)*GH94*GI94*VLOOKUP('Données projet'!$B$17,Paramètres!$A$1:$I$89,3,0)*0.475*44/12</f>
        <v>120.73375169002361</v>
      </c>
      <c r="GM94" s="23">
        <f>EXP(-LN(2)/25)*GM93+(1-EXP(-LN(2)/25))/(LN(2)/25)*Calculateur!GH94*Calculateur!GJ94*VLOOKUP('Données projet'!$B$17,Paramètres!$A$1:$I$89,3,0)*0.475*44/12</f>
        <v>0</v>
      </c>
      <c r="GN94" s="23">
        <f>EXP(-LN(2)/2)*GN93+(1-EXP(-LN(2)/2))/(LN(2)/2)*GH94*GK94*VLOOKUP('Données projet'!$B$17,Paramètres!$A$1:$I$89,3,0)*0.475*44/12</f>
        <v>0</v>
      </c>
      <c r="GO94" s="23">
        <f t="shared" si="81"/>
        <v>120.73375169002361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5.6843418860808015E-14</v>
      </c>
      <c r="GV94" s="18">
        <f>GU94*VLOOKUP('Données projet'!$B$18,Paramètres!$A$1:$I$89,3,0)*VLOOKUP('Données projet'!$B$18,Paramètres!$A$1:$I$89,5,0)</f>
        <v>3.813056537183002E-14</v>
      </c>
      <c r="GW94" s="14">
        <f t="shared" si="105"/>
        <v>6.4086286045526829E-13</v>
      </c>
      <c r="GX94" s="22">
        <f t="shared" si="82"/>
        <v>1.1825802166488628E-12</v>
      </c>
      <c r="GY94" s="62">
        <f t="shared" si="83"/>
        <v>274.68682684284624</v>
      </c>
      <c r="GZ94" s="62">
        <f ca="1">AVERAGE(OFFSET($GY$3,0,0,'Données projet'!$E$18+1,1))-AVERAGE(OFFSET($H$3,0,0,'Données projet'!$E$18+1,1))</f>
        <v>273.21861937609918</v>
      </c>
      <c r="HA94" s="62">
        <f t="shared" si="106"/>
        <v>268.83004886965318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>
        <f>EXP(-LN(2)/35)*HG93+(1-EXP(-LN(2)/35))/(LN(2)/35)*HC94*HD94*VLOOKUP('Données projet'!$B$18,Paramètres!$A$1:$I$89,3,0)*0.475*44/12</f>
        <v>92.737519414076118</v>
      </c>
      <c r="HH94" s="23">
        <f>EXP(-LN(2)/25)*HH93+(1-EXP(-LN(2)/25))/(LN(2)/25)*Calculateur!HC94*Calculateur!HE94*VLOOKUP('Données projet'!$B$18,Paramètres!$A$1:$I$89,3,0)*0.475*44/12</f>
        <v>0</v>
      </c>
      <c r="HI94" s="23">
        <f>EXP(-LN(2)/2)*HI93+(1-EXP(-LN(2)/2))/(LN(2)/2)*HC94*HF94*VLOOKUP('Données projet'!$B$18,Paramètres!$A$1:$I$89,3,0)*0.475*44/12</f>
        <v>0</v>
      </c>
      <c r="HJ94" s="24">
        <f t="shared" si="84"/>
        <v>92.737519414076118</v>
      </c>
    </row>
    <row r="95" spans="1:218" s="5" customFormat="1" x14ac:dyDescent="0.4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5.7</v>
      </c>
      <c r="N95" s="14">
        <f>IF('Données projet'!$A$36&gt;35,N94+M95-V94,IF(A95&lt;'Données projet'!$A$36,$K$205^A95,IF(A95='Données projet'!$A$36,'Données projet'!$B$36,N94+M95-V94)))</f>
        <v>206.79999999999995</v>
      </c>
      <c r="O95" s="14">
        <f>N95*VLOOKUP('Données projet'!$B$9,Paramètres!$A$1:$I$89,3,0)*VLOOKUP('Données projet'!$B$9,Paramètres!$A$1:$I$89,5,0)</f>
        <v>187.11263999999994</v>
      </c>
      <c r="P95" s="14">
        <f t="shared" si="87"/>
        <v>46.901030743214655</v>
      </c>
      <c r="Q95" s="22">
        <f t="shared" si="54"/>
        <v>407.57380987776543</v>
      </c>
      <c r="R95" s="62">
        <f t="shared" si="55"/>
        <v>682.58411192087715</v>
      </c>
      <c r="S95" s="62">
        <f ca="1">AVERAGE(OFFSET($R$3,0,0,'Données projet'!$E$9+1,1))-AVERAGE(OFFSET($H$3,0,0,'Données projet'!$E$9+1,1))</f>
        <v>432.80275651765203</v>
      </c>
      <c r="T95" s="62">
        <f t="shared" si="88"/>
        <v>203.89279893419919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16.313319412317885</v>
      </c>
      <c r="AA95" s="23">
        <f>EXP(-LN(2)/25)*AA94+(1-EXP(-LN(2)/25))/(LN(2)/25)*Calculateur!V95*Calculateur!X95*VLOOKUP('Données projet'!$B$9,Paramètres!$A$1:$I$89,3,0)*0.475*44/12</f>
        <v>11.818383668800189</v>
      </c>
      <c r="AB95" s="23">
        <f>EXP(-LN(2)/2)*AB94+(1-EXP(-LN(2)/2))/(LN(2)/2)*V95*Y95*VLOOKUP('Données projet'!$B$9,Paramètres!$A$1:$I$89,3,0)*0.475*44/12</f>
        <v>0</v>
      </c>
      <c r="AC95" s="24">
        <f t="shared" si="57"/>
        <v>28.131703081118076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54.000000000000341</v>
      </c>
      <c r="AJ95" s="14">
        <f>AI95*VLOOKUP('Données projet'!$B$10,Paramètres!$A$1:$I$89,3,0)*VLOOKUP('Données projet'!$B$10,Paramètres!$A$1:$I$89,5,0)</f>
        <v>23.868000000000151</v>
      </c>
      <c r="AK95" s="14">
        <f t="shared" si="89"/>
        <v>7.6030930962115804</v>
      </c>
      <c r="AL95" s="22">
        <f t="shared" si="58"/>
        <v>54.812153809235433</v>
      </c>
      <c r="AM95" s="62">
        <f t="shared" si="59"/>
        <v>329.82245585234716</v>
      </c>
      <c r="AN95" s="62">
        <f ca="1">AVERAGE(OFFSET($AM$3,0,0,'Données projet'!$E$10+1,1))-AVERAGE(OFFSET($H$3,0,0,'Données projet'!$E$10+1,1))</f>
        <v>413.08876898406481</v>
      </c>
      <c r="AO95" s="62">
        <f t="shared" si="90"/>
        <v>520.31320932826566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145.78632711157195</v>
      </c>
      <c r="AV95" s="23">
        <f>EXP(-LN(2)/25)*AV94+(1-EXP(-LN(2)/25))/(LN(2)/25)*Calculateur!AQ95*Calculateur!AS95*VLOOKUP('Données projet'!$B$10,Paramètres!$A$1:$I$89,3,0)*0.475*44/12</f>
        <v>8.3092772844630165</v>
      </c>
      <c r="AW95" s="23">
        <f>EXP(-LN(2)/2)*AW94+(1-EXP(-LN(2)/2))/(LN(2)/2)*AQ95*AT95*VLOOKUP('Données projet'!$B$10,Paramètres!$A$1:$I$89,3,0)*0.475*44/12</f>
        <v>3.395450908152146E-7</v>
      </c>
      <c r="AX95" s="23">
        <f t="shared" si="60"/>
        <v>154.09560473558005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0</v>
      </c>
      <c r="BD95" s="13">
        <f>IF('Données projet'!$A$88&gt;35,BD94+BC95-BL94,IF(A95&lt;'Données projet'!$A$88,$BA$205^A95,IF(A95='Données projet'!$A$88,'Données projet'!$B$88,BD94+BC95-BL94)))</f>
        <v>54.000000000000341</v>
      </c>
      <c r="BE95" s="14">
        <f>BD95*VLOOKUP('Données projet'!$B$11,Paramètres!$A$1:$I$89,3,0)*VLOOKUP('Données projet'!$B$11,Paramètres!$A$1:$I$89,5,0)</f>
        <v>30.186000000000188</v>
      </c>
      <c r="BF95" s="14">
        <f t="shared" si="91"/>
        <v>9.3563888882899153</v>
      </c>
      <c r="BG95" s="22">
        <f t="shared" si="61"/>
        <v>68.869660647105263</v>
      </c>
      <c r="BH95" s="62">
        <f t="shared" si="62"/>
        <v>343.87996269021698</v>
      </c>
      <c r="BI95" s="62">
        <f ca="1">AVERAGE(OFFSET($BH$3,0,0,'Données projet'!$E$11+1,1))-AVERAGE(OFFSET($H$3,0,0,'Données projet'!$E$11+1,1))</f>
        <v>507.66185230065889</v>
      </c>
      <c r="BJ95" s="62">
        <f t="shared" si="92"/>
        <v>640.14375617778342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184.37682546463506</v>
      </c>
      <c r="BQ95" s="23">
        <f>EXP(-LN(2)/25)*BQ94+(1-EXP(-LN(2)/25))/(LN(2)/25)*Calculateur!BL95*Calculateur!BN95*VLOOKUP('Données projet'!$B$11,Paramètres!$A$1:$I$89,3,0)*0.475*44/12</f>
        <v>10.508791859762058</v>
      </c>
      <c r="BR95" s="23">
        <f>EXP(-LN(2)/2)*BR94+(1-EXP(-LN(2)/2))/(LN(2)/2)*BL95*BO95*VLOOKUP('Données projet'!$B$11,Paramètres!$A$1:$I$89,3,0)*0.475*44/12</f>
        <v>4.2942467367806581E-7</v>
      </c>
      <c r="BS95" s="24">
        <f t="shared" si="63"/>
        <v>194.8856177538218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15.160379742999993</v>
      </c>
      <c r="BY95" s="13">
        <f>IF('Données projet'!$A$114&gt;35,BY94+BX95-CG94,IF(A95&lt;'Données projet'!$A$114,$BV$205^A95,IF(A95='Données projet'!$A$114,'Données projet'!$B$114,BY94+BX95-CG94)))</f>
        <v>400.02796165599989</v>
      </c>
      <c r="BZ95" s="14">
        <f>BY95*VLOOKUP('Données projet'!$B$12,Paramètres!$A$1:$I$89,3,0)*VLOOKUP('Données projet'!$B$12,Paramètres!$A$1:$I$89,5,0)</f>
        <v>187.21308605500795</v>
      </c>
      <c r="CA95" s="14">
        <f t="shared" si="93"/>
        <v>46.923276863780934</v>
      </c>
      <c r="CB95" s="22">
        <f t="shared" si="64"/>
        <v>407.78749875022396</v>
      </c>
      <c r="CC95" s="62">
        <f t="shared" si="65"/>
        <v>682.79780079333568</v>
      </c>
      <c r="CD95" s="62">
        <f ca="1">AVERAGE(OFFSET($CC$3,0,0,'Données projet'!$E$12+1,1))-AVERAGE(OFFSET($H$3,0,0,'Données projet'!$E$12+1,1))</f>
        <v>289.21044803824958</v>
      </c>
      <c r="CE95" s="62">
        <f t="shared" si="94"/>
        <v>196.11836398299445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>
        <f>EXP(-LN(2)/35)*CK94+(1-EXP(-LN(2)/35))/(LN(2)/35)*CG95*CH95*VLOOKUP('Données projet'!$B$12,Paramètres!$A$1:$I$89,3,0)*0.475*44/12</f>
        <v>38.983181719179044</v>
      </c>
      <c r="CL95" s="23">
        <f>EXP(-LN(2)/25)*CL94+(1-EXP(-LN(2)/25))/(LN(2)/25)*Calculateur!CG95*Calculateur!CI95*VLOOKUP('Données projet'!$B$12,Paramètres!$A$1:$I$89,3,0)*0.475*44/12</f>
        <v>40.020328641191568</v>
      </c>
      <c r="CM95" s="23">
        <f>EXP(-LN(2)/2)*CM94+(1-EXP(-LN(2)/2))/(LN(2)/2)*CG95*CJ95*VLOOKUP('Données projet'!$B$12,Paramètres!$A$1:$I$89,3,0)*0.475*44/12</f>
        <v>0</v>
      </c>
      <c r="CN95" s="24">
        <f t="shared" si="66"/>
        <v>79.003510360370612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-5.6843418860808015E-14</v>
      </c>
      <c r="CU95" s="18">
        <f>CT95*VLOOKUP('Données projet'!$B$13,Paramètres!$A$1:$I$89,3,0)*VLOOKUP('Données projet'!$B$13,Paramètres!$A$1:$I$89,5,0)</f>
        <v>-5.1431925385259088E-14</v>
      </c>
      <c r="CV95" s="14" t="e">
        <f t="shared" si="95"/>
        <v>#NUM!</v>
      </c>
      <c r="CW95" s="22" t="e">
        <f t="shared" si="67"/>
        <v>#NUM!</v>
      </c>
      <c r="CX95" s="62" t="e">
        <f t="shared" si="68"/>
        <v>#NUM!</v>
      </c>
      <c r="CY95" s="62">
        <f ca="1">AVERAGE(OFFSET($CX$3,0,0,'Données projet'!$E$13+1,1))-AVERAGE(OFFSET($H$3,0,0,'Données projet'!$E$13+1,1))</f>
        <v>376.68007030857598</v>
      </c>
      <c r="CZ95" s="62">
        <f t="shared" si="96"/>
        <v>532.90758914457626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>
        <f>EXP(-LN(2)/35)*DF94+(1-EXP(-LN(2)/35))/(LN(2)/35)*DB95*DC95*VLOOKUP('Données projet'!$B$13,Paramètres!$A$1:$I$89,3,0)*0.475*44/12</f>
        <v>36.909254315648852</v>
      </c>
      <c r="DG95" s="23">
        <f>EXP(-LN(2)/25)*DG94+(1-EXP(-LN(2)/25))/(LN(2)/25)*Calculateur!DB95*Calculateur!DD95*VLOOKUP('Données projet'!$B$13,Paramètres!$A$1:$I$89,3,0)*0.475*44/12</f>
        <v>2.3481468439423527</v>
      </c>
      <c r="DH95" s="23">
        <f>EXP(-LN(2)/2)*DH94+(1-EXP(-LN(2)/2))/(LN(2)/2)*DB95*DE95*VLOOKUP('Données projet'!$B$13,Paramètres!$A$1:$I$89,3,0)*0.475*44/12</f>
        <v>0</v>
      </c>
      <c r="DI95" s="24">
        <f t="shared" si="69"/>
        <v>39.257401159591204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5.6843418860808015E-14</v>
      </c>
      <c r="DP95" s="18">
        <f>DO95*VLOOKUP('Données projet'!$B$14,Paramètres!$A$1:$I$89,3,0)*VLOOKUP('Données projet'!$B$14,Paramètres!$A$1:$I$89,5,0)</f>
        <v>5.4092197387944907E-14</v>
      </c>
      <c r="DQ95" s="14">
        <f t="shared" si="97"/>
        <v>8.7287050538073676E-13</v>
      </c>
      <c r="DR95" s="22">
        <f t="shared" si="70"/>
        <v>1.6144600406554537E-12</v>
      </c>
      <c r="DS95" s="62">
        <f t="shared" si="71"/>
        <v>275.01030204311331</v>
      </c>
      <c r="DT95" s="62">
        <f ca="1">AVERAGE(OFFSET($DS$3,0,0,'Données projet'!$E$14+1,1))-AVERAGE(OFFSET($H$3,0,0,'Données projet'!$E$14+1,1))</f>
        <v>364.63161066507769</v>
      </c>
      <c r="DU95" s="62">
        <f t="shared" si="98"/>
        <v>355.44729904860708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>
        <f>EXP(-LN(2)/35)*EA94+(1-EXP(-LN(2)/35))/(LN(2)/35)*DW95*DX95*VLOOKUP('Données projet'!$B$14,Paramètres!$A$1:$I$89,3,0)*0.475*44/12</f>
        <v>104.64261484118352</v>
      </c>
      <c r="EB95" s="23">
        <f>EXP(-LN(2)/25)*EB94+(1-EXP(-LN(2)/25))/(LN(2)/25)*Calculateur!DW95*Calculateur!DY95*VLOOKUP('Données projet'!$B$14,Paramètres!$A$1:$I$89,3,0)*0.475*44/12</f>
        <v>0</v>
      </c>
      <c r="EC95" s="23">
        <f>EXP(-LN(2)/2)*EC94+(1-EXP(-LN(2)/2))/(LN(2)/2)*DW95*DZ95*VLOOKUP('Données projet'!$B$14,Paramètres!$A$1:$I$89,3,0)*0.475*44/12</f>
        <v>0</v>
      </c>
      <c r="ED95" s="24">
        <f t="shared" si="72"/>
        <v>104.64261484118352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5.6843418860808015E-14</v>
      </c>
      <c r="EK95" s="18">
        <f>EJ95*VLOOKUP('Données projet'!$B$15,Paramètres!$A$1:$I$89,3,0)*VLOOKUP('Données projet'!$B$15,Paramètres!$A$1:$I$89,5,0)</f>
        <v>4.1677594708744434E-14</v>
      </c>
      <c r="EL95" s="14">
        <f t="shared" si="99"/>
        <v>6.9326303456159188E-13</v>
      </c>
      <c r="EM95" s="22">
        <f t="shared" si="73"/>
        <v>1.2800215959791691E-12</v>
      </c>
      <c r="EN95" s="62">
        <f t="shared" si="74"/>
        <v>275.01030204311303</v>
      </c>
      <c r="EO95" s="62">
        <f ca="1">AVERAGE(OFFSET($EN$3,0,0,'Données projet'!$E$15+1,1))-AVERAGE(OFFSET($H$3,0,0,'Données projet'!$E$15+1,1))</f>
        <v>293.59366973965774</v>
      </c>
      <c r="EP95" s="62">
        <f t="shared" si="100"/>
        <v>288.13804536120426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>
        <f>EXP(-LN(2)/35)*EV94+(1-EXP(-LN(2)/35))/(LN(2)/35)*ER95*ES95*VLOOKUP('Données projet'!$B$15,Paramètres!$A$1:$I$89,3,0)*0.475*44/12</f>
        <v>80.626277008780733</v>
      </c>
      <c r="EW95" s="23">
        <f>EXP(-LN(2)/25)*EW94+(1-EXP(-LN(2)/25))/(LN(2)/25)*Calculateur!ER95*Calculateur!ET95*VLOOKUP('Données projet'!$B$15,Paramètres!$A$1:$I$89,3,0)*0.475*44/12</f>
        <v>0</v>
      </c>
      <c r="EX95" s="23">
        <f>EXP(-LN(2)/2)*EX94+(1-EXP(-LN(2)/2))/(LN(2)/2)*ER95*EU95*VLOOKUP('Données projet'!$B$15,Paramètres!$A$1:$I$89,3,0)*0.475*44/12</f>
        <v>0</v>
      </c>
      <c r="EY95" s="24">
        <f t="shared" si="75"/>
        <v>80.626277008780733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5.6843418860808015E-14</v>
      </c>
      <c r="FF95" s="18">
        <f>FE95*VLOOKUP('Données projet'!$B$16,Paramètres!$A$1:$I$89,3,0)*VLOOKUP('Données projet'!$B$16,Paramètres!$A$1:$I$89,5,0)</f>
        <v>5.4978954722173515E-14</v>
      </c>
      <c r="FG95" s="14">
        <f t="shared" si="101"/>
        <v>8.8550225887742724E-13</v>
      </c>
      <c r="FH95" s="22">
        <f t="shared" si="76"/>
        <v>1.6380047803526383E-12</v>
      </c>
      <c r="FI95" s="62">
        <f t="shared" si="77"/>
        <v>275.01030204311337</v>
      </c>
      <c r="FJ95" s="62">
        <f ca="1">AVERAGE(OFFSET($FI$3,0,0,'Données projet'!$E$16+1,1))-AVERAGE(OFFSET($H$3,0,0,'Données projet'!$E$16+1,1))</f>
        <v>369.69145521630799</v>
      </c>
      <c r="FK95" s="62">
        <f t="shared" si="102"/>
        <v>360.24112103688719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>
        <f>EXP(-LN(2)/35)*FQ94+(1-EXP(-LN(2)/35))/(LN(2)/35)*FM95*FN95*VLOOKUP('Données projet'!$B$16,Paramètres!$A$1:$I$89,3,0)*0.475*44/12</f>
        <v>106.358067543498</v>
      </c>
      <c r="FR95" s="23">
        <f>EXP(-LN(2)/25)*FR94+(1-EXP(-LN(2)/25))/(LN(2)/25)*Calculateur!FM95*Calculateur!FO95*VLOOKUP('Données projet'!$B$16,Paramètres!$A$1:$I$89,3,0)*0.475*44/12</f>
        <v>0</v>
      </c>
      <c r="FS95" s="23">
        <f>EXP(-LN(2)/2)*FS94+(1-EXP(-LN(2)/2))/(LN(2)/2)*FM95*FP95*VLOOKUP('Données projet'!$B$16,Paramètres!$A$1:$I$89,3,0)*0.475*44/12</f>
        <v>0</v>
      </c>
      <c r="FT95" s="24">
        <f t="shared" si="78"/>
        <v>106.358067543498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5.6843418860808015E-14</v>
      </c>
      <c r="GA95" s="18">
        <f>FZ95*VLOOKUP('Données projet'!$B$17,Paramètres!$A$1:$I$89,3,0)*VLOOKUP('Données projet'!$B$17,Paramètres!$A$1:$I$89,5,0)</f>
        <v>6.1186256061773749E-14</v>
      </c>
      <c r="GB95" s="14">
        <f t="shared" si="103"/>
        <v>9.7328366192051127E-13</v>
      </c>
      <c r="GC95" s="22">
        <f t="shared" si="79"/>
        <v>1.8017017738191463E-12</v>
      </c>
      <c r="GD95" s="62">
        <f t="shared" si="80"/>
        <v>275.01030204311354</v>
      </c>
      <c r="GE95" s="62">
        <f ca="1">AVERAGE(OFFSET($GD$3,0,0,'Données projet'!$E$17+1,1))-AVERAGE(OFFSET($H$3,0,0,'Données projet'!$E$17+1,1))</f>
        <v>405.06394904053946</v>
      </c>
      <c r="GF95" s="62">
        <f t="shared" si="104"/>
        <v>393.75247087518198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>
        <f>EXP(-LN(2)/35)*GL94+(1-EXP(-LN(2)/35))/(LN(2)/35)*GH95*GI95*VLOOKUP('Données projet'!$B$17,Paramètres!$A$1:$I$89,3,0)*0.475*44/12</f>
        <v>118.36623645969939</v>
      </c>
      <c r="GM95" s="23">
        <f>EXP(-LN(2)/25)*GM94+(1-EXP(-LN(2)/25))/(LN(2)/25)*Calculateur!GH95*Calculateur!GJ95*VLOOKUP('Données projet'!$B$17,Paramètres!$A$1:$I$89,3,0)*0.475*44/12</f>
        <v>0</v>
      </c>
      <c r="GN95" s="23">
        <f>EXP(-LN(2)/2)*GN94+(1-EXP(-LN(2)/2))/(LN(2)/2)*GH95*GK95*VLOOKUP('Données projet'!$B$17,Paramètres!$A$1:$I$89,3,0)*0.475*44/12</f>
        <v>0</v>
      </c>
      <c r="GO95" s="23">
        <f t="shared" si="81"/>
        <v>118.36623645969939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5.6843418860808015E-14</v>
      </c>
      <c r="GV95" s="18">
        <f>GU95*VLOOKUP('Données projet'!$B$18,Paramètres!$A$1:$I$89,3,0)*VLOOKUP('Données projet'!$B$18,Paramètres!$A$1:$I$89,5,0)</f>
        <v>3.813056537183002E-14</v>
      </c>
      <c r="GW95" s="14">
        <f t="shared" si="105"/>
        <v>6.4086286045526829E-13</v>
      </c>
      <c r="GX95" s="22">
        <f t="shared" si="82"/>
        <v>1.1825802166488628E-12</v>
      </c>
      <c r="GY95" s="62">
        <f t="shared" si="83"/>
        <v>275.01030204311292</v>
      </c>
      <c r="GZ95" s="62">
        <f ca="1">AVERAGE(OFFSET($GY$3,0,0,'Données projet'!$E$18+1,1))-AVERAGE(OFFSET($H$3,0,0,'Données projet'!$E$18+1,1))</f>
        <v>273.21861937609918</v>
      </c>
      <c r="HA95" s="62">
        <f t="shared" si="106"/>
        <v>268.83004886965318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>
        <f>EXP(-LN(2)/35)*HG94+(1-EXP(-LN(2)/35))/(LN(2)/35)*HC95*HD95*VLOOKUP('Données projet'!$B$18,Paramètres!$A$1:$I$89,3,0)*0.475*44/12</f>
        <v>90.918993222667666</v>
      </c>
      <c r="HH95" s="23">
        <f>EXP(-LN(2)/25)*HH94+(1-EXP(-LN(2)/25))/(LN(2)/25)*Calculateur!HC95*Calculateur!HE95*VLOOKUP('Données projet'!$B$18,Paramètres!$A$1:$I$89,3,0)*0.475*44/12</f>
        <v>0</v>
      </c>
      <c r="HI95" s="23">
        <f>EXP(-LN(2)/2)*HI94+(1-EXP(-LN(2)/2))/(LN(2)/2)*HC95*HF95*VLOOKUP('Données projet'!$B$18,Paramètres!$A$1:$I$89,3,0)*0.475*44/12</f>
        <v>0</v>
      </c>
      <c r="HJ95" s="24">
        <f t="shared" si="84"/>
        <v>90.918993222667666</v>
      </c>
    </row>
    <row r="96" spans="1:218" s="5" customFormat="1" x14ac:dyDescent="0.4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5.7</v>
      </c>
      <c r="N96" s="14">
        <f>IF('Données projet'!$A$36&gt;35,N95+M96-V95,IF(A96&lt;'Données projet'!$A$36,$K$205^A96,IF(A96='Données projet'!$A$36,'Données projet'!$B$36,N95+M96-V95)))</f>
        <v>212.49999999999994</v>
      </c>
      <c r="O96" s="14">
        <f>N96*VLOOKUP('Données projet'!$B$9,Paramètres!$A$1:$I$89,3,0)*VLOOKUP('Données projet'!$B$9,Paramètres!$A$1:$I$89,5,0)</f>
        <v>192.26999999999995</v>
      </c>
      <c r="P96" s="14">
        <f t="shared" si="87"/>
        <v>48.041470197986364</v>
      </c>
      <c r="Q96" s="22">
        <f t="shared" si="54"/>
        <v>418.54247726149282</v>
      </c>
      <c r="R96" s="62">
        <f t="shared" si="55"/>
        <v>693.87064293332878</v>
      </c>
      <c r="S96" s="62">
        <f ca="1">AVERAGE(OFFSET($R$3,0,0,'Données projet'!$E$9+1,1))-AVERAGE(OFFSET($H$3,0,0,'Données projet'!$E$9+1,1))</f>
        <v>432.80275651765203</v>
      </c>
      <c r="T96" s="62">
        <f t="shared" si="88"/>
        <v>203.89279893419919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15.993425168784677</v>
      </c>
      <c r="AA96" s="23">
        <f>EXP(-LN(2)/25)*AA95+(1-EXP(-LN(2)/25))/(LN(2)/25)*Calculateur!V96*Calculateur!X96*VLOOKUP('Données projet'!$B$9,Paramètres!$A$1:$I$89,3,0)*0.475*44/12</f>
        <v>11.495209345875063</v>
      </c>
      <c r="AB96" s="23">
        <f>EXP(-LN(2)/2)*AB95+(1-EXP(-LN(2)/2))/(LN(2)/2)*V96*Y96*VLOOKUP('Données projet'!$B$9,Paramètres!$A$1:$I$89,3,0)*0.475*44/12</f>
        <v>0</v>
      </c>
      <c r="AC96" s="24">
        <f t="shared" si="57"/>
        <v>27.48863451465974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54.000000000000341</v>
      </c>
      <c r="AJ96" s="14">
        <f>AI96*VLOOKUP('Données projet'!$B$10,Paramètres!$A$1:$I$89,3,0)*VLOOKUP('Données projet'!$B$10,Paramètres!$A$1:$I$89,5,0)</f>
        <v>23.868000000000151</v>
      </c>
      <c r="AK96" s="14">
        <f t="shared" si="89"/>
        <v>7.6030930962115804</v>
      </c>
      <c r="AL96" s="22">
        <f t="shared" si="58"/>
        <v>54.812153809235433</v>
      </c>
      <c r="AM96" s="62">
        <f t="shared" si="59"/>
        <v>330.1403194810714</v>
      </c>
      <c r="AN96" s="62">
        <f ca="1">AVERAGE(OFFSET($AM$3,0,0,'Données projet'!$E$10+1,1))-AVERAGE(OFFSET($H$3,0,0,'Données projet'!$E$10+1,1))</f>
        <v>413.08876898406481</v>
      </c>
      <c r="AO96" s="62">
        <f t="shared" si="90"/>
        <v>520.31320932826566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142.92754615779336</v>
      </c>
      <c r="AV96" s="23">
        <f>EXP(-LN(2)/25)*AV95+(1-EXP(-LN(2)/25))/(LN(2)/25)*Calculateur!AQ96*Calculateur!AS96*VLOOKUP('Données projet'!$B$10,Paramètres!$A$1:$I$89,3,0)*0.475*44/12</f>
        <v>8.0820596601534742</v>
      </c>
      <c r="AW96" s="23">
        <f>EXP(-LN(2)/2)*AW95+(1-EXP(-LN(2)/2))/(LN(2)/2)*AQ96*AT96*VLOOKUP('Données projet'!$B$10,Paramètres!$A$1:$I$89,3,0)*0.475*44/12</f>
        <v>2.4009463623404035E-7</v>
      </c>
      <c r="AX96" s="23">
        <f t="shared" si="60"/>
        <v>151.00960605804147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0</v>
      </c>
      <c r="BD96" s="13">
        <f>IF('Données projet'!$A$88&gt;35,BD95+BC96-BL95,IF(A96&lt;'Données projet'!$A$88,$BA$205^A96,IF(A96='Données projet'!$A$88,'Données projet'!$B$88,BD95+BC96-BL95)))</f>
        <v>54.000000000000341</v>
      </c>
      <c r="BE96" s="14">
        <f>BD96*VLOOKUP('Données projet'!$B$11,Paramètres!$A$1:$I$89,3,0)*VLOOKUP('Données projet'!$B$11,Paramètres!$A$1:$I$89,5,0)</f>
        <v>30.186000000000188</v>
      </c>
      <c r="BF96" s="14">
        <f t="shared" si="91"/>
        <v>9.3563888882899153</v>
      </c>
      <c r="BG96" s="22">
        <f t="shared" si="61"/>
        <v>68.869660647105263</v>
      </c>
      <c r="BH96" s="62">
        <f t="shared" si="62"/>
        <v>344.19782631894122</v>
      </c>
      <c r="BI96" s="62">
        <f ca="1">AVERAGE(OFFSET($BH$3,0,0,'Données projet'!$E$11+1,1))-AVERAGE(OFFSET($H$3,0,0,'Données projet'!$E$11+1,1))</f>
        <v>507.66185230065889</v>
      </c>
      <c r="BJ96" s="62">
        <f t="shared" si="92"/>
        <v>640.14375617778342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180.76130837603273</v>
      </c>
      <c r="BQ96" s="23">
        <f>EXP(-LN(2)/25)*BQ95+(1-EXP(-LN(2)/25))/(LN(2)/25)*Calculateur!BL96*Calculateur!BN96*VLOOKUP('Données projet'!$B$11,Paramètres!$A$1:$I$89,3,0)*0.475*44/12</f>
        <v>10.221428393723519</v>
      </c>
      <c r="BR96" s="23">
        <f>EXP(-LN(2)/2)*BR95+(1-EXP(-LN(2)/2))/(LN(2)/2)*BL96*BO96*VLOOKUP('Données projet'!$B$11,Paramètres!$A$1:$I$89,3,0)*0.475*44/12</f>
        <v>3.0364909876658065E-7</v>
      </c>
      <c r="BS96" s="24">
        <f t="shared" si="63"/>
        <v>190.98273707340536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15.160379742999993</v>
      </c>
      <c r="BY96" s="13">
        <f>IF('Données projet'!$A$114&gt;35,BY95+BX96-CG95,IF(A96&lt;'Données projet'!$A$114,$BV$205^A96,IF(A96='Données projet'!$A$114,'Données projet'!$B$114,BY95+BX96-CG95)))</f>
        <v>415.18834139899991</v>
      </c>
      <c r="BZ96" s="14">
        <f>BY96*VLOOKUP('Données projet'!$B$12,Paramètres!$A$1:$I$89,3,0)*VLOOKUP('Données projet'!$B$12,Paramètres!$A$1:$I$89,5,0)</f>
        <v>194.30814377473195</v>
      </c>
      <c r="CA96" s="14">
        <f t="shared" si="93"/>
        <v>48.491175823647538</v>
      </c>
      <c r="CB96" s="22">
        <f t="shared" si="64"/>
        <v>422.87548163384423</v>
      </c>
      <c r="CC96" s="62">
        <f t="shared" si="65"/>
        <v>698.20364730568019</v>
      </c>
      <c r="CD96" s="62">
        <f ca="1">AVERAGE(OFFSET($CC$3,0,0,'Données projet'!$E$12+1,1))-AVERAGE(OFFSET($H$3,0,0,'Données projet'!$E$12+1,1))</f>
        <v>289.21044803824958</v>
      </c>
      <c r="CE96" s="62">
        <f t="shared" si="94"/>
        <v>196.11836398299445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>
        <f>EXP(-LN(2)/35)*CK95+(1-EXP(-LN(2)/35))/(LN(2)/35)*CG96*CH96*VLOOKUP('Données projet'!$B$12,Paramètres!$A$1:$I$89,3,0)*0.475*44/12</f>
        <v>38.218745303058967</v>
      </c>
      <c r="CL96" s="23">
        <f>EXP(-LN(2)/25)*CL95+(1-EXP(-LN(2)/25))/(LN(2)/25)*Calculateur!CG96*Calculateur!CI96*VLOOKUP('Données projet'!$B$12,Paramètres!$A$1:$I$89,3,0)*0.475*44/12</f>
        <v>38.925970649920572</v>
      </c>
      <c r="CM96" s="23">
        <f>EXP(-LN(2)/2)*CM95+(1-EXP(-LN(2)/2))/(LN(2)/2)*CG96*CJ96*VLOOKUP('Données projet'!$B$12,Paramètres!$A$1:$I$89,3,0)*0.475*44/12</f>
        <v>0</v>
      </c>
      <c r="CN96" s="24">
        <f t="shared" si="66"/>
        <v>77.144715952979539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-5.6843418860808015E-14</v>
      </c>
      <c r="CU96" s="18">
        <f>CT96*VLOOKUP('Données projet'!$B$13,Paramètres!$A$1:$I$89,3,0)*VLOOKUP('Données projet'!$B$13,Paramètres!$A$1:$I$89,5,0)</f>
        <v>-5.1431925385259088E-14</v>
      </c>
      <c r="CV96" s="14" t="e">
        <f t="shared" si="95"/>
        <v>#NUM!</v>
      </c>
      <c r="CW96" s="22" t="e">
        <f t="shared" si="67"/>
        <v>#NUM!</v>
      </c>
      <c r="CX96" s="62" t="e">
        <f t="shared" si="68"/>
        <v>#NUM!</v>
      </c>
      <c r="CY96" s="62">
        <f ca="1">AVERAGE(OFFSET($CX$3,0,0,'Données projet'!$E$13+1,1))-AVERAGE(OFFSET($H$3,0,0,'Données projet'!$E$13+1,1))</f>
        <v>376.68007030857598</v>
      </c>
      <c r="CZ96" s="62">
        <f t="shared" si="96"/>
        <v>532.90758914457626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>
        <f>EXP(-LN(2)/35)*DF95+(1-EXP(-LN(2)/35))/(LN(2)/35)*DB96*DC96*VLOOKUP('Données projet'!$B$13,Paramètres!$A$1:$I$89,3,0)*0.475*44/12</f>
        <v>36.18548635094119</v>
      </c>
      <c r="DG96" s="23">
        <f>EXP(-LN(2)/25)*DG95+(1-EXP(-LN(2)/25))/(LN(2)/25)*Calculateur!DB96*Calculateur!DD96*VLOOKUP('Données projet'!$B$13,Paramètres!$A$1:$I$89,3,0)*0.475*44/12</f>
        <v>2.2839366450110732</v>
      </c>
      <c r="DH96" s="23">
        <f>EXP(-LN(2)/2)*DH95+(1-EXP(-LN(2)/2))/(LN(2)/2)*DB96*DE96*VLOOKUP('Données projet'!$B$13,Paramètres!$A$1:$I$89,3,0)*0.475*44/12</f>
        <v>0</v>
      </c>
      <c r="DI96" s="24">
        <f t="shared" si="69"/>
        <v>38.469422995952264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5.6843418860808015E-14</v>
      </c>
      <c r="DP96" s="18">
        <f>DO96*VLOOKUP('Données projet'!$B$14,Paramètres!$A$1:$I$89,3,0)*VLOOKUP('Données projet'!$B$14,Paramètres!$A$1:$I$89,5,0)</f>
        <v>5.4092197387944907E-14</v>
      </c>
      <c r="DQ96" s="14">
        <f t="shared" si="97"/>
        <v>8.7287050538073676E-13</v>
      </c>
      <c r="DR96" s="22">
        <f t="shared" si="70"/>
        <v>1.6144600406554537E-12</v>
      </c>
      <c r="DS96" s="62">
        <f t="shared" si="71"/>
        <v>275.32816567183755</v>
      </c>
      <c r="DT96" s="62">
        <f ca="1">AVERAGE(OFFSET($DS$3,0,0,'Données projet'!$E$14+1,1))-AVERAGE(OFFSET($H$3,0,0,'Données projet'!$E$14+1,1))</f>
        <v>364.63161066507769</v>
      </c>
      <c r="DU96" s="62">
        <f t="shared" si="98"/>
        <v>355.44729904860708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>
        <f>EXP(-LN(2)/35)*EA95+(1-EXP(-LN(2)/35))/(LN(2)/35)*DW96*DX96*VLOOKUP('Données projet'!$B$14,Paramètres!$A$1:$I$89,3,0)*0.475*44/12</f>
        <v>102.59063698984069</v>
      </c>
      <c r="EB96" s="23">
        <f>EXP(-LN(2)/25)*EB95+(1-EXP(-LN(2)/25))/(LN(2)/25)*Calculateur!DW96*Calculateur!DY96*VLOOKUP('Données projet'!$B$14,Paramètres!$A$1:$I$89,3,0)*0.475*44/12</f>
        <v>0</v>
      </c>
      <c r="EC96" s="23">
        <f>EXP(-LN(2)/2)*EC95+(1-EXP(-LN(2)/2))/(LN(2)/2)*DW96*DZ96*VLOOKUP('Données projet'!$B$14,Paramètres!$A$1:$I$89,3,0)*0.475*44/12</f>
        <v>0</v>
      </c>
      <c r="ED96" s="24">
        <f t="shared" si="72"/>
        <v>102.59063698984069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5.6843418860808015E-14</v>
      </c>
      <c r="EK96" s="18">
        <f>EJ96*VLOOKUP('Données projet'!$B$15,Paramètres!$A$1:$I$89,3,0)*VLOOKUP('Données projet'!$B$15,Paramètres!$A$1:$I$89,5,0)</f>
        <v>4.1677594708744434E-14</v>
      </c>
      <c r="EL96" s="14">
        <f t="shared" si="99"/>
        <v>6.9326303456159188E-13</v>
      </c>
      <c r="EM96" s="22">
        <f t="shared" si="73"/>
        <v>1.2800215959791691E-12</v>
      </c>
      <c r="EN96" s="62">
        <f t="shared" si="74"/>
        <v>275.32816567183727</v>
      </c>
      <c r="EO96" s="62">
        <f ca="1">AVERAGE(OFFSET($EN$3,0,0,'Données projet'!$E$15+1,1))-AVERAGE(OFFSET($H$3,0,0,'Données projet'!$E$15+1,1))</f>
        <v>293.59366973965774</v>
      </c>
      <c r="EP96" s="62">
        <f t="shared" si="100"/>
        <v>288.13804536120426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>
        <f>EXP(-LN(2)/35)*EV95+(1-EXP(-LN(2)/35))/(LN(2)/35)*ER96*ES96*VLOOKUP('Données projet'!$B$15,Paramètres!$A$1:$I$89,3,0)*0.475*44/12</f>
        <v>79.04524489381167</v>
      </c>
      <c r="EW96" s="23">
        <f>EXP(-LN(2)/25)*EW95+(1-EXP(-LN(2)/25))/(LN(2)/25)*Calculateur!ER96*Calculateur!ET96*VLOOKUP('Données projet'!$B$15,Paramètres!$A$1:$I$89,3,0)*0.475*44/12</f>
        <v>0</v>
      </c>
      <c r="EX96" s="23">
        <f>EXP(-LN(2)/2)*EX95+(1-EXP(-LN(2)/2))/(LN(2)/2)*ER96*EU96*VLOOKUP('Données projet'!$B$15,Paramètres!$A$1:$I$89,3,0)*0.475*44/12</f>
        <v>0</v>
      </c>
      <c r="EY96" s="24">
        <f t="shared" si="75"/>
        <v>79.04524489381167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5.6843418860808015E-14</v>
      </c>
      <c r="FF96" s="18">
        <f>FE96*VLOOKUP('Données projet'!$B$16,Paramètres!$A$1:$I$89,3,0)*VLOOKUP('Données projet'!$B$16,Paramètres!$A$1:$I$89,5,0)</f>
        <v>5.4978954722173515E-14</v>
      </c>
      <c r="FG96" s="14">
        <f t="shared" si="101"/>
        <v>8.8550225887742724E-13</v>
      </c>
      <c r="FH96" s="22">
        <f t="shared" si="76"/>
        <v>1.6380047803526383E-12</v>
      </c>
      <c r="FI96" s="62">
        <f t="shared" si="77"/>
        <v>275.32816567183761</v>
      </c>
      <c r="FJ96" s="62">
        <f ca="1">AVERAGE(OFFSET($FI$3,0,0,'Données projet'!$E$16+1,1))-AVERAGE(OFFSET($H$3,0,0,'Données projet'!$E$16+1,1))</f>
        <v>369.69145521630799</v>
      </c>
      <c r="FK96" s="62">
        <f t="shared" si="102"/>
        <v>360.24112103688719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>
        <f>EXP(-LN(2)/35)*FQ95+(1-EXP(-LN(2)/35))/(LN(2)/35)*FM96*FN96*VLOOKUP('Données projet'!$B$16,Paramètres!$A$1:$I$89,3,0)*0.475*44/12</f>
        <v>104.27245071098562</v>
      </c>
      <c r="FR96" s="23">
        <f>EXP(-LN(2)/25)*FR95+(1-EXP(-LN(2)/25))/(LN(2)/25)*Calculateur!FM96*Calculateur!FO96*VLOOKUP('Données projet'!$B$16,Paramètres!$A$1:$I$89,3,0)*0.475*44/12</f>
        <v>0</v>
      </c>
      <c r="FS96" s="23">
        <f>EXP(-LN(2)/2)*FS95+(1-EXP(-LN(2)/2))/(LN(2)/2)*FM96*FP96*VLOOKUP('Données projet'!$B$16,Paramètres!$A$1:$I$89,3,0)*0.475*44/12</f>
        <v>0</v>
      </c>
      <c r="FT96" s="24">
        <f t="shared" si="78"/>
        <v>104.27245071098562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5.6843418860808015E-14</v>
      </c>
      <c r="GA96" s="18">
        <f>FZ96*VLOOKUP('Données projet'!$B$17,Paramètres!$A$1:$I$89,3,0)*VLOOKUP('Données projet'!$B$17,Paramètres!$A$1:$I$89,5,0)</f>
        <v>6.1186256061773749E-14</v>
      </c>
      <c r="GB96" s="14">
        <f t="shared" si="103"/>
        <v>9.7328366192051127E-13</v>
      </c>
      <c r="GC96" s="22">
        <f t="shared" si="79"/>
        <v>1.8017017738191463E-12</v>
      </c>
      <c r="GD96" s="62">
        <f t="shared" si="80"/>
        <v>275.32816567183778</v>
      </c>
      <c r="GE96" s="62">
        <f ca="1">AVERAGE(OFFSET($GD$3,0,0,'Données projet'!$E$17+1,1))-AVERAGE(OFFSET($H$3,0,0,'Données projet'!$E$17+1,1))</f>
        <v>405.06394904053946</v>
      </c>
      <c r="GF96" s="62">
        <f t="shared" si="104"/>
        <v>393.75247087518198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>
        <f>EXP(-LN(2)/35)*GL95+(1-EXP(-LN(2)/35))/(LN(2)/35)*GH96*GI96*VLOOKUP('Données projet'!$B$17,Paramètres!$A$1:$I$89,3,0)*0.475*44/12</f>
        <v>116.04514675900013</v>
      </c>
      <c r="GM96" s="23">
        <f>EXP(-LN(2)/25)*GM95+(1-EXP(-LN(2)/25))/(LN(2)/25)*Calculateur!GH96*Calculateur!GJ96*VLOOKUP('Données projet'!$B$17,Paramètres!$A$1:$I$89,3,0)*0.475*44/12</f>
        <v>0</v>
      </c>
      <c r="GN96" s="23">
        <f>EXP(-LN(2)/2)*GN95+(1-EXP(-LN(2)/2))/(LN(2)/2)*GH96*GK96*VLOOKUP('Données projet'!$B$17,Paramètres!$A$1:$I$89,3,0)*0.475*44/12</f>
        <v>0</v>
      </c>
      <c r="GO96" s="23">
        <f t="shared" si="81"/>
        <v>116.04514675900013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5.6843418860808015E-14</v>
      </c>
      <c r="GV96" s="18">
        <f>GU96*VLOOKUP('Données projet'!$B$18,Paramètres!$A$1:$I$89,3,0)*VLOOKUP('Données projet'!$B$18,Paramètres!$A$1:$I$89,5,0)</f>
        <v>3.813056537183002E-14</v>
      </c>
      <c r="GW96" s="14">
        <f t="shared" si="105"/>
        <v>6.4086286045526829E-13</v>
      </c>
      <c r="GX96" s="22">
        <f t="shared" si="82"/>
        <v>1.1825802166488628E-12</v>
      </c>
      <c r="GY96" s="62">
        <f t="shared" si="83"/>
        <v>275.32816567183716</v>
      </c>
      <c r="GZ96" s="62">
        <f ca="1">AVERAGE(OFFSET($GY$3,0,0,'Données projet'!$E$18+1,1))-AVERAGE(OFFSET($H$3,0,0,'Données projet'!$E$18+1,1))</f>
        <v>273.21861937609918</v>
      </c>
      <c r="HA96" s="62">
        <f t="shared" si="106"/>
        <v>268.83004886965318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>
        <f>EXP(-LN(2)/35)*HG95+(1-EXP(-LN(2)/35))/(LN(2)/35)*HC96*HD96*VLOOKUP('Données projet'!$B$18,Paramètres!$A$1:$I$89,3,0)*0.475*44/12</f>
        <v>89.136127220681288</v>
      </c>
      <c r="HH96" s="23">
        <f>EXP(-LN(2)/25)*HH95+(1-EXP(-LN(2)/25))/(LN(2)/25)*Calculateur!HC96*Calculateur!HE96*VLOOKUP('Données projet'!$B$18,Paramètres!$A$1:$I$89,3,0)*0.475*44/12</f>
        <v>0</v>
      </c>
      <c r="HI96" s="23">
        <f>EXP(-LN(2)/2)*HI95+(1-EXP(-LN(2)/2))/(LN(2)/2)*HC96*HF96*VLOOKUP('Données projet'!$B$18,Paramètres!$A$1:$I$89,3,0)*0.475*44/12</f>
        <v>0</v>
      </c>
      <c r="HJ96" s="24">
        <f t="shared" si="84"/>
        <v>89.136127220681288</v>
      </c>
    </row>
    <row r="97" spans="1:218" s="5" customFormat="1" x14ac:dyDescent="0.4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5.7</v>
      </c>
      <c r="N97" s="14">
        <f>IF('Données projet'!$A$36&gt;35,N96+M97-V96,IF(A97&lt;'Données projet'!$A$36,$K$205^A97,IF(A97='Données projet'!$A$36,'Données projet'!$B$36,N96+M97-V96)))</f>
        <v>218.19999999999993</v>
      </c>
      <c r="O97" s="14">
        <f>N97*VLOOKUP('Données projet'!$B$9,Paramètres!$A$1:$I$89,3,0)*VLOOKUP('Données projet'!$B$9,Paramètres!$A$1:$I$89,5,0)</f>
        <v>197.42735999999994</v>
      </c>
      <c r="P97" s="14">
        <f t="shared" si="87"/>
        <v>49.178354008041829</v>
      </c>
      <c r="Q97" s="22">
        <f t="shared" si="54"/>
        <v>429.50495189733937</v>
      </c>
      <c r="R97" s="62">
        <f t="shared" si="55"/>
        <v>705.14546697457786</v>
      </c>
      <c r="S97" s="62">
        <f ca="1">AVERAGE(OFFSET($R$3,0,0,'Données projet'!$E$9+1,1))-AVERAGE(OFFSET($H$3,0,0,'Données projet'!$E$9+1,1))</f>
        <v>432.80275651765203</v>
      </c>
      <c r="T97" s="62">
        <f t="shared" si="88"/>
        <v>203.89279893419919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15.679803856250933</v>
      </c>
      <c r="AA97" s="23">
        <f>EXP(-LN(2)/25)*AA96+(1-EXP(-LN(2)/25))/(LN(2)/25)*Calculateur!V97*Calculateur!X97*VLOOKUP('Données projet'!$B$9,Paramètres!$A$1:$I$89,3,0)*0.475*44/12</f>
        <v>11.180872241805323</v>
      </c>
      <c r="AB97" s="23">
        <f>EXP(-LN(2)/2)*AB96+(1-EXP(-LN(2)/2))/(LN(2)/2)*V97*Y97*VLOOKUP('Données projet'!$B$9,Paramètres!$A$1:$I$89,3,0)*0.475*44/12</f>
        <v>0</v>
      </c>
      <c r="AC97" s="24">
        <f t="shared" si="57"/>
        <v>26.860676098056256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54.000000000000341</v>
      </c>
      <c r="AJ97" s="14">
        <f>AI97*VLOOKUP('Données projet'!$B$10,Paramètres!$A$1:$I$89,3,0)*VLOOKUP('Données projet'!$B$10,Paramètres!$A$1:$I$89,5,0)</f>
        <v>23.868000000000151</v>
      </c>
      <c r="AK97" s="14">
        <f t="shared" si="89"/>
        <v>7.6030930962115804</v>
      </c>
      <c r="AL97" s="22">
        <f t="shared" si="58"/>
        <v>54.812153809235433</v>
      </c>
      <c r="AM97" s="62">
        <f t="shared" si="59"/>
        <v>330.45266888647393</v>
      </c>
      <c r="AN97" s="62">
        <f ca="1">AVERAGE(OFFSET($AM$3,0,0,'Données projet'!$E$10+1,1))-AVERAGE(OFFSET($H$3,0,0,'Données projet'!$E$10+1,1))</f>
        <v>413.08876898406481</v>
      </c>
      <c r="AO97" s="62">
        <f t="shared" si="90"/>
        <v>520.31320932826566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140.12482415483416</v>
      </c>
      <c r="AV97" s="23">
        <f>EXP(-LN(2)/25)*AV96+(1-EXP(-LN(2)/25))/(LN(2)/25)*Calculateur!AQ97*Calculateur!AS97*VLOOKUP('Données projet'!$B$10,Paramètres!$A$1:$I$89,3,0)*0.475*44/12</f>
        <v>7.8610553137295316</v>
      </c>
      <c r="AW97" s="23">
        <f>EXP(-LN(2)/2)*AW96+(1-EXP(-LN(2)/2))/(LN(2)/2)*AQ97*AT97*VLOOKUP('Données projet'!$B$10,Paramètres!$A$1:$I$89,3,0)*0.475*44/12</f>
        <v>1.697725454076073E-7</v>
      </c>
      <c r="AX97" s="23">
        <f t="shared" si="60"/>
        <v>147.98587963833623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0</v>
      </c>
      <c r="BD97" s="13">
        <f>IF('Données projet'!$A$88&gt;35,BD96+BC97-BL96,IF(A97&lt;'Données projet'!$A$88,$BA$205^A97,IF(A97='Données projet'!$A$88,'Données projet'!$B$88,BD96+BC97-BL96)))</f>
        <v>54.000000000000341</v>
      </c>
      <c r="BE97" s="14">
        <f>BD97*VLOOKUP('Données projet'!$B$11,Paramètres!$A$1:$I$89,3,0)*VLOOKUP('Données projet'!$B$11,Paramètres!$A$1:$I$89,5,0)</f>
        <v>30.186000000000188</v>
      </c>
      <c r="BF97" s="14">
        <f t="shared" si="91"/>
        <v>9.3563888882899153</v>
      </c>
      <c r="BG97" s="22">
        <f t="shared" si="61"/>
        <v>68.869660647105263</v>
      </c>
      <c r="BH97" s="62">
        <f t="shared" si="62"/>
        <v>344.51017572434375</v>
      </c>
      <c r="BI97" s="62">
        <f ca="1">AVERAGE(OFFSET($BH$3,0,0,'Données projet'!$E$11+1,1))-AVERAGE(OFFSET($H$3,0,0,'Données projet'!$E$11+1,1))</f>
        <v>507.66185230065889</v>
      </c>
      <c r="BJ97" s="62">
        <f t="shared" si="92"/>
        <v>640.14375617778342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177.2166893722902</v>
      </c>
      <c r="BQ97" s="23">
        <f>EXP(-LN(2)/25)*BQ96+(1-EXP(-LN(2)/25))/(LN(2)/25)*Calculateur!BL97*Calculateur!BN97*VLOOKUP('Données projet'!$B$11,Paramètres!$A$1:$I$89,3,0)*0.475*44/12</f>
        <v>9.9419228967755924</v>
      </c>
      <c r="BR97" s="23">
        <f>EXP(-LN(2)/2)*BR96+(1-EXP(-LN(2)/2))/(LN(2)/2)*BL97*BO97*VLOOKUP('Données projet'!$B$11,Paramètres!$A$1:$I$89,3,0)*0.475*44/12</f>
        <v>2.147123368390329E-7</v>
      </c>
      <c r="BS97" s="24">
        <f t="shared" si="63"/>
        <v>187.15861248377814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15.160379742999993</v>
      </c>
      <c r="BY97" s="13">
        <f>IF('Données projet'!$A$114&gt;35,BY96+BX97-CG96,IF(A97&lt;'Données projet'!$A$114,$BV$205^A97,IF(A97='Données projet'!$A$114,'Données projet'!$B$114,BY96+BX97-CG96)))</f>
        <v>430.34872114199993</v>
      </c>
      <c r="BZ97" s="14">
        <f>BY97*VLOOKUP('Données projet'!$B$12,Paramètres!$A$1:$I$89,3,0)*VLOOKUP('Données projet'!$B$12,Paramètres!$A$1:$I$89,5,0)</f>
        <v>201.40320149445597</v>
      </c>
      <c r="CA97" s="14">
        <f t="shared" si="93"/>
        <v>50.052423348926091</v>
      </c>
      <c r="CB97" s="22">
        <f t="shared" si="64"/>
        <v>437.95187993555709</v>
      </c>
      <c r="CC97" s="62">
        <f t="shared" si="65"/>
        <v>713.59239501279558</v>
      </c>
      <c r="CD97" s="62">
        <f ca="1">AVERAGE(OFFSET($CC$3,0,0,'Données projet'!$E$12+1,1))-AVERAGE(OFFSET($H$3,0,0,'Données projet'!$E$12+1,1))</f>
        <v>289.21044803824958</v>
      </c>
      <c r="CE97" s="62">
        <f t="shared" si="94"/>
        <v>196.11836398299445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>
        <f>EXP(-LN(2)/35)*CK96+(1-EXP(-LN(2)/35))/(LN(2)/35)*CG97*CH97*VLOOKUP('Données projet'!$B$12,Paramètres!$A$1:$I$89,3,0)*0.475*44/12</f>
        <v>37.469299018798829</v>
      </c>
      <c r="CL97" s="23">
        <f>EXP(-LN(2)/25)*CL96+(1-EXP(-LN(2)/25))/(LN(2)/25)*Calculateur!CG97*Calculateur!CI97*VLOOKUP('Données projet'!$B$12,Paramètres!$A$1:$I$89,3,0)*0.475*44/12</f>
        <v>37.861537935470665</v>
      </c>
      <c r="CM97" s="23">
        <f>EXP(-LN(2)/2)*CM96+(1-EXP(-LN(2)/2))/(LN(2)/2)*CG97*CJ97*VLOOKUP('Données projet'!$B$12,Paramètres!$A$1:$I$89,3,0)*0.475*44/12</f>
        <v>0</v>
      </c>
      <c r="CN97" s="24">
        <f t="shared" si="66"/>
        <v>75.3308369542695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-5.6843418860808015E-14</v>
      </c>
      <c r="CU97" s="18">
        <f>CT97*VLOOKUP('Données projet'!$B$13,Paramètres!$A$1:$I$89,3,0)*VLOOKUP('Données projet'!$B$13,Paramètres!$A$1:$I$89,5,0)</f>
        <v>-5.1431925385259088E-14</v>
      </c>
      <c r="CV97" s="14" t="e">
        <f t="shared" si="95"/>
        <v>#NUM!</v>
      </c>
      <c r="CW97" s="22" t="e">
        <f t="shared" si="67"/>
        <v>#NUM!</v>
      </c>
      <c r="CX97" s="62" t="e">
        <f t="shared" si="68"/>
        <v>#NUM!</v>
      </c>
      <c r="CY97" s="62">
        <f ca="1">AVERAGE(OFFSET($CX$3,0,0,'Données projet'!$E$13+1,1))-AVERAGE(OFFSET($H$3,0,0,'Données projet'!$E$13+1,1))</f>
        <v>376.68007030857598</v>
      </c>
      <c r="CZ97" s="62">
        <f t="shared" si="96"/>
        <v>532.90758914457626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>
        <f>EXP(-LN(2)/35)*DF96+(1-EXP(-LN(2)/35))/(LN(2)/35)*DB97*DC97*VLOOKUP('Données projet'!$B$13,Paramètres!$A$1:$I$89,3,0)*0.475*44/12</f>
        <v>35.475911034566579</v>
      </c>
      <c r="DG97" s="23">
        <f>EXP(-LN(2)/25)*DG96+(1-EXP(-LN(2)/25))/(LN(2)/25)*Calculateur!DB97*Calculateur!DD97*VLOOKUP('Données projet'!$B$13,Paramètres!$A$1:$I$89,3,0)*0.475*44/12</f>
        <v>2.221482277346237</v>
      </c>
      <c r="DH97" s="23">
        <f>EXP(-LN(2)/2)*DH96+(1-EXP(-LN(2)/2))/(LN(2)/2)*DB97*DE97*VLOOKUP('Données projet'!$B$13,Paramètres!$A$1:$I$89,3,0)*0.475*44/12</f>
        <v>0</v>
      </c>
      <c r="DI97" s="24">
        <f t="shared" si="69"/>
        <v>37.697393311912819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5.6843418860808015E-14</v>
      </c>
      <c r="DP97" s="18">
        <f>DO97*VLOOKUP('Données projet'!$B$14,Paramètres!$A$1:$I$89,3,0)*VLOOKUP('Données projet'!$B$14,Paramètres!$A$1:$I$89,5,0)</f>
        <v>5.4092197387944907E-14</v>
      </c>
      <c r="DQ97" s="14">
        <f t="shared" si="97"/>
        <v>8.7287050538073676E-13</v>
      </c>
      <c r="DR97" s="22">
        <f t="shared" si="70"/>
        <v>1.6144600406554537E-12</v>
      </c>
      <c r="DS97" s="62">
        <f t="shared" si="71"/>
        <v>275.64051507724008</v>
      </c>
      <c r="DT97" s="62">
        <f ca="1">AVERAGE(OFFSET($DS$3,0,0,'Données projet'!$E$14+1,1))-AVERAGE(OFFSET($H$3,0,0,'Données projet'!$E$14+1,1))</f>
        <v>364.63161066507769</v>
      </c>
      <c r="DU97" s="62">
        <f t="shared" si="98"/>
        <v>355.44729904860708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>
        <f>EXP(-LN(2)/35)*EA96+(1-EXP(-LN(2)/35))/(LN(2)/35)*DW97*DX97*VLOOKUP('Données projet'!$B$14,Paramètres!$A$1:$I$89,3,0)*0.475*44/12</f>
        <v>100.5788971725798</v>
      </c>
      <c r="EB97" s="23">
        <f>EXP(-LN(2)/25)*EB96+(1-EXP(-LN(2)/25))/(LN(2)/25)*Calculateur!DW97*Calculateur!DY97*VLOOKUP('Données projet'!$B$14,Paramètres!$A$1:$I$89,3,0)*0.475*44/12</f>
        <v>0</v>
      </c>
      <c r="EC97" s="23">
        <f>EXP(-LN(2)/2)*EC96+(1-EXP(-LN(2)/2))/(LN(2)/2)*DW97*DZ97*VLOOKUP('Données projet'!$B$14,Paramètres!$A$1:$I$89,3,0)*0.475*44/12</f>
        <v>0</v>
      </c>
      <c r="ED97" s="24">
        <f t="shared" si="72"/>
        <v>100.5788971725798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5.6843418860808015E-14</v>
      </c>
      <c r="EK97" s="18">
        <f>EJ97*VLOOKUP('Données projet'!$B$15,Paramètres!$A$1:$I$89,3,0)*VLOOKUP('Données projet'!$B$15,Paramètres!$A$1:$I$89,5,0)</f>
        <v>4.1677594708744434E-14</v>
      </c>
      <c r="EL97" s="14">
        <f t="shared" si="99"/>
        <v>6.9326303456159188E-13</v>
      </c>
      <c r="EM97" s="22">
        <f t="shared" si="73"/>
        <v>1.2800215959791691E-12</v>
      </c>
      <c r="EN97" s="62">
        <f t="shared" si="74"/>
        <v>275.6405150772398</v>
      </c>
      <c r="EO97" s="62">
        <f ca="1">AVERAGE(OFFSET($EN$3,0,0,'Données projet'!$E$15+1,1))-AVERAGE(OFFSET($H$3,0,0,'Données projet'!$E$15+1,1))</f>
        <v>293.59366973965774</v>
      </c>
      <c r="EP97" s="62">
        <f t="shared" si="100"/>
        <v>288.13804536120426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>
        <f>EXP(-LN(2)/35)*EV96+(1-EXP(-LN(2)/35))/(LN(2)/35)*ER97*ES97*VLOOKUP('Données projet'!$B$15,Paramètres!$A$1:$I$89,3,0)*0.475*44/12</f>
        <v>77.49521585428279</v>
      </c>
      <c r="EW97" s="23">
        <f>EXP(-LN(2)/25)*EW96+(1-EXP(-LN(2)/25))/(LN(2)/25)*Calculateur!ER97*Calculateur!ET97*VLOOKUP('Données projet'!$B$15,Paramètres!$A$1:$I$89,3,0)*0.475*44/12</f>
        <v>0</v>
      </c>
      <c r="EX97" s="23">
        <f>EXP(-LN(2)/2)*EX96+(1-EXP(-LN(2)/2))/(LN(2)/2)*ER97*EU97*VLOOKUP('Données projet'!$B$15,Paramètres!$A$1:$I$89,3,0)*0.475*44/12</f>
        <v>0</v>
      </c>
      <c r="EY97" s="24">
        <f t="shared" si="75"/>
        <v>77.49521585428279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5.6843418860808015E-14</v>
      </c>
      <c r="FF97" s="18">
        <f>FE97*VLOOKUP('Données projet'!$B$16,Paramètres!$A$1:$I$89,3,0)*VLOOKUP('Données projet'!$B$16,Paramètres!$A$1:$I$89,5,0)</f>
        <v>5.4978954722173515E-14</v>
      </c>
      <c r="FG97" s="14">
        <f t="shared" si="101"/>
        <v>8.8550225887742724E-13</v>
      </c>
      <c r="FH97" s="22">
        <f t="shared" si="76"/>
        <v>1.6380047803526383E-12</v>
      </c>
      <c r="FI97" s="62">
        <f t="shared" si="77"/>
        <v>275.64051507724014</v>
      </c>
      <c r="FJ97" s="62">
        <f ca="1">AVERAGE(OFFSET($FI$3,0,0,'Données projet'!$E$16+1,1))-AVERAGE(OFFSET($H$3,0,0,'Données projet'!$E$16+1,1))</f>
        <v>369.69145521630799</v>
      </c>
      <c r="FK97" s="62">
        <f t="shared" si="102"/>
        <v>360.24112103688719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>
        <f>EXP(-LN(2)/35)*FQ96+(1-EXP(-LN(2)/35))/(LN(2)/35)*FM97*FN97*VLOOKUP('Données projet'!$B$16,Paramètres!$A$1:$I$89,3,0)*0.475*44/12</f>
        <v>102.22773155245815</v>
      </c>
      <c r="FR97" s="23">
        <f>EXP(-LN(2)/25)*FR96+(1-EXP(-LN(2)/25))/(LN(2)/25)*Calculateur!FM97*Calculateur!FO97*VLOOKUP('Données projet'!$B$16,Paramètres!$A$1:$I$89,3,0)*0.475*44/12</f>
        <v>0</v>
      </c>
      <c r="FS97" s="23">
        <f>EXP(-LN(2)/2)*FS96+(1-EXP(-LN(2)/2))/(LN(2)/2)*FM97*FP97*VLOOKUP('Données projet'!$B$16,Paramètres!$A$1:$I$89,3,0)*0.475*44/12</f>
        <v>0</v>
      </c>
      <c r="FT97" s="24">
        <f t="shared" si="78"/>
        <v>102.22773155245815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5.6843418860808015E-14</v>
      </c>
      <c r="GA97" s="18">
        <f>FZ97*VLOOKUP('Données projet'!$B$17,Paramètres!$A$1:$I$89,3,0)*VLOOKUP('Données projet'!$B$17,Paramètres!$A$1:$I$89,5,0)</f>
        <v>6.1186256061773749E-14</v>
      </c>
      <c r="GB97" s="14">
        <f t="shared" si="103"/>
        <v>9.7328366192051127E-13</v>
      </c>
      <c r="GC97" s="22">
        <f t="shared" si="79"/>
        <v>1.8017017738191463E-12</v>
      </c>
      <c r="GD97" s="62">
        <f t="shared" si="80"/>
        <v>275.64051507724031</v>
      </c>
      <c r="GE97" s="62">
        <f ca="1">AVERAGE(OFFSET($GD$3,0,0,'Données projet'!$E$17+1,1))-AVERAGE(OFFSET($H$3,0,0,'Données projet'!$E$17+1,1))</f>
        <v>405.06394904053946</v>
      </c>
      <c r="GF97" s="62">
        <f t="shared" si="104"/>
        <v>393.75247087518198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>
        <f>EXP(-LN(2)/35)*GL96+(1-EXP(-LN(2)/35))/(LN(2)/35)*GH97*GI97*VLOOKUP('Données projet'!$B$17,Paramètres!$A$1:$I$89,3,0)*0.475*44/12</f>
        <v>113.76957221160666</v>
      </c>
      <c r="GM97" s="23">
        <f>EXP(-LN(2)/25)*GM96+(1-EXP(-LN(2)/25))/(LN(2)/25)*Calculateur!GH97*Calculateur!GJ97*VLOOKUP('Données projet'!$B$17,Paramètres!$A$1:$I$89,3,0)*0.475*44/12</f>
        <v>0</v>
      </c>
      <c r="GN97" s="23">
        <f>EXP(-LN(2)/2)*GN96+(1-EXP(-LN(2)/2))/(LN(2)/2)*GH97*GK97*VLOOKUP('Données projet'!$B$17,Paramètres!$A$1:$I$89,3,0)*0.475*44/12</f>
        <v>0</v>
      </c>
      <c r="GO97" s="23">
        <f t="shared" si="81"/>
        <v>113.76957221160666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5.6843418860808015E-14</v>
      </c>
      <c r="GV97" s="18">
        <f>GU97*VLOOKUP('Données projet'!$B$18,Paramètres!$A$1:$I$89,3,0)*VLOOKUP('Données projet'!$B$18,Paramètres!$A$1:$I$89,5,0)</f>
        <v>3.813056537183002E-14</v>
      </c>
      <c r="GW97" s="14">
        <f t="shared" si="105"/>
        <v>6.4086286045526829E-13</v>
      </c>
      <c r="GX97" s="22">
        <f t="shared" si="82"/>
        <v>1.1825802166488628E-12</v>
      </c>
      <c r="GY97" s="62">
        <f t="shared" si="83"/>
        <v>275.64051507723968</v>
      </c>
      <c r="GZ97" s="62">
        <f ca="1">AVERAGE(OFFSET($GY$3,0,0,'Données projet'!$E$18+1,1))-AVERAGE(OFFSET($H$3,0,0,'Données projet'!$E$18+1,1))</f>
        <v>273.21861937609918</v>
      </c>
      <c r="HA97" s="62">
        <f t="shared" si="106"/>
        <v>268.83004886965318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>
        <f>EXP(-LN(2)/35)*HG96+(1-EXP(-LN(2)/35))/(LN(2)/35)*HC97*HD97*VLOOKUP('Données projet'!$B$18,Paramètres!$A$1:$I$89,3,0)*0.475*44/12</f>
        <v>87.388222133552972</v>
      </c>
      <c r="HH97" s="23">
        <f>EXP(-LN(2)/25)*HH96+(1-EXP(-LN(2)/25))/(LN(2)/25)*Calculateur!HC97*Calculateur!HE97*VLOOKUP('Données projet'!$B$18,Paramètres!$A$1:$I$89,3,0)*0.475*44/12</f>
        <v>0</v>
      </c>
      <c r="HI97" s="23">
        <f>EXP(-LN(2)/2)*HI96+(1-EXP(-LN(2)/2))/(LN(2)/2)*HC97*HF97*VLOOKUP('Données projet'!$B$18,Paramètres!$A$1:$I$89,3,0)*0.475*44/12</f>
        <v>0</v>
      </c>
      <c r="HJ97" s="24">
        <f t="shared" si="84"/>
        <v>87.388222133552972</v>
      </c>
    </row>
    <row r="98" spans="1:218" s="5" customFormat="1" x14ac:dyDescent="0.4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5.7</v>
      </c>
      <c r="N98" s="14">
        <f>IF('Données projet'!$A$36&gt;35,N97+M98-V97,IF(A98&lt;'Données projet'!$A$36,$K$205^A98,IF(A98='Données projet'!$A$36,'Données projet'!$B$36,N97+M98-V97)))</f>
        <v>223.89999999999992</v>
      </c>
      <c r="O98" s="14">
        <f>N98*VLOOKUP('Données projet'!$B$9,Paramètres!$A$1:$I$89,3,0)*VLOOKUP('Données projet'!$B$9,Paramètres!$A$1:$I$89,5,0)</f>
        <v>202.58471999999992</v>
      </c>
      <c r="P98" s="14">
        <f t="shared" si="87"/>
        <v>50.31178573484361</v>
      </c>
      <c r="Q98" s="22">
        <f t="shared" si="54"/>
        <v>440.46141415485243</v>
      </c>
      <c r="R98" s="62">
        <f t="shared" si="55"/>
        <v>716.40886007361837</v>
      </c>
      <c r="S98" s="62">
        <f ca="1">AVERAGE(OFFSET($R$3,0,0,'Données projet'!$E$9+1,1))-AVERAGE(OFFSET($H$3,0,0,'Données projet'!$E$9+1,1))</f>
        <v>432.80275651765203</v>
      </c>
      <c r="T98" s="62">
        <f t="shared" si="88"/>
        <v>203.89279893419919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15.372332466365863</v>
      </c>
      <c r="AA98" s="23">
        <f>EXP(-LN(2)/25)*AA97+(1-EXP(-LN(2)/25))/(LN(2)/25)*Calculateur!V98*Calculateur!X98*VLOOKUP('Données projet'!$B$9,Paramètres!$A$1:$I$89,3,0)*0.475*44/12</f>
        <v>10.875130702376639</v>
      </c>
      <c r="AB98" s="23">
        <f>EXP(-LN(2)/2)*AB97+(1-EXP(-LN(2)/2))/(LN(2)/2)*V98*Y98*VLOOKUP('Données projet'!$B$9,Paramètres!$A$1:$I$89,3,0)*0.475*44/12</f>
        <v>0</v>
      </c>
      <c r="AC98" s="24">
        <f t="shared" si="57"/>
        <v>26.247463168742502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54.000000000000341</v>
      </c>
      <c r="AJ98" s="14">
        <f>AI98*VLOOKUP('Données projet'!$B$10,Paramètres!$A$1:$I$89,3,0)*VLOOKUP('Données projet'!$B$10,Paramètres!$A$1:$I$89,5,0)</f>
        <v>23.868000000000151</v>
      </c>
      <c r="AK98" s="14">
        <f t="shared" si="89"/>
        <v>7.6030930962115804</v>
      </c>
      <c r="AL98" s="22">
        <f t="shared" si="58"/>
        <v>54.812153809235433</v>
      </c>
      <c r="AM98" s="62">
        <f t="shared" si="59"/>
        <v>330.75959972800138</v>
      </c>
      <c r="AN98" s="62">
        <f ca="1">AVERAGE(OFFSET($AM$3,0,0,'Données projet'!$E$10+1,1))-AVERAGE(OFFSET($H$3,0,0,'Données projet'!$E$10+1,1))</f>
        <v>413.08876898406481</v>
      </c>
      <c r="AO98" s="62">
        <f t="shared" si="90"/>
        <v>520.31320932826566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137.37706182086137</v>
      </c>
      <c r="AV98" s="23">
        <f>EXP(-LN(2)/25)*AV97+(1-EXP(-LN(2)/25))/(LN(2)/25)*Calculateur!AQ98*Calculateur!AS98*VLOOKUP('Données projet'!$B$10,Paramètres!$A$1:$I$89,3,0)*0.475*44/12</f>
        <v>7.6460943427806649</v>
      </c>
      <c r="AW98" s="23">
        <f>EXP(-LN(2)/2)*AW97+(1-EXP(-LN(2)/2))/(LN(2)/2)*AQ98*AT98*VLOOKUP('Données projet'!$B$10,Paramètres!$A$1:$I$89,3,0)*0.475*44/12</f>
        <v>1.2004731811702017E-7</v>
      </c>
      <c r="AX98" s="23">
        <f t="shared" si="60"/>
        <v>145.02315628368936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 t="e">
        <f>VLOOKUP(A98,'Données projet'!$A$87:$I$107,2,0)</f>
        <v>#N/A</v>
      </c>
      <c r="BB98" s="13" t="e">
        <f>VLOOKUP(A98,'Données projet'!$A$87:$I$107,9,0)</f>
        <v>#N/A</v>
      </c>
      <c r="BC98" s="13">
        <f t="array" ref="BC98">INDEX(BB:BB,MIN(IF(ISNUMBER(BB98:BB294),ROW(BB98:BB294),"")))</f>
        <v>0</v>
      </c>
      <c r="BD98" s="13">
        <f>IF('Données projet'!$A$88&gt;35,BD97+BC98-BL97,IF(A98&lt;'Données projet'!$A$88,$BA$205^A98,IF(A98='Données projet'!$A$88,'Données projet'!$B$88,BD97+BC98-BL97)))</f>
        <v>54.000000000000341</v>
      </c>
      <c r="BE98" s="14">
        <f>BD98*VLOOKUP('Données projet'!$B$11,Paramètres!$A$1:$I$89,3,0)*VLOOKUP('Données projet'!$B$11,Paramètres!$A$1:$I$89,5,0)</f>
        <v>30.186000000000188</v>
      </c>
      <c r="BF98" s="14">
        <f t="shared" si="91"/>
        <v>9.3563888882899153</v>
      </c>
      <c r="BG98" s="22">
        <f t="shared" si="61"/>
        <v>68.869660647105263</v>
      </c>
      <c r="BH98" s="62">
        <f t="shared" si="62"/>
        <v>344.8171065658712</v>
      </c>
      <c r="BI98" s="62">
        <f ca="1">AVERAGE(OFFSET($BH$3,0,0,'Données projet'!$E$11+1,1))-AVERAGE(OFFSET($H$3,0,0,'Données projet'!$E$11+1,1))</f>
        <v>507.66185230065889</v>
      </c>
      <c r="BJ98" s="62">
        <f t="shared" si="92"/>
        <v>640.14375617778342</v>
      </c>
      <c r="BK98" s="16">
        <f>IF(ISNA(VLOOKUP(A98,'Données projet'!$A$87:$I$107,3,0)),0,VLOOKUP(A98,'Données projet'!$A$87:$I$107,3,0))</f>
        <v>0</v>
      </c>
      <c r="BL98" s="16">
        <f>IF(ISNA(VLOOKUP(A98,'Données projet'!$A$87:$I$107,4,0)),0,VLOOKUP(A98,'Données projet'!$A$87:$I$107,4,0))</f>
        <v>0</v>
      </c>
      <c r="BM98" s="17">
        <f>IF(ISNA(VLOOKUP(A98,'Données projet'!$A$87:$I$107,5,0)),0%,VLOOKUP(A98,'Données projet'!$A$87:$I$107,5,0)*VLOOKUP('Données projet'!$B$11,Paramètres!$A$1:$I$89,7,0))</f>
        <v>0</v>
      </c>
      <c r="BN98" s="17">
        <f>IF(ISNA(VLOOKUP(A98,'Données projet'!$A$87:$I$107,6,0)),0%,VLOOKUP(A98,'Données projet'!$A$87:$I$107,6,0)*VLOOKUP('Données projet'!$B$11,Paramètres!$A$1:$I$89,7,0))</f>
        <v>0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173.74157818520695</v>
      </c>
      <c r="BQ98" s="23">
        <f>EXP(-LN(2)/25)*BQ97+(1-EXP(-LN(2)/25))/(LN(2)/25)*Calculateur!BL98*Calculateur!BN98*VLOOKUP('Données projet'!$B$11,Paramètres!$A$1:$I$89,3,0)*0.475*44/12</f>
        <v>9.6700604923402604</v>
      </c>
      <c r="BR98" s="23">
        <f>EXP(-LN(2)/2)*BR97+(1-EXP(-LN(2)/2))/(LN(2)/2)*BL98*BO98*VLOOKUP('Données projet'!$B$11,Paramètres!$A$1:$I$89,3,0)*0.475*44/12</f>
        <v>1.5182454938329033E-7</v>
      </c>
      <c r="BS98" s="24">
        <f t="shared" si="63"/>
        <v>183.41163882937175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15.160379742999993</v>
      </c>
      <c r="BY98" s="13">
        <f>IF('Données projet'!$A$114&gt;35,BY97+BX98-CG97,IF(A98&lt;'Données projet'!$A$114,$BV$205^A98,IF(A98='Données projet'!$A$114,'Données projet'!$B$114,BY97+BX98-CG97)))</f>
        <v>445.50910088499995</v>
      </c>
      <c r="BZ98" s="14">
        <f>BY98*VLOOKUP('Données projet'!$B$12,Paramètres!$A$1:$I$89,3,0)*VLOOKUP('Données projet'!$B$12,Paramètres!$A$1:$I$89,5,0)</f>
        <v>208.49825921417997</v>
      </c>
      <c r="CA98" s="14">
        <f t="shared" si="93"/>
        <v>51.607280605990042</v>
      </c>
      <c r="CB98" s="22">
        <f t="shared" si="64"/>
        <v>453.01714852012941</v>
      </c>
      <c r="CC98" s="62">
        <f t="shared" si="65"/>
        <v>728.96459443889535</v>
      </c>
      <c r="CD98" s="62">
        <f ca="1">AVERAGE(OFFSET($CC$3,0,0,'Données projet'!$E$12+1,1))-AVERAGE(OFFSET($H$3,0,0,'Données projet'!$E$12+1,1))</f>
        <v>289.21044803824958</v>
      </c>
      <c r="CE98" s="62">
        <f t="shared" si="94"/>
        <v>196.11836398299445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>
        <f>EXP(-LN(2)/35)*CK97+(1-EXP(-LN(2)/35))/(LN(2)/35)*CG98*CH98*VLOOKUP('Données projet'!$B$12,Paramètres!$A$1:$I$89,3,0)*0.475*44/12</f>
        <v>36.734548919055939</v>
      </c>
      <c r="CL98" s="23">
        <f>EXP(-LN(2)/25)*CL97+(1-EXP(-LN(2)/25))/(LN(2)/25)*Calculateur!CG98*Calculateur!CI98*VLOOKUP('Données projet'!$B$12,Paramètres!$A$1:$I$89,3,0)*0.475*44/12</f>
        <v>36.826212189573475</v>
      </c>
      <c r="CM98" s="23">
        <f>EXP(-LN(2)/2)*CM97+(1-EXP(-LN(2)/2))/(LN(2)/2)*CG98*CJ98*VLOOKUP('Données projet'!$B$12,Paramètres!$A$1:$I$89,3,0)*0.475*44/12</f>
        <v>0</v>
      </c>
      <c r="CN98" s="24">
        <f t="shared" si="66"/>
        <v>73.560761108629407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-5.6843418860808015E-14</v>
      </c>
      <c r="CU98" s="18">
        <f>CT98*VLOOKUP('Données projet'!$B$13,Paramètres!$A$1:$I$89,3,0)*VLOOKUP('Données projet'!$B$13,Paramètres!$A$1:$I$89,5,0)</f>
        <v>-5.1431925385259088E-14</v>
      </c>
      <c r="CV98" s="14" t="e">
        <f t="shared" si="95"/>
        <v>#NUM!</v>
      </c>
      <c r="CW98" s="22" t="e">
        <f t="shared" si="67"/>
        <v>#NUM!</v>
      </c>
      <c r="CX98" s="62" t="e">
        <f t="shared" si="68"/>
        <v>#NUM!</v>
      </c>
      <c r="CY98" s="62">
        <f ca="1">AVERAGE(OFFSET($CX$3,0,0,'Données projet'!$E$13+1,1))-AVERAGE(OFFSET($H$3,0,0,'Données projet'!$E$13+1,1))</f>
        <v>376.68007030857598</v>
      </c>
      <c r="CZ98" s="62">
        <f t="shared" si="96"/>
        <v>532.90758914457626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>
        <f>EXP(-LN(2)/35)*DF97+(1-EXP(-LN(2)/35))/(LN(2)/35)*DB98*DC98*VLOOKUP('Données projet'!$B$13,Paramètres!$A$1:$I$89,3,0)*0.475*44/12</f>
        <v>34.780250057347871</v>
      </c>
      <c r="DG98" s="23">
        <f>EXP(-LN(2)/25)*DG97+(1-EXP(-LN(2)/25))/(LN(2)/25)*Calculateur!DB98*Calculateur!DD98*VLOOKUP('Données projet'!$B$13,Paramètres!$A$1:$I$89,3,0)*0.475*44/12</f>
        <v>2.1607357276495285</v>
      </c>
      <c r="DH98" s="23">
        <f>EXP(-LN(2)/2)*DH97+(1-EXP(-LN(2)/2))/(LN(2)/2)*DB98*DE98*VLOOKUP('Données projet'!$B$13,Paramètres!$A$1:$I$89,3,0)*0.475*44/12</f>
        <v>0</v>
      </c>
      <c r="DI98" s="24">
        <f t="shared" si="69"/>
        <v>36.940985784997402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5.6843418860808015E-14</v>
      </c>
      <c r="DP98" s="18">
        <f>DO98*VLOOKUP('Données projet'!$B$14,Paramètres!$A$1:$I$89,3,0)*VLOOKUP('Données projet'!$B$14,Paramètres!$A$1:$I$89,5,0)</f>
        <v>5.4092197387944907E-14</v>
      </c>
      <c r="DQ98" s="14">
        <f t="shared" si="97"/>
        <v>8.7287050538073676E-13</v>
      </c>
      <c r="DR98" s="22">
        <f t="shared" si="70"/>
        <v>1.6144600406554537E-12</v>
      </c>
      <c r="DS98" s="62">
        <f t="shared" si="71"/>
        <v>275.94744591876753</v>
      </c>
      <c r="DT98" s="62">
        <f ca="1">AVERAGE(OFFSET($DS$3,0,0,'Données projet'!$E$14+1,1))-AVERAGE(OFFSET($H$3,0,0,'Données projet'!$E$14+1,1))</f>
        <v>364.63161066507769</v>
      </c>
      <c r="DU98" s="62">
        <f t="shared" si="98"/>
        <v>355.44729904860708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>
        <f>EXP(-LN(2)/35)*EA97+(1-EXP(-LN(2)/35))/(LN(2)/35)*DW98*DX98*VLOOKUP('Données projet'!$B$14,Paramètres!$A$1:$I$89,3,0)*0.475*44/12</f>
        <v>98.606606346095262</v>
      </c>
      <c r="EB98" s="23">
        <f>EXP(-LN(2)/25)*EB97+(1-EXP(-LN(2)/25))/(LN(2)/25)*Calculateur!DW98*Calculateur!DY98*VLOOKUP('Données projet'!$B$14,Paramètres!$A$1:$I$89,3,0)*0.475*44/12</f>
        <v>0</v>
      </c>
      <c r="EC98" s="23">
        <f>EXP(-LN(2)/2)*EC97+(1-EXP(-LN(2)/2))/(LN(2)/2)*DW98*DZ98*VLOOKUP('Données projet'!$B$14,Paramètres!$A$1:$I$89,3,0)*0.475*44/12</f>
        <v>0</v>
      </c>
      <c r="ED98" s="24">
        <f t="shared" si="72"/>
        <v>98.606606346095262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5.6843418860808015E-14</v>
      </c>
      <c r="EK98" s="18">
        <f>EJ98*VLOOKUP('Données projet'!$B$15,Paramètres!$A$1:$I$89,3,0)*VLOOKUP('Données projet'!$B$15,Paramètres!$A$1:$I$89,5,0)</f>
        <v>4.1677594708744434E-14</v>
      </c>
      <c r="EL98" s="14">
        <f t="shared" si="99"/>
        <v>6.9326303456159188E-13</v>
      </c>
      <c r="EM98" s="22">
        <f t="shared" si="73"/>
        <v>1.2800215959791691E-12</v>
      </c>
      <c r="EN98" s="62">
        <f t="shared" si="74"/>
        <v>275.94744591876724</v>
      </c>
      <c r="EO98" s="62">
        <f ca="1">AVERAGE(OFFSET($EN$3,0,0,'Données projet'!$E$15+1,1))-AVERAGE(OFFSET($H$3,0,0,'Données projet'!$E$15+1,1))</f>
        <v>293.59366973965774</v>
      </c>
      <c r="EP98" s="62">
        <f t="shared" si="100"/>
        <v>288.13804536120426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>
        <f>EXP(-LN(2)/35)*EV97+(1-EXP(-LN(2)/35))/(LN(2)/35)*ER98*ES98*VLOOKUP('Données projet'!$B$15,Paramètres!$A$1:$I$89,3,0)*0.475*44/12</f>
        <v>75.975581938794704</v>
      </c>
      <c r="EW98" s="23">
        <f>EXP(-LN(2)/25)*EW97+(1-EXP(-LN(2)/25))/(LN(2)/25)*Calculateur!ER98*Calculateur!ET98*VLOOKUP('Données projet'!$B$15,Paramètres!$A$1:$I$89,3,0)*0.475*44/12</f>
        <v>0</v>
      </c>
      <c r="EX98" s="23">
        <f>EXP(-LN(2)/2)*EX97+(1-EXP(-LN(2)/2))/(LN(2)/2)*ER98*EU98*VLOOKUP('Données projet'!$B$15,Paramètres!$A$1:$I$89,3,0)*0.475*44/12</f>
        <v>0</v>
      </c>
      <c r="EY98" s="24">
        <f t="shared" si="75"/>
        <v>75.975581938794704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5.6843418860808015E-14</v>
      </c>
      <c r="FF98" s="18">
        <f>FE98*VLOOKUP('Données projet'!$B$16,Paramètres!$A$1:$I$89,3,0)*VLOOKUP('Données projet'!$B$16,Paramètres!$A$1:$I$89,5,0)</f>
        <v>5.4978954722173515E-14</v>
      </c>
      <c r="FG98" s="14">
        <f t="shared" si="101"/>
        <v>8.8550225887742724E-13</v>
      </c>
      <c r="FH98" s="22">
        <f t="shared" si="76"/>
        <v>1.6380047803526383E-12</v>
      </c>
      <c r="FI98" s="62">
        <f t="shared" si="77"/>
        <v>275.94744591876758</v>
      </c>
      <c r="FJ98" s="62">
        <f ca="1">AVERAGE(OFFSET($FI$3,0,0,'Données projet'!$E$16+1,1))-AVERAGE(OFFSET($H$3,0,0,'Données projet'!$E$16+1,1))</f>
        <v>369.69145521630799</v>
      </c>
      <c r="FK98" s="62">
        <f t="shared" si="102"/>
        <v>360.24112103688719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>
        <f>EXP(-LN(2)/35)*FQ97+(1-EXP(-LN(2)/35))/(LN(2)/35)*FM98*FN98*VLOOKUP('Données projet'!$B$16,Paramètres!$A$1:$I$89,3,0)*0.475*44/12</f>
        <v>100.22310808947387</v>
      </c>
      <c r="FR98" s="23">
        <f>EXP(-LN(2)/25)*FR97+(1-EXP(-LN(2)/25))/(LN(2)/25)*Calculateur!FM98*Calculateur!FO98*VLOOKUP('Données projet'!$B$16,Paramètres!$A$1:$I$89,3,0)*0.475*44/12</f>
        <v>0</v>
      </c>
      <c r="FS98" s="23">
        <f>EXP(-LN(2)/2)*FS97+(1-EXP(-LN(2)/2))/(LN(2)/2)*FM98*FP98*VLOOKUP('Données projet'!$B$16,Paramètres!$A$1:$I$89,3,0)*0.475*44/12</f>
        <v>0</v>
      </c>
      <c r="FT98" s="24">
        <f t="shared" si="78"/>
        <v>100.22310808947387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5.6843418860808015E-14</v>
      </c>
      <c r="GA98" s="18">
        <f>FZ98*VLOOKUP('Données projet'!$B$17,Paramètres!$A$1:$I$89,3,0)*VLOOKUP('Données projet'!$B$17,Paramètres!$A$1:$I$89,5,0)</f>
        <v>6.1186256061773749E-14</v>
      </c>
      <c r="GB98" s="14">
        <f t="shared" si="103"/>
        <v>9.7328366192051127E-13</v>
      </c>
      <c r="GC98" s="22">
        <f t="shared" si="79"/>
        <v>1.8017017738191463E-12</v>
      </c>
      <c r="GD98" s="62">
        <f t="shared" si="80"/>
        <v>275.94744591876776</v>
      </c>
      <c r="GE98" s="62">
        <f ca="1">AVERAGE(OFFSET($GD$3,0,0,'Données projet'!$E$17+1,1))-AVERAGE(OFFSET($H$3,0,0,'Données projet'!$E$17+1,1))</f>
        <v>405.06394904053946</v>
      </c>
      <c r="GF98" s="62">
        <f t="shared" si="104"/>
        <v>393.75247087518198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>
        <f>EXP(-LN(2)/35)*GL97+(1-EXP(-LN(2)/35))/(LN(2)/35)*GH98*GI98*VLOOKUP('Données projet'!$B$17,Paramètres!$A$1:$I$89,3,0)*0.475*44/12</f>
        <v>111.53862029312415</v>
      </c>
      <c r="GM98" s="23">
        <f>EXP(-LN(2)/25)*GM97+(1-EXP(-LN(2)/25))/(LN(2)/25)*Calculateur!GH98*Calculateur!GJ98*VLOOKUP('Données projet'!$B$17,Paramètres!$A$1:$I$89,3,0)*0.475*44/12</f>
        <v>0</v>
      </c>
      <c r="GN98" s="23">
        <f>EXP(-LN(2)/2)*GN97+(1-EXP(-LN(2)/2))/(LN(2)/2)*GH98*GK98*VLOOKUP('Données projet'!$B$17,Paramètres!$A$1:$I$89,3,0)*0.475*44/12</f>
        <v>0</v>
      </c>
      <c r="GO98" s="23">
        <f t="shared" si="81"/>
        <v>111.53862029312415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5.6843418860808015E-14</v>
      </c>
      <c r="GV98" s="18">
        <f>GU98*VLOOKUP('Données projet'!$B$18,Paramètres!$A$1:$I$89,3,0)*VLOOKUP('Données projet'!$B$18,Paramètres!$A$1:$I$89,5,0)</f>
        <v>3.813056537183002E-14</v>
      </c>
      <c r="GW98" s="14">
        <f t="shared" si="105"/>
        <v>6.4086286045526829E-13</v>
      </c>
      <c r="GX98" s="22">
        <f t="shared" si="82"/>
        <v>1.1825802166488628E-12</v>
      </c>
      <c r="GY98" s="62">
        <f t="shared" si="83"/>
        <v>275.94744591876713</v>
      </c>
      <c r="GZ98" s="62">
        <f ca="1">AVERAGE(OFFSET($GY$3,0,0,'Données projet'!$E$18+1,1))-AVERAGE(OFFSET($H$3,0,0,'Données projet'!$E$18+1,1))</f>
        <v>273.21861937609918</v>
      </c>
      <c r="HA98" s="62">
        <f t="shared" si="106"/>
        <v>268.83004886965318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>
        <f>EXP(-LN(2)/35)*HG97+(1-EXP(-LN(2)/35))/(LN(2)/35)*HC98*HD98*VLOOKUP('Données projet'!$B$18,Paramètres!$A$1:$I$89,3,0)*0.475*44/12</f>
        <v>85.674592399066412</v>
      </c>
      <c r="HH98" s="23">
        <f>EXP(-LN(2)/25)*HH97+(1-EXP(-LN(2)/25))/(LN(2)/25)*Calculateur!HC98*Calculateur!HE98*VLOOKUP('Données projet'!$B$18,Paramètres!$A$1:$I$89,3,0)*0.475*44/12</f>
        <v>0</v>
      </c>
      <c r="HI98" s="23">
        <f>EXP(-LN(2)/2)*HI97+(1-EXP(-LN(2)/2))/(LN(2)/2)*HC98*HF98*VLOOKUP('Données projet'!$B$18,Paramètres!$A$1:$I$89,3,0)*0.475*44/12</f>
        <v>0</v>
      </c>
      <c r="HJ98" s="24">
        <f t="shared" si="84"/>
        <v>85.674592399066412</v>
      </c>
    </row>
    <row r="99" spans="1:218" s="5" customFormat="1" x14ac:dyDescent="0.4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5.7</v>
      </c>
      <c r="N99" s="14">
        <f>IF('Données projet'!$A$36&gt;35,N98+M99-V98,IF(A99&lt;'Données projet'!$A$36,$K$205^A99,IF(A99='Données projet'!$A$36,'Données projet'!$B$36,N98+M99-V98)))</f>
        <v>229.59999999999991</v>
      </c>
      <c r="O99" s="14">
        <f>N99*VLOOKUP('Données projet'!$B$9,Paramètres!$A$1:$I$89,3,0)*VLOOKUP('Données projet'!$B$9,Paramètres!$A$1:$I$89,5,0)</f>
        <v>207.74207999999993</v>
      </c>
      <c r="P99" s="14">
        <f t="shared" si="87"/>
        <v>51.441863366522369</v>
      </c>
      <c r="Q99" s="22">
        <f t="shared" ref="Q99:Q130" si="107">(O99+P99)*0.475*44/12</f>
        <v>451.41203469669296</v>
      </c>
      <c r="R99" s="62">
        <f t="shared" si="55"/>
        <v>727.66108689308044</v>
      </c>
      <c r="S99" s="62">
        <f ca="1">AVERAGE(OFFSET($R$3,0,0,'Données projet'!$E$9+1,1))-AVERAGE(OFFSET($H$3,0,0,'Données projet'!$E$9+1,1))</f>
        <v>432.80275651765203</v>
      </c>
      <c r="T99" s="62">
        <f t="shared" si="88"/>
        <v>203.89279893419919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15.07089040289741</v>
      </c>
      <c r="AA99" s="23">
        <f>EXP(-LN(2)/25)*AA98+(1-EXP(-LN(2)/25))/(LN(2)/25)*Calculateur!V99*Calculateur!X99*VLOOKUP('Données projet'!$B$9,Paramètres!$A$1:$I$89,3,0)*0.475*44/12</f>
        <v>10.577749681421881</v>
      </c>
      <c r="AB99" s="23">
        <f>EXP(-LN(2)/2)*AB98+(1-EXP(-LN(2)/2))/(LN(2)/2)*V99*Y99*VLOOKUP('Données projet'!$B$9,Paramètres!$A$1:$I$89,3,0)*0.475*44/12</f>
        <v>0</v>
      </c>
      <c r="AC99" s="24">
        <f t="shared" si="57"/>
        <v>25.64864008431929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54.000000000000341</v>
      </c>
      <c r="AJ99" s="14">
        <f>AI99*VLOOKUP('Données projet'!$B$10,Paramètres!$A$1:$I$89,3,0)*VLOOKUP('Données projet'!$B$10,Paramètres!$A$1:$I$89,5,0)</f>
        <v>23.868000000000151</v>
      </c>
      <c r="AK99" s="14">
        <f t="shared" si="89"/>
        <v>7.6030930962115804</v>
      </c>
      <c r="AL99" s="22">
        <f t="shared" si="58"/>
        <v>54.812153809235433</v>
      </c>
      <c r="AM99" s="62">
        <f t="shared" si="59"/>
        <v>331.06120600562286</v>
      </c>
      <c r="AN99" s="62">
        <f ca="1">AVERAGE(OFFSET($AM$3,0,0,'Données projet'!$E$10+1,1))-AVERAGE(OFFSET($H$3,0,0,'Données projet'!$E$10+1,1))</f>
        <v>413.08876898406481</v>
      </c>
      <c r="AO99" s="62">
        <f t="shared" si="90"/>
        <v>520.31320932826566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134.68318143028824</v>
      </c>
      <c r="AV99" s="23">
        <f>EXP(-LN(2)/25)*AV98+(1-EXP(-LN(2)/25))/(LN(2)/25)*Calculateur!AQ99*Calculateur!AS99*VLOOKUP('Données projet'!$B$10,Paramètres!$A$1:$I$89,3,0)*0.475*44/12</f>
        <v>7.4370114908867011</v>
      </c>
      <c r="AW99" s="23">
        <f>EXP(-LN(2)/2)*AW98+(1-EXP(-LN(2)/2))/(LN(2)/2)*AQ99*AT99*VLOOKUP('Données projet'!$B$10,Paramètres!$A$1:$I$89,3,0)*0.475*44/12</f>
        <v>8.488627270380365E-8</v>
      </c>
      <c r="AX99" s="23">
        <f t="shared" si="60"/>
        <v>142.12019300606121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0</v>
      </c>
      <c r="BD99" s="13">
        <f>IF('Données projet'!$A$88&gt;35,BD98+BC99-BL98,IF(A99&lt;'Données projet'!$A$88,$BA$205^A99,IF(A99='Données projet'!$A$88,'Données projet'!$B$88,BD98+BC99-BL98)))</f>
        <v>54.000000000000341</v>
      </c>
      <c r="BE99" s="14">
        <f>BD99*VLOOKUP('Données projet'!$B$11,Paramètres!$A$1:$I$89,3,0)*VLOOKUP('Données projet'!$B$11,Paramètres!$A$1:$I$89,5,0)</f>
        <v>30.186000000000188</v>
      </c>
      <c r="BF99" s="14">
        <f t="shared" si="91"/>
        <v>9.3563888882899153</v>
      </c>
      <c r="BG99" s="22">
        <f t="shared" si="61"/>
        <v>68.869660647105263</v>
      </c>
      <c r="BH99" s="62">
        <f t="shared" si="62"/>
        <v>345.11871284349269</v>
      </c>
      <c r="BI99" s="62">
        <f ca="1">AVERAGE(OFFSET($BH$3,0,0,'Données projet'!$E$11+1,1))-AVERAGE(OFFSET($H$3,0,0,'Données projet'!$E$11+1,1))</f>
        <v>507.66185230065889</v>
      </c>
      <c r="BJ99" s="62">
        <f t="shared" si="92"/>
        <v>640.14375617778342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170.33461180889387</v>
      </c>
      <c r="BQ99" s="23">
        <f>EXP(-LN(2)/25)*BQ98+(1-EXP(-LN(2)/25))/(LN(2)/25)*Calculateur!BL99*Calculateur!BN99*VLOOKUP('Données projet'!$B$11,Paramètres!$A$1:$I$89,3,0)*0.475*44/12</f>
        <v>9.4056321796508353</v>
      </c>
      <c r="BR99" s="23">
        <f>EXP(-LN(2)/2)*BR98+(1-EXP(-LN(2)/2))/(LN(2)/2)*BL99*BO99*VLOOKUP('Données projet'!$B$11,Paramètres!$A$1:$I$89,3,0)*0.475*44/12</f>
        <v>1.0735616841951645E-7</v>
      </c>
      <c r="BS99" s="24">
        <f t="shared" si="63"/>
        <v>179.74024409590086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15.160379742999993</v>
      </c>
      <c r="BY99" s="13">
        <f>IF('Données projet'!$A$114&gt;35,BY98+BX99-CG98,IF(A99&lt;'Données projet'!$A$114,$BV$205^A99,IF(A99='Données projet'!$A$114,'Données projet'!$B$114,BY98+BX99-CG98)))</f>
        <v>460.66948062799997</v>
      </c>
      <c r="BZ99" s="14">
        <f>BY99*VLOOKUP('Données projet'!$B$12,Paramètres!$A$1:$I$89,3,0)*VLOOKUP('Données projet'!$B$12,Paramètres!$A$1:$I$89,5,0)</f>
        <v>215.59331693390399</v>
      </c>
      <c r="CA99" s="14">
        <f t="shared" si="93"/>
        <v>53.155989978262603</v>
      </c>
      <c r="CB99" s="22">
        <f t="shared" si="64"/>
        <v>468.07170953869019</v>
      </c>
      <c r="CC99" s="62">
        <f t="shared" si="65"/>
        <v>744.32076173507767</v>
      </c>
      <c r="CD99" s="62">
        <f ca="1">AVERAGE(OFFSET($CC$3,0,0,'Données projet'!$E$12+1,1))-AVERAGE(OFFSET($H$3,0,0,'Données projet'!$E$12+1,1))</f>
        <v>289.21044803824958</v>
      </c>
      <c r="CE99" s="62">
        <f t="shared" si="94"/>
        <v>196.11836398299445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>
        <f>EXP(-LN(2)/35)*CK98+(1-EXP(-LN(2)/35))/(LN(2)/35)*CG99*CH99*VLOOKUP('Données projet'!$B$12,Paramètres!$A$1:$I$89,3,0)*0.475*44/12</f>
        <v>36.014206820615698</v>
      </c>
      <c r="CL99" s="23">
        <f>EXP(-LN(2)/25)*CL98+(1-EXP(-LN(2)/25))/(LN(2)/25)*Calculateur!CG99*Calculateur!CI99*VLOOKUP('Données projet'!$B$12,Paramètres!$A$1:$I$89,3,0)*0.475*44/12</f>
        <v>35.819197480643254</v>
      </c>
      <c r="CM99" s="23">
        <f>EXP(-LN(2)/2)*CM98+(1-EXP(-LN(2)/2))/(LN(2)/2)*CG99*CJ99*VLOOKUP('Données projet'!$B$12,Paramètres!$A$1:$I$89,3,0)*0.475*44/12</f>
        <v>0</v>
      </c>
      <c r="CN99" s="24">
        <f t="shared" si="66"/>
        <v>71.833404301258952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-5.6843418860808015E-14</v>
      </c>
      <c r="CU99" s="18">
        <f>CT99*VLOOKUP('Données projet'!$B$13,Paramètres!$A$1:$I$89,3,0)*VLOOKUP('Données projet'!$B$13,Paramètres!$A$1:$I$89,5,0)</f>
        <v>-5.1431925385259088E-14</v>
      </c>
      <c r="CV99" s="14" t="e">
        <f t="shared" si="95"/>
        <v>#NUM!</v>
      </c>
      <c r="CW99" s="22" t="e">
        <f t="shared" si="67"/>
        <v>#NUM!</v>
      </c>
      <c r="CX99" s="62" t="e">
        <f t="shared" si="68"/>
        <v>#NUM!</v>
      </c>
      <c r="CY99" s="62">
        <f ca="1">AVERAGE(OFFSET($CX$3,0,0,'Données projet'!$E$13+1,1))-AVERAGE(OFFSET($H$3,0,0,'Données projet'!$E$13+1,1))</f>
        <v>376.68007030857598</v>
      </c>
      <c r="CZ99" s="62">
        <f t="shared" si="96"/>
        <v>532.90758914457626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>
        <f>EXP(-LN(2)/35)*DF98+(1-EXP(-LN(2)/35))/(LN(2)/35)*DB99*DC99*VLOOKUP('Données projet'!$B$13,Paramètres!$A$1:$I$89,3,0)*0.475*44/12</f>
        <v>34.098230567581119</v>
      </c>
      <c r="DG99" s="23">
        <f>EXP(-LN(2)/25)*DG98+(1-EXP(-LN(2)/25))/(LN(2)/25)*Calculateur!DB99*Calculateur!DD99*VLOOKUP('Données projet'!$B$13,Paramètres!$A$1:$I$89,3,0)*0.475*44/12</f>
        <v>2.1016502955487986</v>
      </c>
      <c r="DH99" s="23">
        <f>EXP(-LN(2)/2)*DH98+(1-EXP(-LN(2)/2))/(LN(2)/2)*DB99*DE99*VLOOKUP('Données projet'!$B$13,Paramètres!$A$1:$I$89,3,0)*0.475*44/12</f>
        <v>0</v>
      </c>
      <c r="DI99" s="24">
        <f t="shared" si="69"/>
        <v>36.19988086312992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5.6843418860808015E-14</v>
      </c>
      <c r="DP99" s="18">
        <f>DO99*VLOOKUP('Données projet'!$B$14,Paramètres!$A$1:$I$89,3,0)*VLOOKUP('Données projet'!$B$14,Paramètres!$A$1:$I$89,5,0)</f>
        <v>5.4092197387944907E-14</v>
      </c>
      <c r="DQ99" s="14">
        <f t="shared" si="97"/>
        <v>8.7287050538073676E-13</v>
      </c>
      <c r="DR99" s="22">
        <f t="shared" si="70"/>
        <v>1.6144600406554537E-12</v>
      </c>
      <c r="DS99" s="62">
        <f t="shared" si="71"/>
        <v>276.24905219638902</v>
      </c>
      <c r="DT99" s="62">
        <f ca="1">AVERAGE(OFFSET($DS$3,0,0,'Données projet'!$E$14+1,1))-AVERAGE(OFFSET($H$3,0,0,'Données projet'!$E$14+1,1))</f>
        <v>364.63161066507769</v>
      </c>
      <c r="DU99" s="62">
        <f t="shared" si="98"/>
        <v>355.44729904860708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>
        <f>EXP(-LN(2)/35)*EA98+(1-EXP(-LN(2)/35))/(LN(2)/35)*DW99*DX99*VLOOKUP('Données projet'!$B$14,Paramètres!$A$1:$I$89,3,0)*0.475*44/12</f>
        <v>96.672990939739464</v>
      </c>
      <c r="EB99" s="23">
        <f>EXP(-LN(2)/25)*EB98+(1-EXP(-LN(2)/25))/(LN(2)/25)*Calculateur!DW99*Calculateur!DY99*VLOOKUP('Données projet'!$B$14,Paramètres!$A$1:$I$89,3,0)*0.475*44/12</f>
        <v>0</v>
      </c>
      <c r="EC99" s="23">
        <f>EXP(-LN(2)/2)*EC98+(1-EXP(-LN(2)/2))/(LN(2)/2)*DW99*DZ99*VLOOKUP('Données projet'!$B$14,Paramètres!$A$1:$I$89,3,0)*0.475*44/12</f>
        <v>0</v>
      </c>
      <c r="ED99" s="24">
        <f t="shared" si="72"/>
        <v>96.672990939739464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5.6843418860808015E-14</v>
      </c>
      <c r="EK99" s="18">
        <f>EJ99*VLOOKUP('Données projet'!$B$15,Paramètres!$A$1:$I$89,3,0)*VLOOKUP('Données projet'!$B$15,Paramètres!$A$1:$I$89,5,0)</f>
        <v>4.1677594708744434E-14</v>
      </c>
      <c r="EL99" s="14">
        <f t="shared" si="99"/>
        <v>6.9326303456159188E-13</v>
      </c>
      <c r="EM99" s="22">
        <f t="shared" si="73"/>
        <v>1.2800215959791691E-12</v>
      </c>
      <c r="EN99" s="62">
        <f t="shared" si="74"/>
        <v>276.24905219638873</v>
      </c>
      <c r="EO99" s="62">
        <f ca="1">AVERAGE(OFFSET($EN$3,0,0,'Données projet'!$E$15+1,1))-AVERAGE(OFFSET($H$3,0,0,'Données projet'!$E$15+1,1))</f>
        <v>293.59366973965774</v>
      </c>
      <c r="EP99" s="62">
        <f t="shared" si="100"/>
        <v>288.13804536120426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>
        <f>EXP(-LN(2)/35)*EV98+(1-EXP(-LN(2)/35))/(LN(2)/35)*ER99*ES99*VLOOKUP('Données projet'!$B$15,Paramètres!$A$1:$I$89,3,0)*0.475*44/12</f>
        <v>74.485747117504175</v>
      </c>
      <c r="EW99" s="23">
        <f>EXP(-LN(2)/25)*EW98+(1-EXP(-LN(2)/25))/(LN(2)/25)*Calculateur!ER99*Calculateur!ET99*VLOOKUP('Données projet'!$B$15,Paramètres!$A$1:$I$89,3,0)*0.475*44/12</f>
        <v>0</v>
      </c>
      <c r="EX99" s="23">
        <f>EXP(-LN(2)/2)*EX98+(1-EXP(-LN(2)/2))/(LN(2)/2)*ER99*EU99*VLOOKUP('Données projet'!$B$15,Paramètres!$A$1:$I$89,3,0)*0.475*44/12</f>
        <v>0</v>
      </c>
      <c r="EY99" s="24">
        <f t="shared" si="75"/>
        <v>74.485747117504175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5.6843418860808015E-14</v>
      </c>
      <c r="FF99" s="18">
        <f>FE99*VLOOKUP('Données projet'!$B$16,Paramètres!$A$1:$I$89,3,0)*VLOOKUP('Données projet'!$B$16,Paramètres!$A$1:$I$89,5,0)</f>
        <v>5.4978954722173515E-14</v>
      </c>
      <c r="FG99" s="14">
        <f t="shared" si="101"/>
        <v>8.8550225887742724E-13</v>
      </c>
      <c r="FH99" s="22">
        <f t="shared" si="76"/>
        <v>1.6380047803526383E-12</v>
      </c>
      <c r="FI99" s="62">
        <f t="shared" si="77"/>
        <v>276.24905219638907</v>
      </c>
      <c r="FJ99" s="62">
        <f ca="1">AVERAGE(OFFSET($FI$3,0,0,'Données projet'!$E$16+1,1))-AVERAGE(OFFSET($H$3,0,0,'Données projet'!$E$16+1,1))</f>
        <v>369.69145521630799</v>
      </c>
      <c r="FK99" s="62">
        <f t="shared" si="102"/>
        <v>360.24112103688719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>
        <f>EXP(-LN(2)/35)*FQ98+(1-EXP(-LN(2)/35))/(LN(2)/35)*FM99*FN99*VLOOKUP('Données projet'!$B$16,Paramètres!$A$1:$I$89,3,0)*0.475*44/12</f>
        <v>98.257794069899134</v>
      </c>
      <c r="FR99" s="23">
        <f>EXP(-LN(2)/25)*FR98+(1-EXP(-LN(2)/25))/(LN(2)/25)*Calculateur!FM99*Calculateur!FO99*VLOOKUP('Données projet'!$B$16,Paramètres!$A$1:$I$89,3,0)*0.475*44/12</f>
        <v>0</v>
      </c>
      <c r="FS99" s="23">
        <f>EXP(-LN(2)/2)*FS98+(1-EXP(-LN(2)/2))/(LN(2)/2)*FM99*FP99*VLOOKUP('Données projet'!$B$16,Paramètres!$A$1:$I$89,3,0)*0.475*44/12</f>
        <v>0</v>
      </c>
      <c r="FT99" s="24">
        <f t="shared" si="78"/>
        <v>98.257794069899134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5.6843418860808015E-14</v>
      </c>
      <c r="GA99" s="18">
        <f>FZ99*VLOOKUP('Données projet'!$B$17,Paramètres!$A$1:$I$89,3,0)*VLOOKUP('Données projet'!$B$17,Paramètres!$A$1:$I$89,5,0)</f>
        <v>6.1186256061773749E-14</v>
      </c>
      <c r="GB99" s="14">
        <f t="shared" si="103"/>
        <v>9.7328366192051127E-13</v>
      </c>
      <c r="GC99" s="22">
        <f t="shared" si="79"/>
        <v>1.8017017738191463E-12</v>
      </c>
      <c r="GD99" s="62">
        <f t="shared" si="80"/>
        <v>276.24905219638924</v>
      </c>
      <c r="GE99" s="62">
        <f ca="1">AVERAGE(OFFSET($GD$3,0,0,'Données projet'!$E$17+1,1))-AVERAGE(OFFSET($H$3,0,0,'Données projet'!$E$17+1,1))</f>
        <v>405.06394904053946</v>
      </c>
      <c r="GF99" s="62">
        <f t="shared" si="104"/>
        <v>393.75247087518198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>
        <f>EXP(-LN(2)/35)*GL98+(1-EXP(-LN(2)/35))/(LN(2)/35)*GH99*GI99*VLOOKUP('Données projet'!$B$17,Paramètres!$A$1:$I$89,3,0)*0.475*44/12</f>
        <v>109.35141598101679</v>
      </c>
      <c r="GM99" s="23">
        <f>EXP(-LN(2)/25)*GM98+(1-EXP(-LN(2)/25))/(LN(2)/25)*Calculateur!GH99*Calculateur!GJ99*VLOOKUP('Données projet'!$B$17,Paramètres!$A$1:$I$89,3,0)*0.475*44/12</f>
        <v>0</v>
      </c>
      <c r="GN99" s="23">
        <f>EXP(-LN(2)/2)*GN98+(1-EXP(-LN(2)/2))/(LN(2)/2)*GH99*GK99*VLOOKUP('Données projet'!$B$17,Paramètres!$A$1:$I$89,3,0)*0.475*44/12</f>
        <v>0</v>
      </c>
      <c r="GO99" s="23">
        <f t="shared" si="81"/>
        <v>109.35141598101679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5.6843418860808015E-14</v>
      </c>
      <c r="GV99" s="18">
        <f>GU99*VLOOKUP('Données projet'!$B$18,Paramètres!$A$1:$I$89,3,0)*VLOOKUP('Données projet'!$B$18,Paramètres!$A$1:$I$89,5,0)</f>
        <v>3.813056537183002E-14</v>
      </c>
      <c r="GW99" s="14">
        <f t="shared" si="105"/>
        <v>6.4086286045526829E-13</v>
      </c>
      <c r="GX99" s="22">
        <f t="shared" si="82"/>
        <v>1.1825802166488628E-12</v>
      </c>
      <c r="GY99" s="62">
        <f t="shared" si="83"/>
        <v>276.24905219638862</v>
      </c>
      <c r="GZ99" s="62">
        <f ca="1">AVERAGE(OFFSET($GY$3,0,0,'Données projet'!$E$18+1,1))-AVERAGE(OFFSET($H$3,0,0,'Données projet'!$E$18+1,1))</f>
        <v>273.21861937609918</v>
      </c>
      <c r="HA99" s="62">
        <f t="shared" si="106"/>
        <v>268.83004886965318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>
        <f>EXP(-LN(2)/35)*HG98+(1-EXP(-LN(2)/35))/(LN(2)/35)*HC99*HD99*VLOOKUP('Données projet'!$B$18,Paramètres!$A$1:$I$89,3,0)*0.475*44/12</f>
        <v>83.994565898462199</v>
      </c>
      <c r="HH99" s="23">
        <f>EXP(-LN(2)/25)*HH98+(1-EXP(-LN(2)/25))/(LN(2)/25)*Calculateur!HC99*Calculateur!HE99*VLOOKUP('Données projet'!$B$18,Paramètres!$A$1:$I$89,3,0)*0.475*44/12</f>
        <v>0</v>
      </c>
      <c r="HI99" s="23">
        <f>EXP(-LN(2)/2)*HI98+(1-EXP(-LN(2)/2))/(LN(2)/2)*HC99*HF99*VLOOKUP('Données projet'!$B$18,Paramètres!$A$1:$I$89,3,0)*0.475*44/12</f>
        <v>0</v>
      </c>
      <c r="HJ99" s="24">
        <f t="shared" si="84"/>
        <v>83.994565898462199</v>
      </c>
    </row>
    <row r="100" spans="1:218" s="5" customFormat="1" x14ac:dyDescent="0.4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5.7</v>
      </c>
      <c r="N100" s="14">
        <f>IF('Données projet'!$A$36&gt;35,N99+M100-V99,IF(A100&lt;'Données projet'!$A$36,$K$205^A100,IF(A100='Données projet'!$A$36,'Données projet'!$B$36,N99+M100-V99)))</f>
        <v>235.2999999999999</v>
      </c>
      <c r="O100" s="14">
        <f>N100*VLOOKUP('Données projet'!$B$9,Paramètres!$A$1:$I$89,3,0)*VLOOKUP('Données projet'!$B$9,Paramètres!$A$1:$I$89,5,0)</f>
        <v>212.89943999999991</v>
      </c>
      <c r="P100" s="14">
        <f t="shared" si="87"/>
        <v>52.568679748625613</v>
      </c>
      <c r="Q100" s="22">
        <f t="shared" si="107"/>
        <v>462.35697522885613</v>
      </c>
      <c r="R100" s="62">
        <f t="shared" si="55"/>
        <v>738.90240150823888</v>
      </c>
      <c r="S100" s="62">
        <f ca="1">AVERAGE(OFFSET($R$3,0,0,'Données projet'!$E$9+1,1))-AVERAGE(OFFSET($H$3,0,0,'Données projet'!$E$9+1,1))</f>
        <v>432.80275651765203</v>
      </c>
      <c r="T100" s="62">
        <f t="shared" si="88"/>
        <v>203.89279893419919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14.775359434432071</v>
      </c>
      <c r="AA100" s="23">
        <f>EXP(-LN(2)/25)*AA99+(1-EXP(-LN(2)/25))/(LN(2)/25)*Calculateur!V100*Calculateur!X100*VLOOKUP('Données projet'!$B$9,Paramètres!$A$1:$I$89,3,0)*0.475*44/12</f>
        <v>10.288500560123721</v>
      </c>
      <c r="AB100" s="23">
        <f>EXP(-LN(2)/2)*AB99+(1-EXP(-LN(2)/2))/(LN(2)/2)*V100*Y100*VLOOKUP('Données projet'!$B$9,Paramètres!$A$1:$I$89,3,0)*0.475*44/12</f>
        <v>0</v>
      </c>
      <c r="AC100" s="24">
        <f t="shared" si="57"/>
        <v>25.063859994555791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54.000000000000341</v>
      </c>
      <c r="AJ100" s="14">
        <f>AI100*VLOOKUP('Données projet'!$B$10,Paramètres!$A$1:$I$89,3,0)*VLOOKUP('Données projet'!$B$10,Paramètres!$A$1:$I$89,5,0)</f>
        <v>23.868000000000151</v>
      </c>
      <c r="AK100" s="14">
        <f t="shared" si="89"/>
        <v>7.6030930962115804</v>
      </c>
      <c r="AL100" s="22">
        <f t="shared" si="58"/>
        <v>54.812153809235433</v>
      </c>
      <c r="AM100" s="62">
        <f t="shared" si="59"/>
        <v>331.35758008861825</v>
      </c>
      <c r="AN100" s="62">
        <f ca="1">AVERAGE(OFFSET($AM$3,0,0,'Données projet'!$E$10+1,1))-AVERAGE(OFFSET($H$3,0,0,'Données projet'!$E$10+1,1))</f>
        <v>413.08876898406481</v>
      </c>
      <c r="AO100" s="62">
        <f t="shared" si="90"/>
        <v>520.31320932826566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132.04212639106947</v>
      </c>
      <c r="AV100" s="23">
        <f>EXP(-LN(2)/25)*AV99+(1-EXP(-LN(2)/25))/(LN(2)/25)*Calculateur!AQ100*Calculateur!AS100*VLOOKUP('Données projet'!$B$10,Paramètres!$A$1:$I$89,3,0)*0.475*44/12</f>
        <v>7.2336460205729676</v>
      </c>
      <c r="AW100" s="23">
        <f>EXP(-LN(2)/2)*AW99+(1-EXP(-LN(2)/2))/(LN(2)/2)*AQ100*AT100*VLOOKUP('Données projet'!$B$10,Paramètres!$A$1:$I$89,3,0)*0.475*44/12</f>
        <v>6.0023659058510087E-8</v>
      </c>
      <c r="AX100" s="23">
        <f t="shared" si="60"/>
        <v>139.2757724716661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0</v>
      </c>
      <c r="BD100" s="13">
        <f>IF('Données projet'!$A$88&gt;35,BD99+BC100-BL99,IF(A100&lt;'Données projet'!$A$88,$BA$205^A100,IF(A100='Données projet'!$A$88,'Données projet'!$B$88,BD99+BC100-BL99)))</f>
        <v>54.000000000000341</v>
      </c>
      <c r="BE100" s="14">
        <f>BD100*VLOOKUP('Données projet'!$B$11,Paramètres!$A$1:$I$89,3,0)*VLOOKUP('Données projet'!$B$11,Paramètres!$A$1:$I$89,5,0)</f>
        <v>30.186000000000188</v>
      </c>
      <c r="BF100" s="14">
        <f t="shared" si="91"/>
        <v>9.3563888882899153</v>
      </c>
      <c r="BG100" s="22">
        <f t="shared" si="61"/>
        <v>68.869660647105263</v>
      </c>
      <c r="BH100" s="62">
        <f t="shared" si="62"/>
        <v>345.41508692648807</v>
      </c>
      <c r="BI100" s="62">
        <f ca="1">AVERAGE(OFFSET($BH$3,0,0,'Données projet'!$E$11+1,1))-AVERAGE(OFFSET($H$3,0,0,'Données projet'!$E$11+1,1))</f>
        <v>507.66185230065889</v>
      </c>
      <c r="BJ100" s="62">
        <f t="shared" si="92"/>
        <v>640.14375617778342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166.99445396517601</v>
      </c>
      <c r="BQ100" s="23">
        <f>EXP(-LN(2)/25)*BQ99+(1-EXP(-LN(2)/25))/(LN(2)/25)*Calculateur!BL100*Calculateur!BN100*VLOOKUP('Données projet'!$B$11,Paramètres!$A$1:$I$89,3,0)*0.475*44/12</f>
        <v>9.148434673077583</v>
      </c>
      <c r="BR100" s="23">
        <f>EXP(-LN(2)/2)*BR99+(1-EXP(-LN(2)/2))/(LN(2)/2)*BL100*BO100*VLOOKUP('Données projet'!$B$11,Paramètres!$A$1:$I$89,3,0)*0.475*44/12</f>
        <v>7.5912274691645163E-8</v>
      </c>
      <c r="BS100" s="24">
        <f t="shared" si="63"/>
        <v>176.14288871416588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15.160379742999993</v>
      </c>
      <c r="BY100" s="13">
        <f>IF('Données projet'!$A$114&gt;35,BY99+BX100-CG99,IF(A100&lt;'Données projet'!$A$114,$BV$205^A100,IF(A100='Données projet'!$A$114,'Données projet'!$B$114,BY99+BX100-CG99)))</f>
        <v>475.829860371</v>
      </c>
      <c r="BZ100" s="14">
        <f>BY100*VLOOKUP('Données projet'!$B$12,Paramètres!$A$1:$I$89,3,0)*VLOOKUP('Données projet'!$B$12,Paramètres!$A$1:$I$89,5,0)</f>
        <v>222.68837465362799</v>
      </c>
      <c r="CA100" s="14">
        <f t="shared" si="93"/>
        <v>54.698776990311472</v>
      </c>
      <c r="CB100" s="22">
        <f t="shared" si="64"/>
        <v>483.11595577986117</v>
      </c>
      <c r="CC100" s="62">
        <f t="shared" si="65"/>
        <v>759.66138205924403</v>
      </c>
      <c r="CD100" s="62">
        <f ca="1">AVERAGE(OFFSET($CC$3,0,0,'Données projet'!$E$12+1,1))-AVERAGE(OFFSET($H$3,0,0,'Données projet'!$E$12+1,1))</f>
        <v>289.21044803824958</v>
      </c>
      <c r="CE100" s="62">
        <f t="shared" si="94"/>
        <v>196.11836398299445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>
        <f>EXP(-LN(2)/35)*CK99+(1-EXP(-LN(2)/35))/(LN(2)/35)*CG100*CH100*VLOOKUP('Données projet'!$B$12,Paramètres!$A$1:$I$89,3,0)*0.475*44/12</f>
        <v>35.307990191360574</v>
      </c>
      <c r="CL100" s="23">
        <f>EXP(-LN(2)/25)*CL99+(1-EXP(-LN(2)/25))/(LN(2)/25)*Calculateur!CG100*Calculateur!CI100*VLOOKUP('Données projet'!$B$12,Paramètres!$A$1:$I$89,3,0)*0.475*44/12</f>
        <v>34.839719641885331</v>
      </c>
      <c r="CM100" s="23">
        <f>EXP(-LN(2)/2)*CM99+(1-EXP(-LN(2)/2))/(LN(2)/2)*CG100*CJ100*VLOOKUP('Données projet'!$B$12,Paramètres!$A$1:$I$89,3,0)*0.475*44/12</f>
        <v>0</v>
      </c>
      <c r="CN100" s="24">
        <f t="shared" si="66"/>
        <v>70.147709833245898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-5.6843418860808015E-14</v>
      </c>
      <c r="CU100" s="18">
        <f>CT100*VLOOKUP('Données projet'!$B$13,Paramètres!$A$1:$I$89,3,0)*VLOOKUP('Données projet'!$B$13,Paramètres!$A$1:$I$89,5,0)</f>
        <v>-5.1431925385259088E-14</v>
      </c>
      <c r="CV100" s="14" t="e">
        <f t="shared" si="95"/>
        <v>#NUM!</v>
      </c>
      <c r="CW100" s="22" t="e">
        <f t="shared" si="67"/>
        <v>#NUM!</v>
      </c>
      <c r="CX100" s="62" t="e">
        <f t="shared" si="68"/>
        <v>#NUM!</v>
      </c>
      <c r="CY100" s="62">
        <f ca="1">AVERAGE(OFFSET($CX$3,0,0,'Données projet'!$E$13+1,1))-AVERAGE(OFFSET($H$3,0,0,'Données projet'!$E$13+1,1))</f>
        <v>376.68007030857598</v>
      </c>
      <c r="CZ100" s="62">
        <f t="shared" si="96"/>
        <v>532.90758914457626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>
        <f>EXP(-LN(2)/35)*DF99+(1-EXP(-LN(2)/35))/(LN(2)/35)*DB100*DC100*VLOOKUP('Données projet'!$B$13,Paramètres!$A$1:$I$89,3,0)*0.475*44/12</f>
        <v>33.429585064017878</v>
      </c>
      <c r="DG100" s="23">
        <f>EXP(-LN(2)/25)*DG99+(1-EXP(-LN(2)/25))/(LN(2)/25)*Calculateur!DB100*Calculateur!DD100*VLOOKUP('Données projet'!$B$13,Paramètres!$A$1:$I$89,3,0)*0.475*44/12</f>
        <v>2.044180557696031</v>
      </c>
      <c r="DH100" s="23">
        <f>EXP(-LN(2)/2)*DH99+(1-EXP(-LN(2)/2))/(LN(2)/2)*DB100*DE100*VLOOKUP('Données projet'!$B$13,Paramètres!$A$1:$I$89,3,0)*0.475*44/12</f>
        <v>0</v>
      </c>
      <c r="DI100" s="24">
        <f t="shared" si="69"/>
        <v>35.473765621713909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5.6843418860808015E-14</v>
      </c>
      <c r="DP100" s="18">
        <f>DO100*VLOOKUP('Données projet'!$B$14,Paramètres!$A$1:$I$89,3,0)*VLOOKUP('Données projet'!$B$14,Paramètres!$A$1:$I$89,5,0)</f>
        <v>5.4092197387944907E-14</v>
      </c>
      <c r="DQ100" s="14">
        <f t="shared" si="97"/>
        <v>8.7287050538073676E-13</v>
      </c>
      <c r="DR100" s="22">
        <f t="shared" si="70"/>
        <v>1.6144600406554537E-12</v>
      </c>
      <c r="DS100" s="62">
        <f t="shared" si="71"/>
        <v>276.5454262793844</v>
      </c>
      <c r="DT100" s="62">
        <f ca="1">AVERAGE(OFFSET($DS$3,0,0,'Données projet'!$E$14+1,1))-AVERAGE(OFFSET($H$3,0,0,'Données projet'!$E$14+1,1))</f>
        <v>364.63161066507769</v>
      </c>
      <c r="DU100" s="62">
        <f t="shared" si="98"/>
        <v>355.44729904860708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>
        <f>EXP(-LN(2)/35)*EA99+(1-EXP(-LN(2)/35))/(LN(2)/35)*DW100*DX100*VLOOKUP('Données projet'!$B$14,Paramètres!$A$1:$I$89,3,0)*0.475*44/12</f>
        <v>94.777292552113366</v>
      </c>
      <c r="EB100" s="23">
        <f>EXP(-LN(2)/25)*EB99+(1-EXP(-LN(2)/25))/(LN(2)/25)*Calculateur!DW100*Calculateur!DY100*VLOOKUP('Données projet'!$B$14,Paramètres!$A$1:$I$89,3,0)*0.475*44/12</f>
        <v>0</v>
      </c>
      <c r="EC100" s="23">
        <f>EXP(-LN(2)/2)*EC99+(1-EXP(-LN(2)/2))/(LN(2)/2)*DW100*DZ100*VLOOKUP('Données projet'!$B$14,Paramètres!$A$1:$I$89,3,0)*0.475*44/12</f>
        <v>0</v>
      </c>
      <c r="ED100" s="24">
        <f t="shared" si="72"/>
        <v>94.777292552113366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5.6843418860808015E-14</v>
      </c>
      <c r="EK100" s="18">
        <f>EJ100*VLOOKUP('Données projet'!$B$15,Paramètres!$A$1:$I$89,3,0)*VLOOKUP('Données projet'!$B$15,Paramètres!$A$1:$I$89,5,0)</f>
        <v>4.1677594708744434E-14</v>
      </c>
      <c r="EL100" s="14">
        <f t="shared" si="99"/>
        <v>6.9326303456159188E-13</v>
      </c>
      <c r="EM100" s="22">
        <f t="shared" si="73"/>
        <v>1.2800215959791691E-12</v>
      </c>
      <c r="EN100" s="62">
        <f t="shared" si="74"/>
        <v>276.54542627938412</v>
      </c>
      <c r="EO100" s="62">
        <f ca="1">AVERAGE(OFFSET($EN$3,0,0,'Données projet'!$E$15+1,1))-AVERAGE(OFFSET($H$3,0,0,'Données projet'!$E$15+1,1))</f>
        <v>293.59366973965774</v>
      </c>
      <c r="EP100" s="62">
        <f t="shared" si="100"/>
        <v>288.13804536120426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>
        <f>EXP(-LN(2)/35)*EV99+(1-EXP(-LN(2)/35))/(LN(2)/35)*ER100*ES100*VLOOKUP('Données projet'!$B$15,Paramètres!$A$1:$I$89,3,0)*0.475*44/12</f>
        <v>73.025127048349646</v>
      </c>
      <c r="EW100" s="23">
        <f>EXP(-LN(2)/25)*EW99+(1-EXP(-LN(2)/25))/(LN(2)/25)*Calculateur!ER100*Calculateur!ET100*VLOOKUP('Données projet'!$B$15,Paramètres!$A$1:$I$89,3,0)*0.475*44/12</f>
        <v>0</v>
      </c>
      <c r="EX100" s="23">
        <f>EXP(-LN(2)/2)*EX99+(1-EXP(-LN(2)/2))/(LN(2)/2)*ER100*EU100*VLOOKUP('Données projet'!$B$15,Paramètres!$A$1:$I$89,3,0)*0.475*44/12</f>
        <v>0</v>
      </c>
      <c r="EY100" s="24">
        <f t="shared" si="75"/>
        <v>73.025127048349646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5.6843418860808015E-14</v>
      </c>
      <c r="FF100" s="18">
        <f>FE100*VLOOKUP('Données projet'!$B$16,Paramètres!$A$1:$I$89,3,0)*VLOOKUP('Données projet'!$B$16,Paramètres!$A$1:$I$89,5,0)</f>
        <v>5.4978954722173515E-14</v>
      </c>
      <c r="FG100" s="14">
        <f t="shared" si="101"/>
        <v>8.8550225887742724E-13</v>
      </c>
      <c r="FH100" s="22">
        <f t="shared" si="76"/>
        <v>1.6380047803526383E-12</v>
      </c>
      <c r="FI100" s="62">
        <f t="shared" si="77"/>
        <v>276.54542627938446</v>
      </c>
      <c r="FJ100" s="62">
        <f ca="1">AVERAGE(OFFSET($FI$3,0,0,'Données projet'!$E$16+1,1))-AVERAGE(OFFSET($H$3,0,0,'Données projet'!$E$16+1,1))</f>
        <v>369.69145521630799</v>
      </c>
      <c r="FK100" s="62">
        <f t="shared" si="102"/>
        <v>360.24112103688719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>
        <f>EXP(-LN(2)/35)*FQ99+(1-EXP(-LN(2)/35))/(LN(2)/35)*FM100*FN100*VLOOKUP('Données projet'!$B$16,Paramètres!$A$1:$I$89,3,0)*0.475*44/12</f>
        <v>96.331018659525071</v>
      </c>
      <c r="FR100" s="23">
        <f>EXP(-LN(2)/25)*FR99+(1-EXP(-LN(2)/25))/(LN(2)/25)*Calculateur!FM100*Calculateur!FO100*VLOOKUP('Données projet'!$B$16,Paramètres!$A$1:$I$89,3,0)*0.475*44/12</f>
        <v>0</v>
      </c>
      <c r="FS100" s="23">
        <f>EXP(-LN(2)/2)*FS99+(1-EXP(-LN(2)/2))/(LN(2)/2)*FM100*FP100*VLOOKUP('Données projet'!$B$16,Paramètres!$A$1:$I$89,3,0)*0.475*44/12</f>
        <v>0</v>
      </c>
      <c r="FT100" s="24">
        <f t="shared" si="78"/>
        <v>96.331018659525071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5.6843418860808015E-14</v>
      </c>
      <c r="GA100" s="18">
        <f>FZ100*VLOOKUP('Données projet'!$B$17,Paramètres!$A$1:$I$89,3,0)*VLOOKUP('Données projet'!$B$17,Paramètres!$A$1:$I$89,5,0)</f>
        <v>6.1186256061773749E-14</v>
      </c>
      <c r="GB100" s="14">
        <f t="shared" si="103"/>
        <v>9.7328366192051127E-13</v>
      </c>
      <c r="GC100" s="22">
        <f t="shared" si="79"/>
        <v>1.8017017738191463E-12</v>
      </c>
      <c r="GD100" s="62">
        <f t="shared" si="80"/>
        <v>276.54542627938463</v>
      </c>
      <c r="GE100" s="62">
        <f ca="1">AVERAGE(OFFSET($GD$3,0,0,'Données projet'!$E$17+1,1))-AVERAGE(OFFSET($H$3,0,0,'Données projet'!$E$17+1,1))</f>
        <v>405.06394904053946</v>
      </c>
      <c r="GF100" s="62">
        <f t="shared" si="104"/>
        <v>393.75247087518198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>
        <f>EXP(-LN(2)/35)*GL99+(1-EXP(-LN(2)/35))/(LN(2)/35)*GH100*GI100*VLOOKUP('Données projet'!$B$17,Paramètres!$A$1:$I$89,3,0)*0.475*44/12</f>
        <v>107.20710141140694</v>
      </c>
      <c r="GM100" s="23">
        <f>EXP(-LN(2)/25)*GM99+(1-EXP(-LN(2)/25))/(LN(2)/25)*Calculateur!GH100*Calculateur!GJ100*VLOOKUP('Données projet'!$B$17,Paramètres!$A$1:$I$89,3,0)*0.475*44/12</f>
        <v>0</v>
      </c>
      <c r="GN100" s="23">
        <f>EXP(-LN(2)/2)*GN99+(1-EXP(-LN(2)/2))/(LN(2)/2)*GH100*GK100*VLOOKUP('Données projet'!$B$17,Paramètres!$A$1:$I$89,3,0)*0.475*44/12</f>
        <v>0</v>
      </c>
      <c r="GO100" s="23">
        <f t="shared" si="81"/>
        <v>107.20710141140694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5.6843418860808015E-14</v>
      </c>
      <c r="GV100" s="18">
        <f>GU100*VLOOKUP('Données projet'!$B$18,Paramètres!$A$1:$I$89,3,0)*VLOOKUP('Données projet'!$B$18,Paramètres!$A$1:$I$89,5,0)</f>
        <v>3.813056537183002E-14</v>
      </c>
      <c r="GW100" s="14">
        <f t="shared" si="105"/>
        <v>6.4086286045526829E-13</v>
      </c>
      <c r="GX100" s="22">
        <f t="shared" si="82"/>
        <v>1.1825802166488628E-12</v>
      </c>
      <c r="GY100" s="62">
        <f t="shared" si="83"/>
        <v>276.545426279384</v>
      </c>
      <c r="GZ100" s="62">
        <f ca="1">AVERAGE(OFFSET($GY$3,0,0,'Données projet'!$E$18+1,1))-AVERAGE(OFFSET($H$3,0,0,'Données projet'!$E$18+1,1))</f>
        <v>273.21861937609918</v>
      </c>
      <c r="HA100" s="62">
        <f t="shared" si="106"/>
        <v>268.83004886965318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>
        <f>EXP(-LN(2)/35)*HG99+(1-EXP(-LN(2)/35))/(LN(2)/35)*HC100*HD100*VLOOKUP('Données projet'!$B$18,Paramètres!$A$1:$I$89,3,0)*0.475*44/12</f>
        <v>82.34748369281985</v>
      </c>
      <c r="HH100" s="23">
        <f>EXP(-LN(2)/25)*HH99+(1-EXP(-LN(2)/25))/(LN(2)/25)*Calculateur!HC100*Calculateur!HE100*VLOOKUP('Données projet'!$B$18,Paramètres!$A$1:$I$89,3,0)*0.475*44/12</f>
        <v>0</v>
      </c>
      <c r="HI100" s="23">
        <f>EXP(-LN(2)/2)*HI99+(1-EXP(-LN(2)/2))/(LN(2)/2)*HC100*HF100*VLOOKUP('Données projet'!$B$18,Paramètres!$A$1:$I$89,3,0)*0.475*44/12</f>
        <v>0</v>
      </c>
      <c r="HJ100" s="24">
        <f t="shared" si="84"/>
        <v>82.34748369281985</v>
      </c>
    </row>
    <row r="101" spans="1:218" s="5" customFormat="1" x14ac:dyDescent="0.4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>
        <f>VLOOKUP(A101,'Données projet'!$A$35:$I$55,2,0)</f>
        <v>241</v>
      </c>
      <c r="L101" s="13">
        <f>VLOOKUP(A101,'Données projet'!$A$35:$I$55,9,0)</f>
        <v>5.7</v>
      </c>
      <c r="M101" s="13">
        <f t="array" ref="M101">INDEX(L:L,MIN(IF(ISNUMBER(L101:L297),ROW(L101:L297),"")))</f>
        <v>5.7</v>
      </c>
      <c r="N101" s="14">
        <f>IF('Données projet'!$A$36&gt;35,N100+M101-V100,IF(A101&lt;'Données projet'!$A$36,$K$205^A101,IF(A101='Données projet'!$A$36,'Données projet'!$B$36,N100+M101-V100)))</f>
        <v>240.99999999999989</v>
      </c>
      <c r="O101" s="14">
        <f>N101*VLOOKUP('Données projet'!$B$9,Paramètres!$A$1:$I$89,3,0)*VLOOKUP('Données projet'!$B$9,Paramètres!$A$1:$I$89,5,0)</f>
        <v>218.05679999999987</v>
      </c>
      <c r="P101" s="14">
        <f t="shared" si="87"/>
        <v>53.69232297195181</v>
      </c>
      <c r="Q101" s="22">
        <f t="shared" si="107"/>
        <v>473.29638917614921</v>
      </c>
      <c r="R101" s="62">
        <f t="shared" si="55"/>
        <v>750.13304811078058</v>
      </c>
      <c r="S101" s="62">
        <f ca="1">AVERAGE(OFFSET($R$3,0,0,'Données projet'!$E$9+1,1))-AVERAGE(OFFSET($H$3,0,0,'Données projet'!$E$9+1,1))</f>
        <v>432.80275651765203</v>
      </c>
      <c r="T101" s="62">
        <f t="shared" si="88"/>
        <v>203.89279893419919</v>
      </c>
      <c r="U101" s="16">
        <f>IF(ISNA(VLOOKUP(A101,'Données projet'!$A$35:$I$55,3,0)),0,VLOOKUP(A101,'Données projet'!$A$35:$I$55,3,0))</f>
        <v>6</v>
      </c>
      <c r="V101" s="16">
        <f>IF(ISNA(VLOOKUP(A101,'Données projet'!$A$35:$I$55,4,0)),0,VLOOKUP(A101,'Données projet'!$A$35:$I$55,4,0))</f>
        <v>34</v>
      </c>
      <c r="W101" s="17">
        <f>IF(ISNA(VLOOKUP(A101,'Données projet'!$A$35:$I$55,5,0)),0%,VLOOKUP(A101,'Données projet'!$A$35:$I$55,5,0)*VLOOKUP('Données projet'!$B$9,Paramètres!$A$1:$I$89,7,0))</f>
        <v>0.215</v>
      </c>
      <c r="X101" s="17">
        <f>IF(ISNA(VLOOKUP(A101,'Données projet'!$A$35:$I$55,6,0)),0%,VLOOKUP(A101,'Données projet'!$A$35:$I$55,6,0)*VLOOKUP('Données projet'!$B$9,Paramètres!$A$1:$I$89,7,0))</f>
        <v>0.17200000000000001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21.797302019626571</v>
      </c>
      <c r="AA101" s="23">
        <f>EXP(-LN(2)/25)*AA100+(1-EXP(-LN(2)/25))/(LN(2)/25)*Calculateur!V101*Calculateur!X101*VLOOKUP('Données projet'!$B$9,Paramètres!$A$1:$I$89,3,0)*0.475*44/12</f>
        <v>15.833472577584306</v>
      </c>
      <c r="AB101" s="23">
        <f>EXP(-LN(2)/2)*AB100+(1-EXP(-LN(2)/2))/(LN(2)/2)*V101*Y101*VLOOKUP('Données projet'!$B$9,Paramètres!$A$1:$I$89,3,0)*0.475*44/12</f>
        <v>0</v>
      </c>
      <c r="AC101" s="24">
        <f t="shared" si="57"/>
        <v>37.630774597210873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54.000000000000341</v>
      </c>
      <c r="AJ101" s="14">
        <f>AI101*VLOOKUP('Données projet'!$B$10,Paramètres!$A$1:$I$89,3,0)*VLOOKUP('Données projet'!$B$10,Paramètres!$A$1:$I$89,5,0)</f>
        <v>23.868000000000151</v>
      </c>
      <c r="AK101" s="14">
        <f t="shared" si="89"/>
        <v>7.6030930962115804</v>
      </c>
      <c r="AL101" s="22">
        <f t="shared" si="58"/>
        <v>54.812153809235433</v>
      </c>
      <c r="AM101" s="62">
        <f t="shared" si="59"/>
        <v>331.64881274386681</v>
      </c>
      <c r="AN101" s="62">
        <f ca="1">AVERAGE(OFFSET($AM$3,0,0,'Données projet'!$E$10+1,1))-AVERAGE(OFFSET($H$3,0,0,'Données projet'!$E$10+1,1))</f>
        <v>413.08876898406481</v>
      </c>
      <c r="AO101" s="62">
        <f t="shared" si="90"/>
        <v>520.31320932826566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129.45286083028526</v>
      </c>
      <c r="AV101" s="23">
        <f>EXP(-LN(2)/25)*AV100+(1-EXP(-LN(2)/25))/(LN(2)/25)*Calculateur!AQ101*Calculateur!AS101*VLOOKUP('Données projet'!$B$10,Paramètres!$A$1:$I$89,3,0)*0.475*44/12</f>
        <v>7.0358415897394879</v>
      </c>
      <c r="AW101" s="23">
        <f>EXP(-LN(2)/2)*AW100+(1-EXP(-LN(2)/2))/(LN(2)/2)*AQ101*AT101*VLOOKUP('Données projet'!$B$10,Paramètres!$A$1:$I$89,3,0)*0.475*44/12</f>
        <v>4.2443136351901825E-8</v>
      </c>
      <c r="AX101" s="23">
        <f t="shared" si="60"/>
        <v>136.48870246246787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0</v>
      </c>
      <c r="BD101" s="13">
        <f>IF('Données projet'!$A$88&gt;35,BD100+BC101-BL100,IF(A101&lt;'Données projet'!$A$88,$BA$205^A101,IF(A101='Données projet'!$A$88,'Données projet'!$B$88,BD100+BC101-BL100)))</f>
        <v>54.000000000000341</v>
      </c>
      <c r="BE101" s="14">
        <f>BD101*VLOOKUP('Données projet'!$B$11,Paramètres!$A$1:$I$89,3,0)*VLOOKUP('Données projet'!$B$11,Paramètres!$A$1:$I$89,5,0)</f>
        <v>30.186000000000188</v>
      </c>
      <c r="BF101" s="14">
        <f t="shared" si="91"/>
        <v>9.3563888882899153</v>
      </c>
      <c r="BG101" s="22">
        <f t="shared" si="61"/>
        <v>68.869660647105263</v>
      </c>
      <c r="BH101" s="62">
        <f t="shared" si="62"/>
        <v>345.70631958173664</v>
      </c>
      <c r="BI101" s="62">
        <f ca="1">AVERAGE(OFFSET($BH$3,0,0,'Données projet'!$E$11+1,1))-AVERAGE(OFFSET($H$3,0,0,'Données projet'!$E$11+1,1))</f>
        <v>507.66185230065889</v>
      </c>
      <c r="BJ101" s="62">
        <f t="shared" si="92"/>
        <v>640.14375617778342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163.71979457947833</v>
      </c>
      <c r="BQ101" s="23">
        <f>EXP(-LN(2)/25)*BQ100+(1-EXP(-LN(2)/25))/(LN(2)/25)*Calculateur!BL101*Calculateur!BN101*VLOOKUP('Données projet'!$B$11,Paramètres!$A$1:$I$89,3,0)*0.475*44/12</f>
        <v>8.8982702458470069</v>
      </c>
      <c r="BR101" s="23">
        <f>EXP(-LN(2)/2)*BR100+(1-EXP(-LN(2)/2))/(LN(2)/2)*BL101*BO101*VLOOKUP('Données projet'!$B$11,Paramètres!$A$1:$I$89,3,0)*0.475*44/12</f>
        <v>5.3678084209758226E-8</v>
      </c>
      <c r="BS101" s="24">
        <f t="shared" si="63"/>
        <v>172.61806487900344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15.160379742999993</v>
      </c>
      <c r="BY101" s="13">
        <f>IF('Données projet'!$A$114&gt;35,BY100+BX101-CG100,IF(A101&lt;'Données projet'!$A$114,$BV$205^A101,IF(A101='Données projet'!$A$114,'Données projet'!$B$114,BY100+BX101-CG100)))</f>
        <v>490.99024011400002</v>
      </c>
      <c r="BZ101" s="14">
        <f>BY101*VLOOKUP('Données projet'!$B$12,Paramètres!$A$1:$I$89,3,0)*VLOOKUP('Données projet'!$B$12,Paramètres!$A$1:$I$89,5,0)</f>
        <v>229.78343237335201</v>
      </c>
      <c r="CA101" s="14">
        <f t="shared" si="93"/>
        <v>56.235851979841371</v>
      </c>
      <c r="CB101" s="22">
        <f t="shared" si="64"/>
        <v>498.1502535818118</v>
      </c>
      <c r="CC101" s="62">
        <f t="shared" si="65"/>
        <v>774.98691251644323</v>
      </c>
      <c r="CD101" s="62">
        <f ca="1">AVERAGE(OFFSET($CC$3,0,0,'Données projet'!$E$12+1,1))-AVERAGE(OFFSET($H$3,0,0,'Données projet'!$E$12+1,1))</f>
        <v>289.21044803824958</v>
      </c>
      <c r="CE101" s="62">
        <f t="shared" si="94"/>
        <v>196.11836398299445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>
        <f>EXP(-LN(2)/35)*CK100+(1-EXP(-LN(2)/35))/(LN(2)/35)*CG101*CH101*VLOOKUP('Données projet'!$B$12,Paramètres!$A$1:$I$89,3,0)*0.475*44/12</f>
        <v>34.615622039455531</v>
      </c>
      <c r="CL101" s="23">
        <f>EXP(-LN(2)/25)*CL100+(1-EXP(-LN(2)/25))/(LN(2)/25)*Calculateur!CG101*Calculateur!CI101*VLOOKUP('Données projet'!$B$12,Paramètres!$A$1:$I$89,3,0)*0.475*44/12</f>
        <v>33.887025676136751</v>
      </c>
      <c r="CM101" s="23">
        <f>EXP(-LN(2)/2)*CM100+(1-EXP(-LN(2)/2))/(LN(2)/2)*CG101*CJ101*VLOOKUP('Données projet'!$B$12,Paramètres!$A$1:$I$89,3,0)*0.475*44/12</f>
        <v>0</v>
      </c>
      <c r="CN101" s="24">
        <f t="shared" si="66"/>
        <v>68.502647715592275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-5.6843418860808015E-14</v>
      </c>
      <c r="CU101" s="18">
        <f>CT101*VLOOKUP('Données projet'!$B$13,Paramètres!$A$1:$I$89,3,0)*VLOOKUP('Données projet'!$B$13,Paramètres!$A$1:$I$89,5,0)</f>
        <v>-5.1431925385259088E-14</v>
      </c>
      <c r="CV101" s="14" t="e">
        <f t="shared" si="95"/>
        <v>#NUM!</v>
      </c>
      <c r="CW101" s="22" t="e">
        <f t="shared" si="67"/>
        <v>#NUM!</v>
      </c>
      <c r="CX101" s="62" t="e">
        <f t="shared" si="68"/>
        <v>#NUM!</v>
      </c>
      <c r="CY101" s="62">
        <f ca="1">AVERAGE(OFFSET($CX$3,0,0,'Données projet'!$E$13+1,1))-AVERAGE(OFFSET($H$3,0,0,'Données projet'!$E$13+1,1))</f>
        <v>376.68007030857598</v>
      </c>
      <c r="CZ101" s="62">
        <f t="shared" si="96"/>
        <v>532.90758914457626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>
        <f>EXP(-LN(2)/35)*DF100+(1-EXP(-LN(2)/35))/(LN(2)/35)*DB101*DC101*VLOOKUP('Données projet'!$B$13,Paramètres!$A$1:$I$89,3,0)*0.475*44/12</f>
        <v>32.774051290946026</v>
      </c>
      <c r="DG101" s="23">
        <f>EXP(-LN(2)/25)*DG100+(1-EXP(-LN(2)/25))/(LN(2)/25)*Calculateur!DB101*Calculateur!DD101*VLOOKUP('Données projet'!$B$13,Paramètres!$A$1:$I$89,3,0)*0.475*44/12</f>
        <v>1.9882823328470496</v>
      </c>
      <c r="DH101" s="23">
        <f>EXP(-LN(2)/2)*DH100+(1-EXP(-LN(2)/2))/(LN(2)/2)*DB101*DE101*VLOOKUP('Données projet'!$B$13,Paramètres!$A$1:$I$89,3,0)*0.475*44/12</f>
        <v>0</v>
      </c>
      <c r="DI101" s="24">
        <f t="shared" si="69"/>
        <v>34.762333623793076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5.6843418860808015E-14</v>
      </c>
      <c r="DP101" s="18">
        <f>DO101*VLOOKUP('Données projet'!$B$14,Paramètres!$A$1:$I$89,3,0)*VLOOKUP('Données projet'!$B$14,Paramètres!$A$1:$I$89,5,0)</f>
        <v>5.4092197387944907E-14</v>
      </c>
      <c r="DQ101" s="14">
        <f t="shared" si="97"/>
        <v>8.7287050538073676E-13</v>
      </c>
      <c r="DR101" s="22">
        <f t="shared" si="70"/>
        <v>1.6144600406554537E-12</v>
      </c>
      <c r="DS101" s="62">
        <f t="shared" si="71"/>
        <v>276.83665893463296</v>
      </c>
      <c r="DT101" s="62">
        <f ca="1">AVERAGE(OFFSET($DS$3,0,0,'Données projet'!$E$14+1,1))-AVERAGE(OFFSET($H$3,0,0,'Données projet'!$E$14+1,1))</f>
        <v>364.63161066507769</v>
      </c>
      <c r="DU101" s="62">
        <f t="shared" si="98"/>
        <v>355.44729904860708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>
        <f>EXP(-LN(2)/35)*EA100+(1-EXP(-LN(2)/35))/(LN(2)/35)*DW101*DX101*VLOOKUP('Données projet'!$B$14,Paramètres!$A$1:$I$89,3,0)*0.475*44/12</f>
        <v>92.918767653606764</v>
      </c>
      <c r="EB101" s="23">
        <f>EXP(-LN(2)/25)*EB100+(1-EXP(-LN(2)/25))/(LN(2)/25)*Calculateur!DW101*Calculateur!DY101*VLOOKUP('Données projet'!$B$14,Paramètres!$A$1:$I$89,3,0)*0.475*44/12</f>
        <v>0</v>
      </c>
      <c r="EC101" s="23">
        <f>EXP(-LN(2)/2)*EC100+(1-EXP(-LN(2)/2))/(LN(2)/2)*DW101*DZ101*VLOOKUP('Données projet'!$B$14,Paramètres!$A$1:$I$89,3,0)*0.475*44/12</f>
        <v>0</v>
      </c>
      <c r="ED101" s="24">
        <f t="shared" si="72"/>
        <v>92.918767653606764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5.6843418860808015E-14</v>
      </c>
      <c r="EK101" s="18">
        <f>EJ101*VLOOKUP('Données projet'!$B$15,Paramètres!$A$1:$I$89,3,0)*VLOOKUP('Données projet'!$B$15,Paramètres!$A$1:$I$89,5,0)</f>
        <v>4.1677594708744434E-14</v>
      </c>
      <c r="EL101" s="14">
        <f t="shared" si="99"/>
        <v>6.9326303456159188E-13</v>
      </c>
      <c r="EM101" s="22">
        <f t="shared" si="73"/>
        <v>1.2800215959791691E-12</v>
      </c>
      <c r="EN101" s="62">
        <f t="shared" si="74"/>
        <v>276.83665893463268</v>
      </c>
      <c r="EO101" s="62">
        <f ca="1">AVERAGE(OFFSET($EN$3,0,0,'Données projet'!$E$15+1,1))-AVERAGE(OFFSET($H$3,0,0,'Données projet'!$E$15+1,1))</f>
        <v>293.59366973965774</v>
      </c>
      <c r="EP101" s="62">
        <f t="shared" si="100"/>
        <v>288.13804536120426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>
        <f>EXP(-LN(2)/35)*EV100+(1-EXP(-LN(2)/35))/(LN(2)/35)*ER101*ES101*VLOOKUP('Données projet'!$B$15,Paramètres!$A$1:$I$89,3,0)*0.475*44/12</f>
        <v>71.593148847860959</v>
      </c>
      <c r="EW101" s="23">
        <f>EXP(-LN(2)/25)*EW100+(1-EXP(-LN(2)/25))/(LN(2)/25)*Calculateur!ER101*Calculateur!ET101*VLOOKUP('Données projet'!$B$15,Paramètres!$A$1:$I$89,3,0)*0.475*44/12</f>
        <v>0</v>
      </c>
      <c r="EX101" s="23">
        <f>EXP(-LN(2)/2)*EX100+(1-EXP(-LN(2)/2))/(LN(2)/2)*ER101*EU101*VLOOKUP('Données projet'!$B$15,Paramètres!$A$1:$I$89,3,0)*0.475*44/12</f>
        <v>0</v>
      </c>
      <c r="EY101" s="24">
        <f t="shared" si="75"/>
        <v>71.593148847860959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5.6843418860808015E-14</v>
      </c>
      <c r="FF101" s="18">
        <f>FE101*VLOOKUP('Données projet'!$B$16,Paramètres!$A$1:$I$89,3,0)*VLOOKUP('Données projet'!$B$16,Paramètres!$A$1:$I$89,5,0)</f>
        <v>5.4978954722173515E-14</v>
      </c>
      <c r="FG101" s="14">
        <f t="shared" si="101"/>
        <v>8.8550225887742724E-13</v>
      </c>
      <c r="FH101" s="22">
        <f t="shared" si="76"/>
        <v>1.6380047803526383E-12</v>
      </c>
      <c r="FI101" s="62">
        <f t="shared" si="77"/>
        <v>276.83665893463302</v>
      </c>
      <c r="FJ101" s="62">
        <f ca="1">AVERAGE(OFFSET($FI$3,0,0,'Données projet'!$E$16+1,1))-AVERAGE(OFFSET($H$3,0,0,'Données projet'!$E$16+1,1))</f>
        <v>369.69145521630799</v>
      </c>
      <c r="FK101" s="62">
        <f t="shared" si="102"/>
        <v>360.24112103688719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>
        <f>EXP(-LN(2)/35)*FQ100+(1-EXP(-LN(2)/35))/(LN(2)/35)*FM101*FN101*VLOOKUP('Données projet'!$B$16,Paramètres!$A$1:$I$89,3,0)*0.475*44/12</f>
        <v>94.442026139731482</v>
      </c>
      <c r="FR101" s="23">
        <f>EXP(-LN(2)/25)*FR100+(1-EXP(-LN(2)/25))/(LN(2)/25)*Calculateur!FM101*Calculateur!FO101*VLOOKUP('Données projet'!$B$16,Paramètres!$A$1:$I$89,3,0)*0.475*44/12</f>
        <v>0</v>
      </c>
      <c r="FS101" s="23">
        <f>EXP(-LN(2)/2)*FS100+(1-EXP(-LN(2)/2))/(LN(2)/2)*FM101*FP101*VLOOKUP('Données projet'!$B$16,Paramètres!$A$1:$I$89,3,0)*0.475*44/12</f>
        <v>0</v>
      </c>
      <c r="FT101" s="24">
        <f t="shared" si="78"/>
        <v>94.442026139731482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5.6843418860808015E-14</v>
      </c>
      <c r="GA101" s="18">
        <f>FZ101*VLOOKUP('Données projet'!$B$17,Paramètres!$A$1:$I$89,3,0)*VLOOKUP('Données projet'!$B$17,Paramètres!$A$1:$I$89,5,0)</f>
        <v>6.1186256061773749E-14</v>
      </c>
      <c r="GB101" s="14">
        <f t="shared" si="103"/>
        <v>9.7328366192051127E-13</v>
      </c>
      <c r="GC101" s="22">
        <f t="shared" si="79"/>
        <v>1.8017017738191463E-12</v>
      </c>
      <c r="GD101" s="62">
        <f t="shared" si="80"/>
        <v>276.83665893463319</v>
      </c>
      <c r="GE101" s="62">
        <f ca="1">AVERAGE(OFFSET($GD$3,0,0,'Données projet'!$E$17+1,1))-AVERAGE(OFFSET($H$3,0,0,'Données projet'!$E$17+1,1))</f>
        <v>405.06394904053946</v>
      </c>
      <c r="GF101" s="62">
        <f t="shared" si="104"/>
        <v>393.75247087518198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>
        <f>EXP(-LN(2)/35)*GL100+(1-EXP(-LN(2)/35))/(LN(2)/35)*GH101*GI101*VLOOKUP('Données projet'!$B$17,Paramètres!$A$1:$I$89,3,0)*0.475*44/12</f>
        <v>105.10483554260439</v>
      </c>
      <c r="GM101" s="23">
        <f>EXP(-LN(2)/25)*GM100+(1-EXP(-LN(2)/25))/(LN(2)/25)*Calculateur!GH101*Calculateur!GJ101*VLOOKUP('Données projet'!$B$17,Paramètres!$A$1:$I$89,3,0)*0.475*44/12</f>
        <v>0</v>
      </c>
      <c r="GN101" s="23">
        <f>EXP(-LN(2)/2)*GN100+(1-EXP(-LN(2)/2))/(LN(2)/2)*GH101*GK101*VLOOKUP('Données projet'!$B$17,Paramètres!$A$1:$I$89,3,0)*0.475*44/12</f>
        <v>0</v>
      </c>
      <c r="GO101" s="23">
        <f t="shared" si="81"/>
        <v>105.10483554260439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5.6843418860808015E-14</v>
      </c>
      <c r="GV101" s="18">
        <f>GU101*VLOOKUP('Données projet'!$B$18,Paramètres!$A$1:$I$89,3,0)*VLOOKUP('Données projet'!$B$18,Paramètres!$A$1:$I$89,5,0)</f>
        <v>3.813056537183002E-14</v>
      </c>
      <c r="GW101" s="14">
        <f t="shared" si="105"/>
        <v>6.4086286045526829E-13</v>
      </c>
      <c r="GX101" s="22">
        <f t="shared" si="82"/>
        <v>1.1825802166488628E-12</v>
      </c>
      <c r="GY101" s="62">
        <f t="shared" si="83"/>
        <v>276.83665893463257</v>
      </c>
      <c r="GZ101" s="62">
        <f ca="1">AVERAGE(OFFSET($GY$3,0,0,'Données projet'!$E$18+1,1))-AVERAGE(OFFSET($H$3,0,0,'Données projet'!$E$18+1,1))</f>
        <v>273.21861937609918</v>
      </c>
      <c r="HA101" s="62">
        <f t="shared" si="106"/>
        <v>268.83004886965318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>
        <f>EXP(-LN(2)/35)*HG100+(1-EXP(-LN(2)/35))/(LN(2)/35)*HC101*HD101*VLOOKUP('Données projet'!$B$18,Paramètres!$A$1:$I$89,3,0)*0.475*44/12</f>
        <v>80.732699764609194</v>
      </c>
      <c r="HH101" s="23">
        <f>EXP(-LN(2)/25)*HH100+(1-EXP(-LN(2)/25))/(LN(2)/25)*Calculateur!HC101*Calculateur!HE101*VLOOKUP('Données projet'!$B$18,Paramètres!$A$1:$I$89,3,0)*0.475*44/12</f>
        <v>0</v>
      </c>
      <c r="HI101" s="23">
        <f>EXP(-LN(2)/2)*HI100+(1-EXP(-LN(2)/2))/(LN(2)/2)*HC101*HF101*VLOOKUP('Données projet'!$B$18,Paramètres!$A$1:$I$89,3,0)*0.475*44/12</f>
        <v>0</v>
      </c>
      <c r="HJ101" s="24">
        <f t="shared" si="84"/>
        <v>80.732699764609194</v>
      </c>
    </row>
    <row r="102" spans="1:218" s="5" customFormat="1" x14ac:dyDescent="0.4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5.7</v>
      </c>
      <c r="N102" s="14">
        <f>IF('Données projet'!$A$36&gt;35,N101+M102-V101,IF(A102&lt;'Données projet'!$A$36,$K$205^A102,IF(A102='Données projet'!$A$36,'Données projet'!$B$36,N101+M102-V101)))</f>
        <v>212.69999999999987</v>
      </c>
      <c r="O102" s="14">
        <f>N102*VLOOKUP('Données projet'!$B$9,Paramètres!$A$1:$I$89,3,0)*VLOOKUP('Données projet'!$B$9,Paramètres!$A$1:$I$89,5,0)</f>
        <v>192.45095999999987</v>
      </c>
      <c r="P102" s="14">
        <f t="shared" si="87"/>
        <v>48.081420427304188</v>
      </c>
      <c r="Q102" s="22">
        <f t="shared" si="107"/>
        <v>418.92722924422122</v>
      </c>
      <c r="R102" s="62">
        <f t="shared" si="55"/>
        <v>696.05006859863136</v>
      </c>
      <c r="S102" s="62">
        <f ca="1">AVERAGE(OFFSET($R$3,0,0,'Données projet'!$E$9+1,1))-AVERAGE(OFFSET($H$3,0,0,'Données projet'!$E$9+1,1))</f>
        <v>432.80275651765203</v>
      </c>
      <c r="T102" s="62">
        <f t="shared" si="88"/>
        <v>203.89279893419919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21.369870222063149</v>
      </c>
      <c r="AA102" s="23">
        <f>EXP(-LN(2)/25)*AA101+(1-EXP(-LN(2)/25))/(LN(2)/25)*Calculateur!V102*Calculateur!X102*VLOOKUP('Données projet'!$B$9,Paramètres!$A$1:$I$89,3,0)*0.475*44/12</f>
        <v>15.400505437304128</v>
      </c>
      <c r="AB102" s="23">
        <f>EXP(-LN(2)/2)*AB101+(1-EXP(-LN(2)/2))/(LN(2)/2)*V102*Y102*VLOOKUP('Données projet'!$B$9,Paramètres!$A$1:$I$89,3,0)*0.475*44/12</f>
        <v>0</v>
      </c>
      <c r="AC102" s="24">
        <f t="shared" si="57"/>
        <v>36.770375659367275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54.000000000000341</v>
      </c>
      <c r="AJ102" s="14">
        <f>AI102*VLOOKUP('Données projet'!$B$10,Paramètres!$A$1:$I$89,3,0)*VLOOKUP('Données projet'!$B$10,Paramètres!$A$1:$I$89,5,0)</f>
        <v>23.868000000000151</v>
      </c>
      <c r="AK102" s="14">
        <f t="shared" si="89"/>
        <v>7.6030930962115804</v>
      </c>
      <c r="AL102" s="22">
        <f t="shared" si="58"/>
        <v>54.812153809235433</v>
      </c>
      <c r="AM102" s="62">
        <f t="shared" si="59"/>
        <v>331.93499316364557</v>
      </c>
      <c r="AN102" s="62">
        <f ca="1">AVERAGE(OFFSET($AM$3,0,0,'Données projet'!$E$10+1,1))-AVERAGE(OFFSET($H$3,0,0,'Données projet'!$E$10+1,1))</f>
        <v>413.08876898406481</v>
      </c>
      <c r="AO102" s="62">
        <f t="shared" si="90"/>
        <v>520.31320932826566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126.91436918785197</v>
      </c>
      <c r="AV102" s="23">
        <f>EXP(-LN(2)/25)*AV101+(1-EXP(-LN(2)/25))/(LN(2)/25)*Calculateur!AQ102*Calculateur!AS102*VLOOKUP('Données projet'!$B$10,Paramètres!$A$1:$I$89,3,0)*0.475*44/12</f>
        <v>6.843446131469233</v>
      </c>
      <c r="AW102" s="23">
        <f>EXP(-LN(2)/2)*AW101+(1-EXP(-LN(2)/2))/(LN(2)/2)*AQ102*AT102*VLOOKUP('Données projet'!$B$10,Paramètres!$A$1:$I$89,3,0)*0.475*44/12</f>
        <v>3.0011829529255044E-8</v>
      </c>
      <c r="AX102" s="23">
        <f t="shared" si="60"/>
        <v>133.75781534933301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0</v>
      </c>
      <c r="BD102" s="13">
        <f>IF('Données projet'!$A$88&gt;35,BD101+BC102-BL101,IF(A102&lt;'Données projet'!$A$88,$BA$205^A102,IF(A102='Données projet'!$A$88,'Données projet'!$B$88,BD101+BC102-BL101)))</f>
        <v>54.000000000000341</v>
      </c>
      <c r="BE102" s="14">
        <f>BD102*VLOOKUP('Données projet'!$B$11,Paramètres!$A$1:$I$89,3,0)*VLOOKUP('Données projet'!$B$11,Paramètres!$A$1:$I$89,5,0)</f>
        <v>30.186000000000188</v>
      </c>
      <c r="BF102" s="14">
        <f t="shared" si="91"/>
        <v>9.3563888882899153</v>
      </c>
      <c r="BG102" s="22">
        <f t="shared" si="61"/>
        <v>68.869660647105263</v>
      </c>
      <c r="BH102" s="62">
        <f t="shared" si="62"/>
        <v>345.9925000015154</v>
      </c>
      <c r="BI102" s="62">
        <f ca="1">AVERAGE(OFFSET($BH$3,0,0,'Données projet'!$E$11+1,1))-AVERAGE(OFFSET($H$3,0,0,'Données projet'!$E$11+1,1))</f>
        <v>507.66185230065889</v>
      </c>
      <c r="BJ102" s="62">
        <f t="shared" si="92"/>
        <v>640.14375617778342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160.50934926698918</v>
      </c>
      <c r="BQ102" s="23">
        <f>EXP(-LN(2)/25)*BQ101+(1-EXP(-LN(2)/25))/(LN(2)/25)*Calculateur!BL102*Calculateur!BN102*VLOOKUP('Données projet'!$B$11,Paramètres!$A$1:$I$89,3,0)*0.475*44/12</f>
        <v>8.6549465780346253</v>
      </c>
      <c r="BR102" s="23">
        <f>EXP(-LN(2)/2)*BR101+(1-EXP(-LN(2)/2))/(LN(2)/2)*BL102*BO102*VLOOKUP('Données projet'!$B$11,Paramètres!$A$1:$I$89,3,0)*0.475*44/12</f>
        <v>3.7956137345822582E-8</v>
      </c>
      <c r="BS102" s="24">
        <f t="shared" si="63"/>
        <v>169.16429588297993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15.160379742999993</v>
      </c>
      <c r="BY102" s="13">
        <f>IF('Données projet'!$A$114&gt;35,BY101+BX102-CG101,IF(A102&lt;'Données projet'!$A$114,$BV$205^A102,IF(A102='Données projet'!$A$114,'Données projet'!$B$114,BY101+BX102-CG101)))</f>
        <v>506.15061985700004</v>
      </c>
      <c r="BZ102" s="14">
        <f>BY102*VLOOKUP('Données projet'!$B$12,Paramètres!$A$1:$I$89,3,0)*VLOOKUP('Données projet'!$B$12,Paramètres!$A$1:$I$89,5,0)</f>
        <v>236.87849009307601</v>
      </c>
      <c r="CA102" s="14">
        <f t="shared" si="93"/>
        <v>57.767411557379504</v>
      </c>
      <c r="CB102" s="22">
        <f t="shared" si="64"/>
        <v>513.17494537454331</v>
      </c>
      <c r="CC102" s="62">
        <f t="shared" si="65"/>
        <v>790.2977847289535</v>
      </c>
      <c r="CD102" s="62">
        <f ca="1">AVERAGE(OFFSET($CC$3,0,0,'Données projet'!$E$12+1,1))-AVERAGE(OFFSET($H$3,0,0,'Données projet'!$E$12+1,1))</f>
        <v>289.21044803824958</v>
      </c>
      <c r="CE102" s="62">
        <f t="shared" si="94"/>
        <v>196.11836398299445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>
        <f>EXP(-LN(2)/35)*CK101+(1-EXP(-LN(2)/35))/(LN(2)/35)*CG102*CH102*VLOOKUP('Données projet'!$B$12,Paramètres!$A$1:$I$89,3,0)*0.475*44/12</f>
        <v>33.936830804706474</v>
      </c>
      <c r="CL102" s="23">
        <f>EXP(-LN(2)/25)*CL101+(1-EXP(-LN(2)/25))/(LN(2)/25)*Calculateur!CG102*Calculateur!CI102*VLOOKUP('Données projet'!$B$12,Paramètres!$A$1:$I$89,3,0)*0.475*44/12</f>
        <v>32.960383176981559</v>
      </c>
      <c r="CM102" s="23">
        <f>EXP(-LN(2)/2)*CM101+(1-EXP(-LN(2)/2))/(LN(2)/2)*CG102*CJ102*VLOOKUP('Données projet'!$B$12,Paramètres!$A$1:$I$89,3,0)*0.475*44/12</f>
        <v>0</v>
      </c>
      <c r="CN102" s="24">
        <f t="shared" si="66"/>
        <v>66.897213981688026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-5.6843418860808015E-14</v>
      </c>
      <c r="CU102" s="18">
        <f>CT102*VLOOKUP('Données projet'!$B$13,Paramètres!$A$1:$I$89,3,0)*VLOOKUP('Données projet'!$B$13,Paramètres!$A$1:$I$89,5,0)</f>
        <v>-5.1431925385259088E-14</v>
      </c>
      <c r="CV102" s="14" t="e">
        <f t="shared" si="95"/>
        <v>#NUM!</v>
      </c>
      <c r="CW102" s="22" t="e">
        <f t="shared" si="67"/>
        <v>#NUM!</v>
      </c>
      <c r="CX102" s="62" t="e">
        <f t="shared" si="68"/>
        <v>#NUM!</v>
      </c>
      <c r="CY102" s="62">
        <f ca="1">AVERAGE(OFFSET($CX$3,0,0,'Données projet'!$E$13+1,1))-AVERAGE(OFFSET($H$3,0,0,'Données projet'!$E$13+1,1))</f>
        <v>376.68007030857598</v>
      </c>
      <c r="CZ102" s="62">
        <f t="shared" si="96"/>
        <v>532.90758914457626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>
        <f>EXP(-LN(2)/35)*DF101+(1-EXP(-LN(2)/35))/(LN(2)/35)*DB102*DC102*VLOOKUP('Données projet'!$B$13,Paramètres!$A$1:$I$89,3,0)*0.475*44/12</f>
        <v>32.131372135327993</v>
      </c>
      <c r="DG102" s="23">
        <f>EXP(-LN(2)/25)*DG101+(1-EXP(-LN(2)/25))/(LN(2)/25)*Calculateur!DB102*Calculateur!DD102*VLOOKUP('Données projet'!$B$13,Paramètres!$A$1:$I$89,3,0)*0.475*44/12</f>
        <v>1.9339126478961235</v>
      </c>
      <c r="DH102" s="23">
        <f>EXP(-LN(2)/2)*DH101+(1-EXP(-LN(2)/2))/(LN(2)/2)*DB102*DE102*VLOOKUP('Données projet'!$B$13,Paramètres!$A$1:$I$89,3,0)*0.475*44/12</f>
        <v>0</v>
      </c>
      <c r="DI102" s="24">
        <f t="shared" si="69"/>
        <v>34.065284783224115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5.6843418860808015E-14</v>
      </c>
      <c r="DP102" s="18">
        <f>DO102*VLOOKUP('Données projet'!$B$14,Paramètres!$A$1:$I$89,3,0)*VLOOKUP('Données projet'!$B$14,Paramètres!$A$1:$I$89,5,0)</f>
        <v>5.4092197387944907E-14</v>
      </c>
      <c r="DQ102" s="14">
        <f t="shared" si="97"/>
        <v>8.7287050538073676E-13</v>
      </c>
      <c r="DR102" s="22">
        <f t="shared" si="70"/>
        <v>1.6144600406554537E-12</v>
      </c>
      <c r="DS102" s="62">
        <f t="shared" si="71"/>
        <v>277.12283935441172</v>
      </c>
      <c r="DT102" s="62">
        <f ca="1">AVERAGE(OFFSET($DS$3,0,0,'Données projet'!$E$14+1,1))-AVERAGE(OFFSET($H$3,0,0,'Données projet'!$E$14+1,1))</f>
        <v>364.63161066507769</v>
      </c>
      <c r="DU102" s="62">
        <f t="shared" si="98"/>
        <v>355.44729904860708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>
        <f>EXP(-LN(2)/35)*EA101+(1-EXP(-LN(2)/35))/(LN(2)/35)*DW102*DX102*VLOOKUP('Données projet'!$B$14,Paramètres!$A$1:$I$89,3,0)*0.475*44/12</f>
        <v>91.096687294771627</v>
      </c>
      <c r="EB102" s="23">
        <f>EXP(-LN(2)/25)*EB101+(1-EXP(-LN(2)/25))/(LN(2)/25)*Calculateur!DW102*Calculateur!DY102*VLOOKUP('Données projet'!$B$14,Paramètres!$A$1:$I$89,3,0)*0.475*44/12</f>
        <v>0</v>
      </c>
      <c r="EC102" s="23">
        <f>EXP(-LN(2)/2)*EC101+(1-EXP(-LN(2)/2))/(LN(2)/2)*DW102*DZ102*VLOOKUP('Données projet'!$B$14,Paramètres!$A$1:$I$89,3,0)*0.475*44/12</f>
        <v>0</v>
      </c>
      <c r="ED102" s="24">
        <f t="shared" si="72"/>
        <v>91.096687294771627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5.6843418860808015E-14</v>
      </c>
      <c r="EK102" s="18">
        <f>EJ102*VLOOKUP('Données projet'!$B$15,Paramètres!$A$1:$I$89,3,0)*VLOOKUP('Données projet'!$B$15,Paramètres!$A$1:$I$89,5,0)</f>
        <v>4.1677594708744434E-14</v>
      </c>
      <c r="EL102" s="14">
        <f t="shared" si="99"/>
        <v>6.9326303456159188E-13</v>
      </c>
      <c r="EM102" s="22">
        <f t="shared" si="73"/>
        <v>1.2800215959791691E-12</v>
      </c>
      <c r="EN102" s="62">
        <f t="shared" si="74"/>
        <v>277.12283935441144</v>
      </c>
      <c r="EO102" s="62">
        <f ca="1">AVERAGE(OFFSET($EN$3,0,0,'Données projet'!$E$15+1,1))-AVERAGE(OFFSET($H$3,0,0,'Données projet'!$E$15+1,1))</f>
        <v>293.59366973965774</v>
      </c>
      <c r="EP102" s="62">
        <f t="shared" si="100"/>
        <v>288.13804536120426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>
        <f>EXP(-LN(2)/35)*EV101+(1-EXP(-LN(2)/35))/(LN(2)/35)*ER102*ES102*VLOOKUP('Données projet'!$B$15,Paramètres!$A$1:$I$89,3,0)*0.475*44/12</f>
        <v>70.189250866463397</v>
      </c>
      <c r="EW102" s="23">
        <f>EXP(-LN(2)/25)*EW101+(1-EXP(-LN(2)/25))/(LN(2)/25)*Calculateur!ER102*Calculateur!ET102*VLOOKUP('Données projet'!$B$15,Paramètres!$A$1:$I$89,3,0)*0.475*44/12</f>
        <v>0</v>
      </c>
      <c r="EX102" s="23">
        <f>EXP(-LN(2)/2)*EX101+(1-EXP(-LN(2)/2))/(LN(2)/2)*ER102*EU102*VLOOKUP('Données projet'!$B$15,Paramètres!$A$1:$I$89,3,0)*0.475*44/12</f>
        <v>0</v>
      </c>
      <c r="EY102" s="24">
        <f t="shared" si="75"/>
        <v>70.189250866463397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5.6843418860808015E-14</v>
      </c>
      <c r="FF102" s="18">
        <f>FE102*VLOOKUP('Données projet'!$B$16,Paramètres!$A$1:$I$89,3,0)*VLOOKUP('Données projet'!$B$16,Paramètres!$A$1:$I$89,5,0)</f>
        <v>5.4978954722173515E-14</v>
      </c>
      <c r="FG102" s="14">
        <f t="shared" si="101"/>
        <v>8.8550225887742724E-13</v>
      </c>
      <c r="FH102" s="22">
        <f t="shared" si="76"/>
        <v>1.6380047803526383E-12</v>
      </c>
      <c r="FI102" s="62">
        <f t="shared" si="77"/>
        <v>277.12283935441178</v>
      </c>
      <c r="FJ102" s="62">
        <f ca="1">AVERAGE(OFFSET($FI$3,0,0,'Données projet'!$E$16+1,1))-AVERAGE(OFFSET($H$3,0,0,'Données projet'!$E$16+1,1))</f>
        <v>369.69145521630799</v>
      </c>
      <c r="FK102" s="62">
        <f t="shared" si="102"/>
        <v>360.24112103688719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>
        <f>EXP(-LN(2)/35)*FQ101+(1-EXP(-LN(2)/35))/(LN(2)/35)*FM102*FN102*VLOOKUP('Données projet'!$B$16,Paramètres!$A$1:$I$89,3,0)*0.475*44/12</f>
        <v>92.590075611079371</v>
      </c>
      <c r="FR102" s="23">
        <f>EXP(-LN(2)/25)*FR101+(1-EXP(-LN(2)/25))/(LN(2)/25)*Calculateur!FM102*Calculateur!FO102*VLOOKUP('Données projet'!$B$16,Paramètres!$A$1:$I$89,3,0)*0.475*44/12</f>
        <v>0</v>
      </c>
      <c r="FS102" s="23">
        <f>EXP(-LN(2)/2)*FS101+(1-EXP(-LN(2)/2))/(LN(2)/2)*FM102*FP102*VLOOKUP('Données projet'!$B$16,Paramètres!$A$1:$I$89,3,0)*0.475*44/12</f>
        <v>0</v>
      </c>
      <c r="FT102" s="24">
        <f t="shared" si="78"/>
        <v>92.590075611079371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5.6843418860808015E-14</v>
      </c>
      <c r="GA102" s="18">
        <f>FZ102*VLOOKUP('Données projet'!$B$17,Paramètres!$A$1:$I$89,3,0)*VLOOKUP('Données projet'!$B$17,Paramètres!$A$1:$I$89,5,0)</f>
        <v>6.1186256061773749E-14</v>
      </c>
      <c r="GB102" s="14">
        <f t="shared" si="103"/>
        <v>9.7328366192051127E-13</v>
      </c>
      <c r="GC102" s="22">
        <f t="shared" si="79"/>
        <v>1.8017017738191463E-12</v>
      </c>
      <c r="GD102" s="62">
        <f t="shared" si="80"/>
        <v>277.12283935441195</v>
      </c>
      <c r="GE102" s="62">
        <f ca="1">AVERAGE(OFFSET($GD$3,0,0,'Données projet'!$E$17+1,1))-AVERAGE(OFFSET($H$3,0,0,'Données projet'!$E$17+1,1))</f>
        <v>405.06394904053946</v>
      </c>
      <c r="GF102" s="62">
        <f t="shared" si="104"/>
        <v>393.75247087518198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>
        <f>EXP(-LN(2)/35)*GL101+(1-EXP(-LN(2)/35))/(LN(2)/35)*GH102*GI102*VLOOKUP('Données projet'!$B$17,Paramètres!$A$1:$I$89,3,0)*0.475*44/12</f>
        <v>103.04379382523349</v>
      </c>
      <c r="GM102" s="23">
        <f>EXP(-LN(2)/25)*GM101+(1-EXP(-LN(2)/25))/(LN(2)/25)*Calculateur!GH102*Calculateur!GJ102*VLOOKUP('Données projet'!$B$17,Paramètres!$A$1:$I$89,3,0)*0.475*44/12</f>
        <v>0</v>
      </c>
      <c r="GN102" s="23">
        <f>EXP(-LN(2)/2)*GN101+(1-EXP(-LN(2)/2))/(LN(2)/2)*GH102*GK102*VLOOKUP('Données projet'!$B$17,Paramètres!$A$1:$I$89,3,0)*0.475*44/12</f>
        <v>0</v>
      </c>
      <c r="GO102" s="23">
        <f t="shared" si="81"/>
        <v>103.04379382523349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5.6843418860808015E-14</v>
      </c>
      <c r="GV102" s="18">
        <f>GU102*VLOOKUP('Données projet'!$B$18,Paramètres!$A$1:$I$89,3,0)*VLOOKUP('Données projet'!$B$18,Paramètres!$A$1:$I$89,5,0)</f>
        <v>3.813056537183002E-14</v>
      </c>
      <c r="GW102" s="14">
        <f t="shared" si="105"/>
        <v>6.4086286045526829E-13</v>
      </c>
      <c r="GX102" s="22">
        <f t="shared" si="82"/>
        <v>1.1825802166488628E-12</v>
      </c>
      <c r="GY102" s="62">
        <f t="shared" si="83"/>
        <v>277.12283935441133</v>
      </c>
      <c r="GZ102" s="62">
        <f ca="1">AVERAGE(OFFSET($GY$3,0,0,'Données projet'!$E$18+1,1))-AVERAGE(OFFSET($H$3,0,0,'Données projet'!$E$18+1,1))</f>
        <v>273.21861937609918</v>
      </c>
      <c r="HA102" s="62">
        <f t="shared" si="106"/>
        <v>268.83004886965318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>
        <f>EXP(-LN(2)/35)*HG101+(1-EXP(-LN(2)/35))/(LN(2)/35)*HC102*HD102*VLOOKUP('Données projet'!$B$18,Paramètres!$A$1:$I$89,3,0)*0.475*44/12</f>
        <v>79.149580764309817</v>
      </c>
      <c r="HH102" s="23">
        <f>EXP(-LN(2)/25)*HH101+(1-EXP(-LN(2)/25))/(LN(2)/25)*Calculateur!HC102*Calculateur!HE102*VLOOKUP('Données projet'!$B$18,Paramètres!$A$1:$I$89,3,0)*0.475*44/12</f>
        <v>0</v>
      </c>
      <c r="HI102" s="23">
        <f>EXP(-LN(2)/2)*HI101+(1-EXP(-LN(2)/2))/(LN(2)/2)*HC102*HF102*VLOOKUP('Données projet'!$B$18,Paramètres!$A$1:$I$89,3,0)*0.475*44/12</f>
        <v>0</v>
      </c>
      <c r="HJ102" s="24">
        <f t="shared" si="84"/>
        <v>79.149580764309817</v>
      </c>
    </row>
    <row r="103" spans="1:218" s="5" customFormat="1" x14ac:dyDescent="0.4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5.7</v>
      </c>
      <c r="N103" s="14">
        <f>IF('Données projet'!$A$36&gt;35,N102+M103-V102,IF(A103&lt;'Données projet'!$A$36,$K$205^A103,IF(A103='Données projet'!$A$36,'Données projet'!$B$36,N102+M103-V102)))</f>
        <v>218.39999999999986</v>
      </c>
      <c r="O103" s="14">
        <f>N103*VLOOKUP('Données projet'!$B$9,Paramètres!$A$1:$I$89,3,0)*VLOOKUP('Données projet'!$B$9,Paramètres!$A$1:$I$89,5,0)</f>
        <v>197.60831999999988</v>
      </c>
      <c r="P103" s="14">
        <f t="shared" si="87"/>
        <v>49.218181392381318</v>
      </c>
      <c r="Q103" s="22">
        <f t="shared" si="107"/>
        <v>429.88948992506386</v>
      </c>
      <c r="R103" s="62">
        <f t="shared" si="55"/>
        <v>707.29354510877306</v>
      </c>
      <c r="S103" s="62">
        <f ca="1">AVERAGE(OFFSET($R$3,0,0,'Données projet'!$E$9+1,1))-AVERAGE(OFFSET($H$3,0,0,'Données projet'!$E$9+1,1))</f>
        <v>432.80275651765203</v>
      </c>
      <c r="T103" s="62">
        <f t="shared" si="88"/>
        <v>203.89279893419919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20.950820101342291</v>
      </c>
      <c r="AA103" s="23">
        <f>EXP(-LN(2)/25)*AA102+(1-EXP(-LN(2)/25))/(LN(2)/25)*Calculateur!V103*Calculateur!X103*VLOOKUP('Données projet'!$B$9,Paramètres!$A$1:$I$89,3,0)*0.475*44/12</f>
        <v>14.979377806243663</v>
      </c>
      <c r="AB103" s="23">
        <f>EXP(-LN(2)/2)*AB102+(1-EXP(-LN(2)/2))/(LN(2)/2)*V103*Y103*VLOOKUP('Données projet'!$B$9,Paramètres!$A$1:$I$89,3,0)*0.475*44/12</f>
        <v>0</v>
      </c>
      <c r="AC103" s="24">
        <f t="shared" si="57"/>
        <v>35.930197907585956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54.000000000000341</v>
      </c>
      <c r="AJ103" s="14">
        <f>AI103*VLOOKUP('Données projet'!$B$10,Paramètres!$A$1:$I$89,3,0)*VLOOKUP('Données projet'!$B$10,Paramètres!$A$1:$I$89,5,0)</f>
        <v>23.868000000000151</v>
      </c>
      <c r="AK103" s="14">
        <f t="shared" si="89"/>
        <v>7.6030930962115804</v>
      </c>
      <c r="AL103" s="22">
        <f t="shared" si="58"/>
        <v>54.812153809235433</v>
      </c>
      <c r="AM103" s="62">
        <f t="shared" si="59"/>
        <v>332.21620899294464</v>
      </c>
      <c r="AN103" s="62">
        <f ca="1">AVERAGE(OFFSET($AM$3,0,0,'Données projet'!$E$10+1,1))-AVERAGE(OFFSET($H$3,0,0,'Données projet'!$E$10+1,1))</f>
        <v>413.08876898406481</v>
      </c>
      <c r="AO103" s="62">
        <f t="shared" si="90"/>
        <v>520.31320932826566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124.42565581819979</v>
      </c>
      <c r="AV103" s="23">
        <f>EXP(-LN(2)/25)*AV102+(1-EXP(-LN(2)/25))/(LN(2)/25)*Calculateur!AQ103*Calculateur!AS103*VLOOKUP('Données projet'!$B$10,Paramètres!$A$1:$I$89,3,0)*0.475*44/12</f>
        <v>6.6563117371230156</v>
      </c>
      <c r="AW103" s="23">
        <f>EXP(-LN(2)/2)*AW102+(1-EXP(-LN(2)/2))/(LN(2)/2)*AQ103*AT103*VLOOKUP('Données projet'!$B$10,Paramètres!$A$1:$I$89,3,0)*0.475*44/12</f>
        <v>2.1221568175950913E-8</v>
      </c>
      <c r="AX103" s="23">
        <f t="shared" si="60"/>
        <v>131.08196757654437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 t="e">
        <f>VLOOKUP(A103,'Données projet'!$A$87:$I$107,2,0)</f>
        <v>#N/A</v>
      </c>
      <c r="BB103" s="13" t="e">
        <f>VLOOKUP(A103,'Données projet'!$A$87:$I$107,9,0)</f>
        <v>#N/A</v>
      </c>
      <c r="BC103" s="13">
        <f t="array" ref="BC103">INDEX(BB:BB,MIN(IF(ISNUMBER(BB103:BB299),ROW(BB103:BB299),"")))</f>
        <v>0</v>
      </c>
      <c r="BD103" s="13">
        <f>IF('Données projet'!$A$88&gt;35,BD102+BC103-BL102,IF(A103&lt;'Données projet'!$A$88,$BA$205^A103,IF(A103='Données projet'!$A$88,'Données projet'!$B$88,BD102+BC103-BL102)))</f>
        <v>54.000000000000341</v>
      </c>
      <c r="BE103" s="14">
        <f>BD103*VLOOKUP('Données projet'!$B$11,Paramètres!$A$1:$I$89,3,0)*VLOOKUP('Données projet'!$B$11,Paramètres!$A$1:$I$89,5,0)</f>
        <v>30.186000000000188</v>
      </c>
      <c r="BF103" s="14">
        <f t="shared" si="91"/>
        <v>9.3563888882899153</v>
      </c>
      <c r="BG103" s="22">
        <f t="shared" si="61"/>
        <v>68.869660647105263</v>
      </c>
      <c r="BH103" s="62">
        <f t="shared" si="62"/>
        <v>346.27371583081447</v>
      </c>
      <c r="BI103" s="62">
        <f ca="1">AVERAGE(OFFSET($BH$3,0,0,'Données projet'!$E$11+1,1))-AVERAGE(OFFSET($H$3,0,0,'Données projet'!$E$11+1,1))</f>
        <v>507.66185230065889</v>
      </c>
      <c r="BJ103" s="62">
        <f t="shared" si="92"/>
        <v>640.14375617778342</v>
      </c>
      <c r="BK103" s="16">
        <f>IF(ISNA(VLOOKUP(A103,'Données projet'!$A$87:$I$107,3,0)),0,VLOOKUP(A103,'Données projet'!$A$87:$I$107,3,0))</f>
        <v>0</v>
      </c>
      <c r="BL103" s="16">
        <f>IF(ISNA(VLOOKUP(A103,'Données projet'!$A$87:$I$107,4,0)),0,VLOOKUP(A103,'Données projet'!$A$87:$I$107,4,0))</f>
        <v>0</v>
      </c>
      <c r="BM103" s="17">
        <f>IF(ISNA(VLOOKUP(A103,'Données projet'!$A$87:$I$107,5,0)),0%,VLOOKUP(A103,'Données projet'!$A$87:$I$107,5,0)*VLOOKUP('Données projet'!$B$11,Paramètres!$A$1:$I$89,7,0))</f>
        <v>0</v>
      </c>
      <c r="BN103" s="17">
        <f>IF(ISNA(VLOOKUP(A103,'Données projet'!$A$87:$I$107,6,0)),0%,VLOOKUP(A103,'Données projet'!$A$87:$I$107,6,0)*VLOOKUP('Données projet'!$B$11,Paramètres!$A$1:$I$89,7,0))</f>
        <v>0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157.36185882889964</v>
      </c>
      <c r="BQ103" s="23">
        <f>EXP(-LN(2)/25)*BQ102+(1-EXP(-LN(2)/25))/(LN(2)/25)*Calculateur!BL103*Calculateur!BN103*VLOOKUP('Données projet'!$B$11,Paramètres!$A$1:$I$89,3,0)*0.475*44/12</f>
        <v>8.4182766087144092</v>
      </c>
      <c r="BR103" s="23">
        <f>EXP(-LN(2)/2)*BR102+(1-EXP(-LN(2)/2))/(LN(2)/2)*BL103*BO103*VLOOKUP('Données projet'!$B$11,Paramètres!$A$1:$I$89,3,0)*0.475*44/12</f>
        <v>2.6839042104879113E-8</v>
      </c>
      <c r="BS103" s="24">
        <f t="shared" si="63"/>
        <v>165.78013546445311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>
        <f>VLOOKUP(A103,'Données projet'!$A$113:$I$133,2,0)</f>
        <v>521.31099959999995</v>
      </c>
      <c r="BW103" s="13">
        <f>VLOOKUP(A103,'Données projet'!$A$113:$I$133,9,0)</f>
        <v>15.160379742999993</v>
      </c>
      <c r="BX103" s="13">
        <f t="array" ref="BX103">INDEX(BW:BW,MIN(IF(ISNUMBER(BW103:BW299),ROW(BW103:BW299),"")))</f>
        <v>15.160379742999993</v>
      </c>
      <c r="BY103" s="13">
        <f>IF('Données projet'!$A$114&gt;35,BY102+BX103-CG102,IF(A103&lt;'Données projet'!$A$114,$BV$205^A103,IF(A103='Données projet'!$A$114,'Données projet'!$B$114,BY102+BX103-CG102)))</f>
        <v>521.31099960000006</v>
      </c>
      <c r="BZ103" s="14">
        <f>BY103*VLOOKUP('Données projet'!$B$12,Paramètres!$A$1:$I$89,3,0)*VLOOKUP('Données projet'!$B$12,Paramètres!$A$1:$I$89,5,0)</f>
        <v>243.97354781280001</v>
      </c>
      <c r="CA103" s="14">
        <f t="shared" si="93"/>
        <v>59.293639886164044</v>
      </c>
      <c r="CB103" s="22">
        <f t="shared" si="64"/>
        <v>528.19035190902912</v>
      </c>
      <c r="CC103" s="62">
        <f t="shared" si="65"/>
        <v>805.59440709273827</v>
      </c>
      <c r="CD103" s="62">
        <f ca="1">AVERAGE(OFFSET($CC$3,0,0,'Données projet'!$E$12+1,1))-AVERAGE(OFFSET($H$3,0,0,'Données projet'!$E$12+1,1))</f>
        <v>289.21044803824958</v>
      </c>
      <c r="CE103" s="62">
        <f t="shared" si="94"/>
        <v>196.11836398299445</v>
      </c>
      <c r="CF103" s="16">
        <f>IF(ISNA(VLOOKUP(A103,'Données projet'!$A$113:$I$133,3,0)),0,VLOOKUP(A103,'Données projet'!$A$113:$I$133,3,0))</f>
        <v>9</v>
      </c>
      <c r="CG103" s="16">
        <f>IF(ISNA(VLOOKUP(A103,'Données projet'!$A$113:$I$133,4,0)),0,VLOOKUP(A103,'Données projet'!$A$113:$I$133,4,0))</f>
        <v>104.2621999</v>
      </c>
      <c r="CH103" s="17">
        <f>IF(ISNA(VLOOKUP(A103,'Données projet'!$A$113:$I$133,5,0)),0%,VLOOKUP(A103,'Données projet'!$A$113:$I$133,5,0)*VLOOKUP('Données projet'!$B$12,Paramètres!$A$1:$I$89,7,0))</f>
        <v>0.55000000000000004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>
        <f>EXP(-LN(2)/35)*CK102+(1-EXP(-LN(2)/35))/(LN(2)/35)*CG103*CH103*VLOOKUP('Données projet'!$B$12,Paramètres!$A$1:$I$89,3,0)*0.475*44/12</f>
        <v>68.872480270773281</v>
      </c>
      <c r="CL103" s="23">
        <f>EXP(-LN(2)/25)*CL102+(1-EXP(-LN(2)/25))/(LN(2)/25)*Calculateur!CG103*Calculateur!CI103*VLOOKUP('Données projet'!$B$12,Paramètres!$A$1:$I$89,3,0)*0.475*44/12</f>
        <v>32.059079765695778</v>
      </c>
      <c r="CM103" s="23">
        <f>EXP(-LN(2)/2)*CM102+(1-EXP(-LN(2)/2))/(LN(2)/2)*CG103*CJ103*VLOOKUP('Données projet'!$B$12,Paramètres!$A$1:$I$89,3,0)*0.475*44/12</f>
        <v>0</v>
      </c>
      <c r="CN103" s="24">
        <f t="shared" si="66"/>
        <v>100.93156003646905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-5.6843418860808015E-14</v>
      </c>
      <c r="CU103" s="18">
        <f>CT103*VLOOKUP('Données projet'!$B$13,Paramètres!$A$1:$I$89,3,0)*VLOOKUP('Données projet'!$B$13,Paramètres!$A$1:$I$89,5,0)</f>
        <v>-5.1431925385259088E-14</v>
      </c>
      <c r="CV103" s="14" t="e">
        <f t="shared" si="95"/>
        <v>#NUM!</v>
      </c>
      <c r="CW103" s="22" t="e">
        <f t="shared" si="67"/>
        <v>#NUM!</v>
      </c>
      <c r="CX103" s="62" t="e">
        <f t="shared" si="68"/>
        <v>#NUM!</v>
      </c>
      <c r="CY103" s="62">
        <f ca="1">AVERAGE(OFFSET($CX$3,0,0,'Données projet'!$E$13+1,1))-AVERAGE(OFFSET($H$3,0,0,'Données projet'!$E$13+1,1))</f>
        <v>376.68007030857598</v>
      </c>
      <c r="CZ103" s="62">
        <f t="shared" si="96"/>
        <v>532.90758914457626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>
        <f>EXP(-LN(2)/35)*DF102+(1-EXP(-LN(2)/35))/(LN(2)/35)*DB103*DC103*VLOOKUP('Données projet'!$B$13,Paramètres!$A$1:$I$89,3,0)*0.475*44/12</f>
        <v>31.501295525956053</v>
      </c>
      <c r="DG103" s="23">
        <f>EXP(-LN(2)/25)*DG102+(1-EXP(-LN(2)/25))/(LN(2)/25)*Calculateur!DB103*Calculateur!DD103*VLOOKUP('Données projet'!$B$13,Paramètres!$A$1:$I$89,3,0)*0.475*44/12</f>
        <v>1.8810297048393578</v>
      </c>
      <c r="DH103" s="23">
        <f>EXP(-LN(2)/2)*DH102+(1-EXP(-LN(2)/2))/(LN(2)/2)*DB103*DE103*VLOOKUP('Données projet'!$B$13,Paramètres!$A$1:$I$89,3,0)*0.475*44/12</f>
        <v>0</v>
      </c>
      <c r="DI103" s="24">
        <f t="shared" si="69"/>
        <v>33.382325230795409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5.6843418860808015E-14</v>
      </c>
      <c r="DP103" s="18">
        <f>DO103*VLOOKUP('Données projet'!$B$14,Paramètres!$A$1:$I$89,3,0)*VLOOKUP('Données projet'!$B$14,Paramètres!$A$1:$I$89,5,0)</f>
        <v>5.4092197387944907E-14</v>
      </c>
      <c r="DQ103" s="14">
        <f t="shared" si="97"/>
        <v>8.7287050538073676E-13</v>
      </c>
      <c r="DR103" s="22">
        <f t="shared" si="70"/>
        <v>1.6144600406554537E-12</v>
      </c>
      <c r="DS103" s="62">
        <f t="shared" si="71"/>
        <v>277.4040551837108</v>
      </c>
      <c r="DT103" s="62">
        <f ca="1">AVERAGE(OFFSET($DS$3,0,0,'Données projet'!$E$14+1,1))-AVERAGE(OFFSET($H$3,0,0,'Données projet'!$E$14+1,1))</f>
        <v>364.63161066507769</v>
      </c>
      <c r="DU103" s="62">
        <f t="shared" si="98"/>
        <v>355.44729904860708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>
        <f>EXP(-LN(2)/35)*EA102+(1-EXP(-LN(2)/35))/(LN(2)/35)*DW103*DX103*VLOOKUP('Données projet'!$B$14,Paramètres!$A$1:$I$89,3,0)*0.475*44/12</f>
        <v>89.310336820413966</v>
      </c>
      <c r="EB103" s="23">
        <f>EXP(-LN(2)/25)*EB102+(1-EXP(-LN(2)/25))/(LN(2)/25)*Calculateur!DW103*Calculateur!DY103*VLOOKUP('Données projet'!$B$14,Paramètres!$A$1:$I$89,3,0)*0.475*44/12</f>
        <v>0</v>
      </c>
      <c r="EC103" s="23">
        <f>EXP(-LN(2)/2)*EC102+(1-EXP(-LN(2)/2))/(LN(2)/2)*DW103*DZ103*VLOOKUP('Données projet'!$B$14,Paramètres!$A$1:$I$89,3,0)*0.475*44/12</f>
        <v>0</v>
      </c>
      <c r="ED103" s="24">
        <f t="shared" si="72"/>
        <v>89.310336820413966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5.6843418860808015E-14</v>
      </c>
      <c r="EK103" s="18">
        <f>EJ103*VLOOKUP('Données projet'!$B$15,Paramètres!$A$1:$I$89,3,0)*VLOOKUP('Données projet'!$B$15,Paramètres!$A$1:$I$89,5,0)</f>
        <v>4.1677594708744434E-14</v>
      </c>
      <c r="EL103" s="14">
        <f t="shared" si="99"/>
        <v>6.9326303456159188E-13</v>
      </c>
      <c r="EM103" s="22">
        <f t="shared" si="73"/>
        <v>1.2800215959791691E-12</v>
      </c>
      <c r="EN103" s="62">
        <f t="shared" si="74"/>
        <v>277.40405518371051</v>
      </c>
      <c r="EO103" s="62">
        <f ca="1">AVERAGE(OFFSET($EN$3,0,0,'Données projet'!$E$15+1,1))-AVERAGE(OFFSET($H$3,0,0,'Données projet'!$E$15+1,1))</f>
        <v>293.59366973965774</v>
      </c>
      <c r="EP103" s="62">
        <f t="shared" si="100"/>
        <v>288.13804536120426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>
        <f>EXP(-LN(2)/35)*EV102+(1-EXP(-LN(2)/35))/(LN(2)/35)*ER103*ES103*VLOOKUP('Données projet'!$B$15,Paramètres!$A$1:$I$89,3,0)*0.475*44/12</f>
        <v>68.812882468187823</v>
      </c>
      <c r="EW103" s="23">
        <f>EXP(-LN(2)/25)*EW102+(1-EXP(-LN(2)/25))/(LN(2)/25)*Calculateur!ER103*Calculateur!ET103*VLOOKUP('Données projet'!$B$15,Paramètres!$A$1:$I$89,3,0)*0.475*44/12</f>
        <v>0</v>
      </c>
      <c r="EX103" s="23">
        <f>EXP(-LN(2)/2)*EX102+(1-EXP(-LN(2)/2))/(LN(2)/2)*ER103*EU103*VLOOKUP('Données projet'!$B$15,Paramètres!$A$1:$I$89,3,0)*0.475*44/12</f>
        <v>0</v>
      </c>
      <c r="EY103" s="24">
        <f t="shared" si="75"/>
        <v>68.812882468187823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5.6843418860808015E-14</v>
      </c>
      <c r="FF103" s="18">
        <f>FE103*VLOOKUP('Données projet'!$B$16,Paramètres!$A$1:$I$89,3,0)*VLOOKUP('Données projet'!$B$16,Paramètres!$A$1:$I$89,5,0)</f>
        <v>5.4978954722173515E-14</v>
      </c>
      <c r="FG103" s="14">
        <f t="shared" si="101"/>
        <v>8.8550225887742724E-13</v>
      </c>
      <c r="FH103" s="22">
        <f t="shared" si="76"/>
        <v>1.6380047803526383E-12</v>
      </c>
      <c r="FI103" s="62">
        <f t="shared" si="77"/>
        <v>277.40405518371085</v>
      </c>
      <c r="FJ103" s="62">
        <f ca="1">AVERAGE(OFFSET($FI$3,0,0,'Données projet'!$E$16+1,1))-AVERAGE(OFFSET($H$3,0,0,'Données projet'!$E$16+1,1))</f>
        <v>369.69145521630799</v>
      </c>
      <c r="FK103" s="62">
        <f t="shared" si="102"/>
        <v>360.24112103688719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>
        <f>EXP(-LN(2)/35)*FQ102+(1-EXP(-LN(2)/35))/(LN(2)/35)*FM103*FN103*VLOOKUP('Données projet'!$B$16,Paramètres!$A$1:$I$89,3,0)*0.475*44/12</f>
        <v>90.77444070271585</v>
      </c>
      <c r="FR103" s="23">
        <f>EXP(-LN(2)/25)*FR102+(1-EXP(-LN(2)/25))/(LN(2)/25)*Calculateur!FM103*Calculateur!FO103*VLOOKUP('Données projet'!$B$16,Paramètres!$A$1:$I$89,3,0)*0.475*44/12</f>
        <v>0</v>
      </c>
      <c r="FS103" s="23">
        <f>EXP(-LN(2)/2)*FS102+(1-EXP(-LN(2)/2))/(LN(2)/2)*FM103*FP103*VLOOKUP('Données projet'!$B$16,Paramètres!$A$1:$I$89,3,0)*0.475*44/12</f>
        <v>0</v>
      </c>
      <c r="FT103" s="24">
        <f t="shared" si="78"/>
        <v>90.77444070271585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5.6843418860808015E-14</v>
      </c>
      <c r="GA103" s="18">
        <f>FZ103*VLOOKUP('Données projet'!$B$17,Paramètres!$A$1:$I$89,3,0)*VLOOKUP('Données projet'!$B$17,Paramètres!$A$1:$I$89,5,0)</f>
        <v>6.1186256061773749E-14</v>
      </c>
      <c r="GB103" s="14">
        <f t="shared" si="103"/>
        <v>9.7328366192051127E-13</v>
      </c>
      <c r="GC103" s="22">
        <f t="shared" si="79"/>
        <v>1.8017017738191463E-12</v>
      </c>
      <c r="GD103" s="62">
        <f t="shared" si="80"/>
        <v>277.40405518371102</v>
      </c>
      <c r="GE103" s="62">
        <f ca="1">AVERAGE(OFFSET($GD$3,0,0,'Données projet'!$E$17+1,1))-AVERAGE(OFFSET($H$3,0,0,'Données projet'!$E$17+1,1))</f>
        <v>405.06394904053946</v>
      </c>
      <c r="GF103" s="62">
        <f t="shared" si="104"/>
        <v>393.75247087518198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>
        <f>EXP(-LN(2)/35)*GL102+(1-EXP(-LN(2)/35))/(LN(2)/35)*GH103*GI103*VLOOKUP('Données projet'!$B$17,Paramètres!$A$1:$I$89,3,0)*0.475*44/12</f>
        <v>101.02316787882893</v>
      </c>
      <c r="GM103" s="23">
        <f>EXP(-LN(2)/25)*GM102+(1-EXP(-LN(2)/25))/(LN(2)/25)*Calculateur!GH103*Calculateur!GJ103*VLOOKUP('Données projet'!$B$17,Paramètres!$A$1:$I$89,3,0)*0.475*44/12</f>
        <v>0</v>
      </c>
      <c r="GN103" s="23">
        <f>EXP(-LN(2)/2)*GN102+(1-EXP(-LN(2)/2))/(LN(2)/2)*GH103*GK103*VLOOKUP('Données projet'!$B$17,Paramètres!$A$1:$I$89,3,0)*0.475*44/12</f>
        <v>0</v>
      </c>
      <c r="GO103" s="23">
        <f t="shared" si="81"/>
        <v>101.02316787882893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5.6843418860808015E-14</v>
      </c>
      <c r="GV103" s="18">
        <f>GU103*VLOOKUP('Données projet'!$B$18,Paramètres!$A$1:$I$89,3,0)*VLOOKUP('Données projet'!$B$18,Paramètres!$A$1:$I$89,5,0)</f>
        <v>3.813056537183002E-14</v>
      </c>
      <c r="GW103" s="14">
        <f t="shared" si="105"/>
        <v>6.4086286045526829E-13</v>
      </c>
      <c r="GX103" s="22">
        <f t="shared" si="82"/>
        <v>1.1825802166488628E-12</v>
      </c>
      <c r="GY103" s="62">
        <f t="shared" si="83"/>
        <v>277.4040551837104</v>
      </c>
      <c r="GZ103" s="62">
        <f ca="1">AVERAGE(OFFSET($GY$3,0,0,'Données projet'!$E$18+1,1))-AVERAGE(OFFSET($H$3,0,0,'Données projet'!$E$18+1,1))</f>
        <v>273.21861937609918</v>
      </c>
      <c r="HA103" s="62">
        <f t="shared" si="106"/>
        <v>268.83004886965318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>
        <f>EXP(-LN(2)/35)*HG102+(1-EXP(-LN(2)/35))/(LN(2)/35)*HC103*HD103*VLOOKUP('Données projet'!$B$18,Paramètres!$A$1:$I$89,3,0)*0.475*44/12</f>
        <v>77.597505761999059</v>
      </c>
      <c r="HH103" s="23">
        <f>EXP(-LN(2)/25)*HH102+(1-EXP(-LN(2)/25))/(LN(2)/25)*Calculateur!HC103*Calculateur!HE103*VLOOKUP('Données projet'!$B$18,Paramètres!$A$1:$I$89,3,0)*0.475*44/12</f>
        <v>0</v>
      </c>
      <c r="HI103" s="23">
        <f>EXP(-LN(2)/2)*HI102+(1-EXP(-LN(2)/2))/(LN(2)/2)*HC103*HF103*VLOOKUP('Données projet'!$B$18,Paramètres!$A$1:$I$89,3,0)*0.475*44/12</f>
        <v>0</v>
      </c>
      <c r="HJ103" s="24">
        <f t="shared" si="84"/>
        <v>77.597505761999059</v>
      </c>
    </row>
    <row r="104" spans="1:218" s="5" customFormat="1" x14ac:dyDescent="0.4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5.7</v>
      </c>
      <c r="N104" s="14">
        <f>IF('Données projet'!$A$36&gt;35,N103+M104-V103,IF(A104&lt;'Données projet'!$A$36,$K$205^A104,IF(A104='Données projet'!$A$36,'Données projet'!$B$36,N103+M104-V103)))</f>
        <v>224.09999999999985</v>
      </c>
      <c r="O104" s="14">
        <f>N104*VLOOKUP('Données projet'!$B$9,Paramètres!$A$1:$I$89,3,0)*VLOOKUP('Données projet'!$B$9,Paramètres!$A$1:$I$89,5,0)</f>
        <v>202.76567999999983</v>
      </c>
      <c r="P104" s="14">
        <f t="shared" si="87"/>
        <v>50.351493804082907</v>
      </c>
      <c r="Q104" s="22">
        <f t="shared" si="107"/>
        <v>440.8457443754441</v>
      </c>
      <c r="R104" s="62">
        <f t="shared" si="55"/>
        <v>718.5261369225185</v>
      </c>
      <c r="S104" s="62">
        <f ca="1">AVERAGE(OFFSET($R$3,0,0,'Données projet'!$E$9+1,1))-AVERAGE(OFFSET($H$3,0,0,'Données projet'!$E$9+1,1))</f>
        <v>432.80275651765203</v>
      </c>
      <c r="T104" s="62">
        <f t="shared" si="88"/>
        <v>203.89279893419919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20.539987297893436</v>
      </c>
      <c r="AA104" s="23">
        <f>EXP(-LN(2)/25)*AA103+(1-EXP(-LN(2)/25))/(LN(2)/25)*Calculateur!V104*Calculateur!X104*VLOOKUP('Données projet'!$B$9,Paramètres!$A$1:$I$89,3,0)*0.475*44/12</f>
        <v>14.569765932400687</v>
      </c>
      <c r="AB104" s="23">
        <f>EXP(-LN(2)/2)*AB103+(1-EXP(-LN(2)/2))/(LN(2)/2)*V104*Y104*VLOOKUP('Données projet'!$B$9,Paramètres!$A$1:$I$89,3,0)*0.475*44/12</f>
        <v>0</v>
      </c>
      <c r="AC104" s="24">
        <f t="shared" si="57"/>
        <v>35.109753230294125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54.000000000000341</v>
      </c>
      <c r="AJ104" s="14">
        <f>AI104*VLOOKUP('Données projet'!$B$10,Paramètres!$A$1:$I$89,3,0)*VLOOKUP('Données projet'!$B$10,Paramètres!$A$1:$I$89,5,0)</f>
        <v>23.868000000000151</v>
      </c>
      <c r="AK104" s="14">
        <f t="shared" si="89"/>
        <v>7.6030930962115804</v>
      </c>
      <c r="AL104" s="22">
        <f t="shared" si="58"/>
        <v>54.812153809235433</v>
      </c>
      <c r="AM104" s="62">
        <f t="shared" si="59"/>
        <v>332.49254635630984</v>
      </c>
      <c r="AN104" s="62">
        <f ca="1">AVERAGE(OFFSET($AM$3,0,0,'Données projet'!$E$10+1,1))-AVERAGE(OFFSET($H$3,0,0,'Données projet'!$E$10+1,1))</f>
        <v>413.08876898406481</v>
      </c>
      <c r="AO104" s="62">
        <f t="shared" si="90"/>
        <v>520.31320932826566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121.9857445997612</v>
      </c>
      <c r="AV104" s="23">
        <f>EXP(-LN(2)/25)*AV103+(1-EXP(-LN(2)/25))/(LN(2)/25)*Calculateur!AQ104*Calculateur!AS104*VLOOKUP('Données projet'!$B$10,Paramètres!$A$1:$I$89,3,0)*0.475*44/12</f>
        <v>6.4742945426311653</v>
      </c>
      <c r="AW104" s="23">
        <f>EXP(-LN(2)/2)*AW103+(1-EXP(-LN(2)/2))/(LN(2)/2)*AQ104*AT104*VLOOKUP('Données projet'!$B$10,Paramètres!$A$1:$I$89,3,0)*0.475*44/12</f>
        <v>1.5005914764627522E-8</v>
      </c>
      <c r="AX104" s="23">
        <f t="shared" si="60"/>
        <v>128.46003915739828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54.000000000000341</v>
      </c>
      <c r="BE104" s="14">
        <f>BD104*VLOOKUP('Données projet'!$B$11,Paramètres!$A$1:$I$89,3,0)*VLOOKUP('Données projet'!$B$11,Paramètres!$A$1:$I$89,5,0)</f>
        <v>30.186000000000188</v>
      </c>
      <c r="BF104" s="14">
        <f t="shared" si="91"/>
        <v>9.3563888882899153</v>
      </c>
      <c r="BG104" s="22">
        <f t="shared" si="61"/>
        <v>68.869660647105263</v>
      </c>
      <c r="BH104" s="62">
        <f t="shared" si="62"/>
        <v>346.55005319417967</v>
      </c>
      <c r="BI104" s="62">
        <f ca="1">AVERAGE(OFFSET($BH$3,0,0,'Données projet'!$E$11+1,1))-AVERAGE(OFFSET($H$3,0,0,'Données projet'!$E$11+1,1))</f>
        <v>507.66185230065889</v>
      </c>
      <c r="BJ104" s="62">
        <f t="shared" si="92"/>
        <v>640.14375617778342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154.27608875852144</v>
      </c>
      <c r="BQ104" s="23">
        <f>EXP(-LN(2)/25)*BQ103+(1-EXP(-LN(2)/25))/(LN(2)/25)*Calculateur!BL104*Calculateur!BN104*VLOOKUP('Données projet'!$B$11,Paramètres!$A$1:$I$89,3,0)*0.475*44/12</f>
        <v>8.188078392151187</v>
      </c>
      <c r="BR104" s="23">
        <f>EXP(-LN(2)/2)*BR103+(1-EXP(-LN(2)/2))/(LN(2)/2)*BL104*BO104*VLOOKUP('Données projet'!$B$11,Paramètres!$A$1:$I$89,3,0)*0.475*44/12</f>
        <v>1.8978068672911291E-8</v>
      </c>
      <c r="BS104" s="24">
        <f t="shared" si="63"/>
        <v>162.46416716965069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417.04879970000007</v>
      </c>
      <c r="BZ104" s="14">
        <f>BY104*VLOOKUP('Données projet'!$B$12,Paramètres!$A$1:$I$89,3,0)*VLOOKUP('Données projet'!$B$12,Paramètres!$A$1:$I$89,5,0)</f>
        <v>195.17883825960004</v>
      </c>
      <c r="CA104" s="14">
        <f t="shared" si="93"/>
        <v>48.683122291673484</v>
      </c>
      <c r="CB104" s="22">
        <f t="shared" si="64"/>
        <v>424.72624796013469</v>
      </c>
      <c r="CC104" s="62">
        <f t="shared" si="65"/>
        <v>702.40664050720909</v>
      </c>
      <c r="CD104" s="62">
        <f ca="1">AVERAGE(OFFSET($CC$3,0,0,'Données projet'!$E$12+1,1))-AVERAGE(OFFSET($H$3,0,0,'Données projet'!$E$12+1,1))</f>
        <v>289.21044803824958</v>
      </c>
      <c r="CE104" s="62">
        <f t="shared" si="94"/>
        <v>196.11836398299445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>
        <f>EXP(-LN(2)/35)*CK103+(1-EXP(-LN(2)/35))/(LN(2)/35)*CG104*CH104*VLOOKUP('Données projet'!$B$12,Paramètres!$A$1:$I$89,3,0)*0.475*44/12</f>
        <v>67.521932940728433</v>
      </c>
      <c r="CL104" s="23">
        <f>EXP(-LN(2)/25)*CL103+(1-EXP(-LN(2)/25))/(LN(2)/25)*Calculateur!CG104*Calculateur!CI104*VLOOKUP('Données projet'!$B$12,Paramètres!$A$1:$I$89,3,0)*0.475*44/12</f>
        <v>31.182422543589094</v>
      </c>
      <c r="CM104" s="23">
        <f>EXP(-LN(2)/2)*CM103+(1-EXP(-LN(2)/2))/(LN(2)/2)*CG104*CJ104*VLOOKUP('Données projet'!$B$12,Paramètres!$A$1:$I$89,3,0)*0.475*44/12</f>
        <v>0</v>
      </c>
      <c r="CN104" s="24">
        <f t="shared" si="66"/>
        <v>98.704355484317531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-5.6843418860808015E-14</v>
      </c>
      <c r="CU104" s="18">
        <f>CT104*VLOOKUP('Données projet'!$B$13,Paramètres!$A$1:$I$89,3,0)*VLOOKUP('Données projet'!$B$13,Paramètres!$A$1:$I$89,5,0)</f>
        <v>-5.1431925385259088E-14</v>
      </c>
      <c r="CV104" s="14" t="e">
        <f t="shared" si="95"/>
        <v>#NUM!</v>
      </c>
      <c r="CW104" s="22" t="e">
        <f t="shared" si="67"/>
        <v>#NUM!</v>
      </c>
      <c r="CX104" s="62" t="e">
        <f t="shared" si="68"/>
        <v>#NUM!</v>
      </c>
      <c r="CY104" s="62">
        <f ca="1">AVERAGE(OFFSET($CX$3,0,0,'Données projet'!$E$13+1,1))-AVERAGE(OFFSET($H$3,0,0,'Données projet'!$E$13+1,1))</f>
        <v>376.68007030857598</v>
      </c>
      <c r="CZ104" s="62">
        <f t="shared" si="96"/>
        <v>532.90758914457626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>
        <f>EXP(-LN(2)/35)*DF103+(1-EXP(-LN(2)/35))/(LN(2)/35)*DB104*DC104*VLOOKUP('Données projet'!$B$13,Paramètres!$A$1:$I$89,3,0)*0.475*44/12</f>
        <v>30.883574334585113</v>
      </c>
      <c r="DG104" s="23">
        <f>EXP(-LN(2)/25)*DG103+(1-EXP(-LN(2)/25))/(LN(2)/25)*Calculateur!DB104*Calculateur!DD104*VLOOKUP('Données projet'!$B$13,Paramètres!$A$1:$I$89,3,0)*0.475*44/12</f>
        <v>1.8295928486414725</v>
      </c>
      <c r="DH104" s="23">
        <f>EXP(-LN(2)/2)*DH103+(1-EXP(-LN(2)/2))/(LN(2)/2)*DB104*DE104*VLOOKUP('Données projet'!$B$13,Paramètres!$A$1:$I$89,3,0)*0.475*44/12</f>
        <v>0</v>
      </c>
      <c r="DI104" s="24">
        <f t="shared" si="69"/>
        <v>32.713167183226588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5.6843418860808015E-14</v>
      </c>
      <c r="DP104" s="18">
        <f>DO104*VLOOKUP('Données projet'!$B$14,Paramètres!$A$1:$I$89,3,0)*VLOOKUP('Données projet'!$B$14,Paramètres!$A$1:$I$89,5,0)</f>
        <v>5.4092197387944907E-14</v>
      </c>
      <c r="DQ104" s="14">
        <f t="shared" si="97"/>
        <v>8.7287050538073676E-13</v>
      </c>
      <c r="DR104" s="22">
        <f t="shared" si="70"/>
        <v>1.6144600406554537E-12</v>
      </c>
      <c r="DS104" s="62">
        <f t="shared" si="71"/>
        <v>277.680392547076</v>
      </c>
      <c r="DT104" s="62">
        <f ca="1">AVERAGE(OFFSET($DS$3,0,0,'Données projet'!$E$14+1,1))-AVERAGE(OFFSET($H$3,0,0,'Données projet'!$E$14+1,1))</f>
        <v>364.63161066507769</v>
      </c>
      <c r="DU104" s="62">
        <f t="shared" si="98"/>
        <v>355.44729904860708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>
        <f>EXP(-LN(2)/35)*EA103+(1-EXP(-LN(2)/35))/(LN(2)/35)*DW104*DX104*VLOOKUP('Données projet'!$B$14,Paramètres!$A$1:$I$89,3,0)*0.475*44/12</f>
        <v>87.559015589292258</v>
      </c>
      <c r="EB104" s="23">
        <f>EXP(-LN(2)/25)*EB103+(1-EXP(-LN(2)/25))/(LN(2)/25)*Calculateur!DW104*Calculateur!DY104*VLOOKUP('Données projet'!$B$14,Paramètres!$A$1:$I$89,3,0)*0.475*44/12</f>
        <v>0</v>
      </c>
      <c r="EC104" s="23">
        <f>EXP(-LN(2)/2)*EC103+(1-EXP(-LN(2)/2))/(LN(2)/2)*DW104*DZ104*VLOOKUP('Données projet'!$B$14,Paramètres!$A$1:$I$89,3,0)*0.475*44/12</f>
        <v>0</v>
      </c>
      <c r="ED104" s="24">
        <f t="shared" si="72"/>
        <v>87.559015589292258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5.6843418860808015E-14</v>
      </c>
      <c r="EK104" s="18">
        <f>EJ104*VLOOKUP('Données projet'!$B$15,Paramètres!$A$1:$I$89,3,0)*VLOOKUP('Données projet'!$B$15,Paramètres!$A$1:$I$89,5,0)</f>
        <v>4.1677594708744434E-14</v>
      </c>
      <c r="EL104" s="14">
        <f t="shared" si="99"/>
        <v>6.9326303456159188E-13</v>
      </c>
      <c r="EM104" s="22">
        <f t="shared" si="73"/>
        <v>1.2800215959791691E-12</v>
      </c>
      <c r="EN104" s="62">
        <f t="shared" si="74"/>
        <v>277.68039254707571</v>
      </c>
      <c r="EO104" s="62">
        <f ca="1">AVERAGE(OFFSET($EN$3,0,0,'Données projet'!$E$15+1,1))-AVERAGE(OFFSET($H$3,0,0,'Données projet'!$E$15+1,1))</f>
        <v>293.59366973965774</v>
      </c>
      <c r="EP104" s="62">
        <f t="shared" si="100"/>
        <v>288.13804536120426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>
        <f>EXP(-LN(2)/35)*EV103+(1-EXP(-LN(2)/35))/(LN(2)/35)*ER104*ES104*VLOOKUP('Données projet'!$B$15,Paramètres!$A$1:$I$89,3,0)*0.475*44/12</f>
        <v>67.463503814700601</v>
      </c>
      <c r="EW104" s="23">
        <f>EXP(-LN(2)/25)*EW103+(1-EXP(-LN(2)/25))/(LN(2)/25)*Calculateur!ER104*Calculateur!ET104*VLOOKUP('Données projet'!$B$15,Paramètres!$A$1:$I$89,3,0)*0.475*44/12</f>
        <v>0</v>
      </c>
      <c r="EX104" s="23">
        <f>EXP(-LN(2)/2)*EX103+(1-EXP(-LN(2)/2))/(LN(2)/2)*ER104*EU104*VLOOKUP('Données projet'!$B$15,Paramètres!$A$1:$I$89,3,0)*0.475*44/12</f>
        <v>0</v>
      </c>
      <c r="EY104" s="24">
        <f t="shared" si="75"/>
        <v>67.463503814700601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5.6843418860808015E-14</v>
      </c>
      <c r="FF104" s="18">
        <f>FE104*VLOOKUP('Données projet'!$B$16,Paramètres!$A$1:$I$89,3,0)*VLOOKUP('Données projet'!$B$16,Paramètres!$A$1:$I$89,5,0)</f>
        <v>5.4978954722173515E-14</v>
      </c>
      <c r="FG104" s="14">
        <f t="shared" si="101"/>
        <v>8.8550225887742724E-13</v>
      </c>
      <c r="FH104" s="22">
        <f t="shared" si="76"/>
        <v>1.6380047803526383E-12</v>
      </c>
      <c r="FI104" s="62">
        <f t="shared" si="77"/>
        <v>277.68039254707605</v>
      </c>
      <c r="FJ104" s="62">
        <f ca="1">AVERAGE(OFFSET($FI$3,0,0,'Données projet'!$E$16+1,1))-AVERAGE(OFFSET($H$3,0,0,'Données projet'!$E$16+1,1))</f>
        <v>369.69145521630799</v>
      </c>
      <c r="FK104" s="62">
        <f t="shared" si="102"/>
        <v>360.24112103688719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>
        <f>EXP(-LN(2)/35)*FQ103+(1-EXP(-LN(2)/35))/(LN(2)/35)*FM104*FN104*VLOOKUP('Données projet'!$B$16,Paramètres!$A$1:$I$89,3,0)*0.475*44/12</f>
        <v>88.994409287477396</v>
      </c>
      <c r="FR104" s="23">
        <f>EXP(-LN(2)/25)*FR103+(1-EXP(-LN(2)/25))/(LN(2)/25)*Calculateur!FM104*Calculateur!FO104*VLOOKUP('Données projet'!$B$16,Paramètres!$A$1:$I$89,3,0)*0.475*44/12</f>
        <v>0</v>
      </c>
      <c r="FS104" s="23">
        <f>EXP(-LN(2)/2)*FS103+(1-EXP(-LN(2)/2))/(LN(2)/2)*FM104*FP104*VLOOKUP('Données projet'!$B$16,Paramètres!$A$1:$I$89,3,0)*0.475*44/12</f>
        <v>0</v>
      </c>
      <c r="FT104" s="24">
        <f t="shared" si="78"/>
        <v>88.994409287477396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5.6843418860808015E-14</v>
      </c>
      <c r="GA104" s="18">
        <f>FZ104*VLOOKUP('Données projet'!$B$17,Paramètres!$A$1:$I$89,3,0)*VLOOKUP('Données projet'!$B$17,Paramètres!$A$1:$I$89,5,0)</f>
        <v>6.1186256061773749E-14</v>
      </c>
      <c r="GB104" s="14">
        <f t="shared" si="103"/>
        <v>9.7328366192051127E-13</v>
      </c>
      <c r="GC104" s="22">
        <f t="shared" si="79"/>
        <v>1.8017017738191463E-12</v>
      </c>
      <c r="GD104" s="62">
        <f t="shared" si="80"/>
        <v>277.68039254707622</v>
      </c>
      <c r="GE104" s="62">
        <f ca="1">AVERAGE(OFFSET($GD$3,0,0,'Données projet'!$E$17+1,1))-AVERAGE(OFFSET($H$3,0,0,'Données projet'!$E$17+1,1))</f>
        <v>405.06394904053946</v>
      </c>
      <c r="GF104" s="62">
        <f t="shared" si="104"/>
        <v>393.75247087518198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>
        <f>EXP(-LN(2)/35)*GL103+(1-EXP(-LN(2)/35))/(LN(2)/35)*GH104*GI104*VLOOKUP('Données projet'!$B$17,Paramètres!$A$1:$I$89,3,0)*0.475*44/12</f>
        <v>99.042165174773217</v>
      </c>
      <c r="GM104" s="23">
        <f>EXP(-LN(2)/25)*GM103+(1-EXP(-LN(2)/25))/(LN(2)/25)*Calculateur!GH104*Calculateur!GJ104*VLOOKUP('Données projet'!$B$17,Paramètres!$A$1:$I$89,3,0)*0.475*44/12</f>
        <v>0</v>
      </c>
      <c r="GN104" s="23">
        <f>EXP(-LN(2)/2)*GN103+(1-EXP(-LN(2)/2))/(LN(2)/2)*GH104*GK104*VLOOKUP('Données projet'!$B$17,Paramètres!$A$1:$I$89,3,0)*0.475*44/12</f>
        <v>0</v>
      </c>
      <c r="GO104" s="23">
        <f t="shared" si="81"/>
        <v>99.042165174773217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5.6843418860808015E-14</v>
      </c>
      <c r="GV104" s="18">
        <f>GU104*VLOOKUP('Données projet'!$B$18,Paramètres!$A$1:$I$89,3,0)*VLOOKUP('Données projet'!$B$18,Paramètres!$A$1:$I$89,5,0)</f>
        <v>3.813056537183002E-14</v>
      </c>
      <c r="GW104" s="14">
        <f t="shared" si="105"/>
        <v>6.4086286045526829E-13</v>
      </c>
      <c r="GX104" s="22">
        <f t="shared" si="82"/>
        <v>1.1825802166488628E-12</v>
      </c>
      <c r="GY104" s="62">
        <f t="shared" si="83"/>
        <v>277.6803925470756</v>
      </c>
      <c r="GZ104" s="62">
        <f ca="1">AVERAGE(OFFSET($GY$3,0,0,'Données projet'!$E$18+1,1))-AVERAGE(OFFSET($H$3,0,0,'Données projet'!$E$18+1,1))</f>
        <v>273.21861937609918</v>
      </c>
      <c r="HA104" s="62">
        <f t="shared" si="106"/>
        <v>268.83004886965318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>
        <f>EXP(-LN(2)/35)*HG103+(1-EXP(-LN(2)/35))/(LN(2)/35)*HC104*HD104*VLOOKUP('Données projet'!$B$18,Paramètres!$A$1:$I$89,3,0)*0.475*44/12</f>
        <v>76.075866003811342</v>
      </c>
      <c r="HH104" s="23">
        <f>EXP(-LN(2)/25)*HH103+(1-EXP(-LN(2)/25))/(LN(2)/25)*Calculateur!HC104*Calculateur!HE104*VLOOKUP('Données projet'!$B$18,Paramètres!$A$1:$I$89,3,0)*0.475*44/12</f>
        <v>0</v>
      </c>
      <c r="HI104" s="23">
        <f>EXP(-LN(2)/2)*HI103+(1-EXP(-LN(2)/2))/(LN(2)/2)*HC104*HF104*VLOOKUP('Données projet'!$B$18,Paramètres!$A$1:$I$89,3,0)*0.475*44/12</f>
        <v>0</v>
      </c>
      <c r="HJ104" s="24">
        <f t="shared" si="84"/>
        <v>76.075866003811342</v>
      </c>
    </row>
    <row r="105" spans="1:218" s="5" customFormat="1" x14ac:dyDescent="0.4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5.7</v>
      </c>
      <c r="N105" s="14">
        <f>IF('Données projet'!$A$36&gt;35,N104+M105-V104,IF(A105&lt;'Données projet'!$A$36,$K$205^A105,IF(A105='Données projet'!$A$36,'Données projet'!$B$36,N104+M105-V104)))</f>
        <v>229.79999999999984</v>
      </c>
      <c r="O105" s="14">
        <f>N105*VLOOKUP('Données projet'!$B$9,Paramètres!$A$1:$I$89,3,0)*VLOOKUP('Données projet'!$B$9,Paramètres!$A$1:$I$89,5,0)</f>
        <v>207.92303999999987</v>
      </c>
      <c r="P105" s="14">
        <f t="shared" si="87"/>
        <v>51.481455463073324</v>
      </c>
      <c r="Q105" s="22">
        <f t="shared" si="107"/>
        <v>451.79616293151918</v>
      </c>
      <c r="R105" s="62">
        <f t="shared" si="55"/>
        <v>729.74809900650212</v>
      </c>
      <c r="S105" s="62">
        <f ca="1">AVERAGE(OFFSET($R$3,0,0,'Données projet'!$E$9+1,1))-AVERAGE(OFFSET($H$3,0,0,'Données projet'!$E$9+1,1))</f>
        <v>432.80275651765203</v>
      </c>
      <c r="T105" s="62">
        <f t="shared" si="88"/>
        <v>203.89279893419919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20.137210675136945</v>
      </c>
      <c r="AA105" s="23">
        <f>EXP(-LN(2)/25)*AA104+(1-EXP(-LN(2)/25))/(LN(2)/25)*Calculateur!V105*Calculateur!X105*VLOOKUP('Données projet'!$B$9,Paramètres!$A$1:$I$89,3,0)*0.475*44/12</f>
        <v>14.171354916788498</v>
      </c>
      <c r="AB105" s="23">
        <f>EXP(-LN(2)/2)*AB104+(1-EXP(-LN(2)/2))/(LN(2)/2)*V105*Y105*VLOOKUP('Données projet'!$B$9,Paramètres!$A$1:$I$89,3,0)*0.475*44/12</f>
        <v>0</v>
      </c>
      <c r="AC105" s="24">
        <f t="shared" si="57"/>
        <v>34.308565591925444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54.000000000000341</v>
      </c>
      <c r="AJ105" s="14">
        <f>AI105*VLOOKUP('Données projet'!$B$10,Paramètres!$A$1:$I$89,3,0)*VLOOKUP('Données projet'!$B$10,Paramètres!$A$1:$I$89,5,0)</f>
        <v>23.868000000000151</v>
      </c>
      <c r="AK105" s="14">
        <f t="shared" si="89"/>
        <v>7.6030930962115804</v>
      </c>
      <c r="AL105" s="22">
        <f t="shared" si="58"/>
        <v>54.812153809235433</v>
      </c>
      <c r="AM105" s="62">
        <f t="shared" si="59"/>
        <v>332.76408988421838</v>
      </c>
      <c r="AN105" s="62">
        <f ca="1">AVERAGE(OFFSET($AM$3,0,0,'Données projet'!$E$10+1,1))-AVERAGE(OFFSET($H$3,0,0,'Données projet'!$E$10+1,1))</f>
        <v>413.08876898406481</v>
      </c>
      <c r="AO105" s="62">
        <f t="shared" si="90"/>
        <v>520.31320932826566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119.59367855211731</v>
      </c>
      <c r="AV105" s="23">
        <f>EXP(-LN(2)/25)*AV104+(1-EXP(-LN(2)/25))/(LN(2)/25)*Calculateur!AQ105*Calculateur!AS105*VLOOKUP('Données projet'!$B$10,Paramètres!$A$1:$I$89,3,0)*0.475*44/12</f>
        <v>6.2972546178945636</v>
      </c>
      <c r="AW105" s="23">
        <f>EXP(-LN(2)/2)*AW104+(1-EXP(-LN(2)/2))/(LN(2)/2)*AQ105*AT105*VLOOKUP('Données projet'!$B$10,Paramètres!$A$1:$I$89,3,0)*0.475*44/12</f>
        <v>1.0610784087975456E-8</v>
      </c>
      <c r="AX105" s="23">
        <f t="shared" si="60"/>
        <v>125.89093318062267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54.000000000000341</v>
      </c>
      <c r="BE105" s="14">
        <f>BD105*VLOOKUP('Données projet'!$B$11,Paramètres!$A$1:$I$89,3,0)*VLOOKUP('Données projet'!$B$11,Paramètres!$A$1:$I$89,5,0)</f>
        <v>30.186000000000188</v>
      </c>
      <c r="BF105" s="14">
        <f t="shared" si="91"/>
        <v>9.3563888882899153</v>
      </c>
      <c r="BG105" s="22">
        <f t="shared" si="61"/>
        <v>68.869660647105263</v>
      </c>
      <c r="BH105" s="62">
        <f t="shared" si="62"/>
        <v>346.8215967220882</v>
      </c>
      <c r="BI105" s="62">
        <f ca="1">AVERAGE(OFFSET($BH$3,0,0,'Données projet'!$E$11+1,1))-AVERAGE(OFFSET($H$3,0,0,'Données projet'!$E$11+1,1))</f>
        <v>507.66185230065889</v>
      </c>
      <c r="BJ105" s="62">
        <f t="shared" si="92"/>
        <v>640.14375617778342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151.25082875708947</v>
      </c>
      <c r="BQ105" s="23">
        <f>EXP(-LN(2)/25)*BQ104+(1-EXP(-LN(2)/25))/(LN(2)/25)*Calculateur!BL105*Calculateur!BN105*VLOOKUP('Données projet'!$B$11,Paramètres!$A$1:$I$89,3,0)*0.475*44/12</f>
        <v>7.9641749579254846</v>
      </c>
      <c r="BR105" s="23">
        <f>EXP(-LN(2)/2)*BR104+(1-EXP(-LN(2)/2))/(LN(2)/2)*BL105*BO105*VLOOKUP('Données projet'!$B$11,Paramètres!$A$1:$I$89,3,0)*0.475*44/12</f>
        <v>1.3419521052439557E-8</v>
      </c>
      <c r="BS105" s="24">
        <f t="shared" si="63"/>
        <v>159.21500372843445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417.04879970000007</v>
      </c>
      <c r="BZ105" s="14">
        <f>BY105*VLOOKUP('Données projet'!$B$12,Paramètres!$A$1:$I$89,3,0)*VLOOKUP('Données projet'!$B$12,Paramètres!$A$1:$I$89,5,0)</f>
        <v>195.17883825960004</v>
      </c>
      <c r="CA105" s="14">
        <f t="shared" si="93"/>
        <v>48.683122291673484</v>
      </c>
      <c r="CB105" s="22">
        <f t="shared" si="64"/>
        <v>424.72624796013469</v>
      </c>
      <c r="CC105" s="62">
        <f t="shared" si="65"/>
        <v>702.67818403511762</v>
      </c>
      <c r="CD105" s="62">
        <f ca="1">AVERAGE(OFFSET($CC$3,0,0,'Données projet'!$E$12+1,1))-AVERAGE(OFFSET($H$3,0,0,'Données projet'!$E$12+1,1))</f>
        <v>289.21044803824958</v>
      </c>
      <c r="CE105" s="62">
        <f t="shared" si="94"/>
        <v>196.11836398299445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>
        <f>EXP(-LN(2)/35)*CK104+(1-EXP(-LN(2)/35))/(LN(2)/35)*CG105*CH105*VLOOKUP('Données projet'!$B$12,Paramètres!$A$1:$I$89,3,0)*0.475*44/12</f>
        <v>66.197869020073227</v>
      </c>
      <c r="CL105" s="23">
        <f>EXP(-LN(2)/25)*CL104+(1-EXP(-LN(2)/25))/(LN(2)/25)*Calculateur!CG105*Calculateur!CI105*VLOOKUP('Données projet'!$B$12,Paramètres!$A$1:$I$89,3,0)*0.475*44/12</f>
        <v>30.329737559322318</v>
      </c>
      <c r="CM105" s="23">
        <f>EXP(-LN(2)/2)*CM104+(1-EXP(-LN(2)/2))/(LN(2)/2)*CG105*CJ105*VLOOKUP('Données projet'!$B$12,Paramètres!$A$1:$I$89,3,0)*0.475*44/12</f>
        <v>0</v>
      </c>
      <c r="CN105" s="24">
        <f t="shared" si="66"/>
        <v>96.527606579395552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-5.6843418860808015E-14</v>
      </c>
      <c r="CU105" s="18">
        <f>CT105*VLOOKUP('Données projet'!$B$13,Paramètres!$A$1:$I$89,3,0)*VLOOKUP('Données projet'!$B$13,Paramètres!$A$1:$I$89,5,0)</f>
        <v>-5.1431925385259088E-14</v>
      </c>
      <c r="CV105" s="14" t="e">
        <f t="shared" si="95"/>
        <v>#NUM!</v>
      </c>
      <c r="CW105" s="22" t="e">
        <f t="shared" si="67"/>
        <v>#NUM!</v>
      </c>
      <c r="CX105" s="62" t="e">
        <f t="shared" si="68"/>
        <v>#NUM!</v>
      </c>
      <c r="CY105" s="62">
        <f ca="1">AVERAGE(OFFSET($CX$3,0,0,'Données projet'!$E$13+1,1))-AVERAGE(OFFSET($H$3,0,0,'Données projet'!$E$13+1,1))</f>
        <v>376.68007030857598</v>
      </c>
      <c r="CZ105" s="62">
        <f t="shared" si="96"/>
        <v>532.90758914457626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>
        <f>EXP(-LN(2)/35)*DF104+(1-EXP(-LN(2)/35))/(LN(2)/35)*DB105*DC105*VLOOKUP('Données projet'!$B$13,Paramètres!$A$1:$I$89,3,0)*0.475*44/12</f>
        <v>30.277966279004232</v>
      </c>
      <c r="DG105" s="23">
        <f>EXP(-LN(2)/25)*DG104+(1-EXP(-LN(2)/25))/(LN(2)/25)*Calculateur!DB105*Calculateur!DD105*VLOOKUP('Données projet'!$B$13,Paramètres!$A$1:$I$89,3,0)*0.475*44/12</f>
        <v>1.7795625359812652</v>
      </c>
      <c r="DH105" s="23">
        <f>EXP(-LN(2)/2)*DH104+(1-EXP(-LN(2)/2))/(LN(2)/2)*DB105*DE105*VLOOKUP('Données projet'!$B$13,Paramètres!$A$1:$I$89,3,0)*0.475*44/12</f>
        <v>0</v>
      </c>
      <c r="DI105" s="24">
        <f t="shared" si="69"/>
        <v>32.057528814985496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5.6843418860808015E-14</v>
      </c>
      <c r="DP105" s="18">
        <f>DO105*VLOOKUP('Données projet'!$B$14,Paramètres!$A$1:$I$89,3,0)*VLOOKUP('Données projet'!$B$14,Paramètres!$A$1:$I$89,5,0)</f>
        <v>5.4092197387944907E-14</v>
      </c>
      <c r="DQ105" s="14">
        <f t="shared" si="97"/>
        <v>8.7287050538073676E-13</v>
      </c>
      <c r="DR105" s="22">
        <f t="shared" si="70"/>
        <v>1.6144600406554537E-12</v>
      </c>
      <c r="DS105" s="62">
        <f t="shared" si="71"/>
        <v>277.95193607498453</v>
      </c>
      <c r="DT105" s="62">
        <f ca="1">AVERAGE(OFFSET($DS$3,0,0,'Données projet'!$E$14+1,1))-AVERAGE(OFFSET($H$3,0,0,'Données projet'!$E$14+1,1))</f>
        <v>364.63161066507769</v>
      </c>
      <c r="DU105" s="62">
        <f t="shared" si="98"/>
        <v>355.44729904860708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>
        <f>EXP(-LN(2)/35)*EA104+(1-EXP(-LN(2)/35))/(LN(2)/35)*DW105*DX105*VLOOKUP('Données projet'!$B$14,Paramètres!$A$1:$I$89,3,0)*0.475*44/12</f>
        <v>85.842036699312374</v>
      </c>
      <c r="EB105" s="23">
        <f>EXP(-LN(2)/25)*EB104+(1-EXP(-LN(2)/25))/(LN(2)/25)*Calculateur!DW105*Calculateur!DY105*VLOOKUP('Données projet'!$B$14,Paramètres!$A$1:$I$89,3,0)*0.475*44/12</f>
        <v>0</v>
      </c>
      <c r="EC105" s="23">
        <f>EXP(-LN(2)/2)*EC104+(1-EXP(-LN(2)/2))/(LN(2)/2)*DW105*DZ105*VLOOKUP('Données projet'!$B$14,Paramètres!$A$1:$I$89,3,0)*0.475*44/12</f>
        <v>0</v>
      </c>
      <c r="ED105" s="24">
        <f t="shared" si="72"/>
        <v>85.842036699312374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5.6843418860808015E-14</v>
      </c>
      <c r="EK105" s="18">
        <f>EJ105*VLOOKUP('Données projet'!$B$15,Paramètres!$A$1:$I$89,3,0)*VLOOKUP('Données projet'!$B$15,Paramètres!$A$1:$I$89,5,0)</f>
        <v>4.1677594708744434E-14</v>
      </c>
      <c r="EL105" s="14">
        <f t="shared" si="99"/>
        <v>6.9326303456159188E-13</v>
      </c>
      <c r="EM105" s="22">
        <f t="shared" si="73"/>
        <v>1.2800215959791691E-12</v>
      </c>
      <c r="EN105" s="62">
        <f t="shared" si="74"/>
        <v>277.95193607498425</v>
      </c>
      <c r="EO105" s="62">
        <f ca="1">AVERAGE(OFFSET($EN$3,0,0,'Données projet'!$E$15+1,1))-AVERAGE(OFFSET($H$3,0,0,'Données projet'!$E$15+1,1))</f>
        <v>293.59366973965774</v>
      </c>
      <c r="EP105" s="62">
        <f t="shared" si="100"/>
        <v>288.13804536120426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>
        <f>EXP(-LN(2)/35)*EV104+(1-EXP(-LN(2)/35))/(LN(2)/35)*ER105*ES105*VLOOKUP('Données projet'!$B$15,Paramètres!$A$1:$I$89,3,0)*0.475*44/12</f>
        <v>66.14058565356855</v>
      </c>
      <c r="EW105" s="23">
        <f>EXP(-LN(2)/25)*EW104+(1-EXP(-LN(2)/25))/(LN(2)/25)*Calculateur!ER105*Calculateur!ET105*VLOOKUP('Données projet'!$B$15,Paramètres!$A$1:$I$89,3,0)*0.475*44/12</f>
        <v>0</v>
      </c>
      <c r="EX105" s="23">
        <f>EXP(-LN(2)/2)*EX104+(1-EXP(-LN(2)/2))/(LN(2)/2)*ER105*EU105*VLOOKUP('Données projet'!$B$15,Paramètres!$A$1:$I$89,3,0)*0.475*44/12</f>
        <v>0</v>
      </c>
      <c r="EY105" s="24">
        <f t="shared" si="75"/>
        <v>66.14058565356855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5.6843418860808015E-14</v>
      </c>
      <c r="FF105" s="18">
        <f>FE105*VLOOKUP('Données projet'!$B$16,Paramètres!$A$1:$I$89,3,0)*VLOOKUP('Données projet'!$B$16,Paramètres!$A$1:$I$89,5,0)</f>
        <v>5.4978954722173515E-14</v>
      </c>
      <c r="FG105" s="14">
        <f t="shared" si="101"/>
        <v>8.8550225887742724E-13</v>
      </c>
      <c r="FH105" s="22">
        <f t="shared" si="76"/>
        <v>1.6380047803526383E-12</v>
      </c>
      <c r="FI105" s="62">
        <f t="shared" si="77"/>
        <v>277.95193607498459</v>
      </c>
      <c r="FJ105" s="62">
        <f ca="1">AVERAGE(OFFSET($FI$3,0,0,'Données projet'!$E$16+1,1))-AVERAGE(OFFSET($H$3,0,0,'Données projet'!$E$16+1,1))</f>
        <v>369.69145521630799</v>
      </c>
      <c r="FK105" s="62">
        <f t="shared" si="102"/>
        <v>360.24112103688719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>
        <f>EXP(-LN(2)/35)*FQ104+(1-EXP(-LN(2)/35))/(LN(2)/35)*FM105*FN105*VLOOKUP('Données projet'!$B$16,Paramètres!$A$1:$I$89,3,0)*0.475*44/12</f>
        <v>87.249283202579804</v>
      </c>
      <c r="FR105" s="23">
        <f>EXP(-LN(2)/25)*FR104+(1-EXP(-LN(2)/25))/(LN(2)/25)*Calculateur!FM105*Calculateur!FO105*VLOOKUP('Données projet'!$B$16,Paramètres!$A$1:$I$89,3,0)*0.475*44/12</f>
        <v>0</v>
      </c>
      <c r="FS105" s="23">
        <f>EXP(-LN(2)/2)*FS104+(1-EXP(-LN(2)/2))/(LN(2)/2)*FM105*FP105*VLOOKUP('Données projet'!$B$16,Paramètres!$A$1:$I$89,3,0)*0.475*44/12</f>
        <v>0</v>
      </c>
      <c r="FT105" s="24">
        <f t="shared" si="78"/>
        <v>87.249283202579804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5.6843418860808015E-14</v>
      </c>
      <c r="GA105" s="18">
        <f>FZ105*VLOOKUP('Données projet'!$B$17,Paramètres!$A$1:$I$89,3,0)*VLOOKUP('Données projet'!$B$17,Paramètres!$A$1:$I$89,5,0)</f>
        <v>6.1186256061773749E-14</v>
      </c>
      <c r="GB105" s="14">
        <f t="shared" si="103"/>
        <v>9.7328366192051127E-13</v>
      </c>
      <c r="GC105" s="22">
        <f t="shared" si="79"/>
        <v>1.8017017738191463E-12</v>
      </c>
      <c r="GD105" s="62">
        <f t="shared" si="80"/>
        <v>277.95193607498476</v>
      </c>
      <c r="GE105" s="62">
        <f ca="1">AVERAGE(OFFSET($GD$3,0,0,'Données projet'!$E$17+1,1))-AVERAGE(OFFSET($H$3,0,0,'Données projet'!$E$17+1,1))</f>
        <v>405.06394904053946</v>
      </c>
      <c r="GF105" s="62">
        <f t="shared" si="104"/>
        <v>393.75247087518198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>
        <f>EXP(-LN(2)/35)*GL104+(1-EXP(-LN(2)/35))/(LN(2)/35)*GH105*GI105*VLOOKUP('Données projet'!$B$17,Paramètres!$A$1:$I$89,3,0)*0.475*44/12</f>
        <v>97.100008725451701</v>
      </c>
      <c r="GM105" s="23">
        <f>EXP(-LN(2)/25)*GM104+(1-EXP(-LN(2)/25))/(LN(2)/25)*Calculateur!GH105*Calculateur!GJ105*VLOOKUP('Données projet'!$B$17,Paramètres!$A$1:$I$89,3,0)*0.475*44/12</f>
        <v>0</v>
      </c>
      <c r="GN105" s="23">
        <f>EXP(-LN(2)/2)*GN104+(1-EXP(-LN(2)/2))/(LN(2)/2)*GH105*GK105*VLOOKUP('Données projet'!$B$17,Paramètres!$A$1:$I$89,3,0)*0.475*44/12</f>
        <v>0</v>
      </c>
      <c r="GO105" s="23">
        <f t="shared" si="81"/>
        <v>97.100008725451701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5.6843418860808015E-14</v>
      </c>
      <c r="GV105" s="18">
        <f>GU105*VLOOKUP('Données projet'!$B$18,Paramètres!$A$1:$I$89,3,0)*VLOOKUP('Données projet'!$B$18,Paramètres!$A$1:$I$89,5,0)</f>
        <v>3.813056537183002E-14</v>
      </c>
      <c r="GW105" s="14">
        <f t="shared" si="105"/>
        <v>6.4086286045526829E-13</v>
      </c>
      <c r="GX105" s="22">
        <f t="shared" si="82"/>
        <v>1.1825802166488628E-12</v>
      </c>
      <c r="GY105" s="62">
        <f t="shared" si="83"/>
        <v>277.95193607498413</v>
      </c>
      <c r="GZ105" s="62">
        <f ca="1">AVERAGE(OFFSET($GY$3,0,0,'Données projet'!$E$18+1,1))-AVERAGE(OFFSET($H$3,0,0,'Données projet'!$E$18+1,1))</f>
        <v>273.21861937609918</v>
      </c>
      <c r="HA105" s="62">
        <f t="shared" si="106"/>
        <v>268.83004886965318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>
        <f>EXP(-LN(2)/35)*HG104+(1-EXP(-LN(2)/35))/(LN(2)/35)*HC105*HD105*VLOOKUP('Données projet'!$B$18,Paramètres!$A$1:$I$89,3,0)*0.475*44/12</f>
        <v>74.584064673173074</v>
      </c>
      <c r="HH105" s="23">
        <f>EXP(-LN(2)/25)*HH104+(1-EXP(-LN(2)/25))/(LN(2)/25)*Calculateur!HC105*Calculateur!HE105*VLOOKUP('Données projet'!$B$18,Paramètres!$A$1:$I$89,3,0)*0.475*44/12</f>
        <v>0</v>
      </c>
      <c r="HI105" s="23">
        <f>EXP(-LN(2)/2)*HI104+(1-EXP(-LN(2)/2))/(LN(2)/2)*HC105*HF105*VLOOKUP('Données projet'!$B$18,Paramètres!$A$1:$I$89,3,0)*0.475*44/12</f>
        <v>0</v>
      </c>
      <c r="HJ105" s="24">
        <f t="shared" si="84"/>
        <v>74.584064673173074</v>
      </c>
    </row>
    <row r="106" spans="1:218" s="5" customFormat="1" x14ac:dyDescent="0.4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5.7</v>
      </c>
      <c r="N106" s="14">
        <f>IF('Données projet'!$A$36&gt;35,N105+M106-V105,IF(A106&lt;'Données projet'!$A$36,$K$205^A106,IF(A106='Données projet'!$A$36,'Données projet'!$B$36,N105+M106-V105)))</f>
        <v>235.49999999999983</v>
      </c>
      <c r="O106" s="14">
        <f>N106*VLOOKUP('Données projet'!$B$9,Paramètres!$A$1:$I$89,3,0)*VLOOKUP('Données projet'!$B$9,Paramètres!$A$1:$I$89,5,0)</f>
        <v>213.08039999999983</v>
      </c>
      <c r="P106" s="14">
        <f t="shared" si="87"/>
        <v>52.608159041735547</v>
      </c>
      <c r="Q106" s="22">
        <f t="shared" si="107"/>
        <v>462.74090699768914</v>
      </c>
      <c r="R106" s="62">
        <f t="shared" si="55"/>
        <v>740.95967592745183</v>
      </c>
      <c r="S106" s="62">
        <f ca="1">AVERAGE(OFFSET($R$3,0,0,'Données projet'!$E$9+1,1))-AVERAGE(OFFSET($H$3,0,0,'Données projet'!$E$9+1,1))</f>
        <v>432.80275651765203</v>
      </c>
      <c r="T106" s="62">
        <f t="shared" si="88"/>
        <v>203.89279893419919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19.742332256283227</v>
      </c>
      <c r="AA106" s="23">
        <f>EXP(-LN(2)/25)*AA105+(1-EXP(-LN(2)/25))/(LN(2)/25)*Calculateur!V106*Calculateur!X106*VLOOKUP('Données projet'!$B$9,Paramètres!$A$1:$I$89,3,0)*0.475*44/12</f>
        <v>13.783838471349751</v>
      </c>
      <c r="AB106" s="23">
        <f>EXP(-LN(2)/2)*AB105+(1-EXP(-LN(2)/2))/(LN(2)/2)*V106*Y106*VLOOKUP('Données projet'!$B$9,Paramètres!$A$1:$I$89,3,0)*0.475*44/12</f>
        <v>0</v>
      </c>
      <c r="AC106" s="24">
        <f t="shared" si="57"/>
        <v>33.52617072763298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54.000000000000341</v>
      </c>
      <c r="AJ106" s="14">
        <f>AI106*VLOOKUP('Données projet'!$B$10,Paramètres!$A$1:$I$89,3,0)*VLOOKUP('Données projet'!$B$10,Paramètres!$A$1:$I$89,5,0)</f>
        <v>23.868000000000151</v>
      </c>
      <c r="AK106" s="14">
        <f t="shared" si="89"/>
        <v>7.6030930962115804</v>
      </c>
      <c r="AL106" s="22">
        <f t="shared" si="58"/>
        <v>54.812153809235433</v>
      </c>
      <c r="AM106" s="62">
        <f t="shared" si="59"/>
        <v>333.03092273899813</v>
      </c>
      <c r="AN106" s="62">
        <f ca="1">AVERAGE(OFFSET($AM$3,0,0,'Données projet'!$E$10+1,1))-AVERAGE(OFFSET($H$3,0,0,'Données projet'!$E$10+1,1))</f>
        <v>413.08876898406481</v>
      </c>
      <c r="AO106" s="62">
        <f t="shared" si="90"/>
        <v>520.31320932826566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117.24851946065149</v>
      </c>
      <c r="AV106" s="23">
        <f>EXP(-LN(2)/25)*AV105+(1-EXP(-LN(2)/25))/(LN(2)/25)*Calculateur!AQ106*Calculateur!AS106*VLOOKUP('Données projet'!$B$10,Paramètres!$A$1:$I$89,3,0)*0.475*44/12</f>
        <v>6.1250558592100086</v>
      </c>
      <c r="AW106" s="23">
        <f>EXP(-LN(2)/2)*AW105+(1-EXP(-LN(2)/2))/(LN(2)/2)*AQ106*AT106*VLOOKUP('Données projet'!$B$10,Paramètres!$A$1:$I$89,3,0)*0.475*44/12</f>
        <v>7.5029573823137609E-9</v>
      </c>
      <c r="AX106" s="23">
        <f t="shared" si="60"/>
        <v>123.37357532736446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54.000000000000341</v>
      </c>
      <c r="BE106" s="14">
        <f>BD106*VLOOKUP('Données projet'!$B$11,Paramètres!$A$1:$I$89,3,0)*VLOOKUP('Données projet'!$B$11,Paramètres!$A$1:$I$89,5,0)</f>
        <v>30.186000000000188</v>
      </c>
      <c r="BF106" s="14">
        <f t="shared" si="91"/>
        <v>9.3563888882899153</v>
      </c>
      <c r="BG106" s="22">
        <f t="shared" si="61"/>
        <v>68.869660647105263</v>
      </c>
      <c r="BH106" s="62">
        <f t="shared" si="62"/>
        <v>347.08842957686795</v>
      </c>
      <c r="BI106" s="62">
        <f ca="1">AVERAGE(OFFSET($BH$3,0,0,'Données projet'!$E$11+1,1))-AVERAGE(OFFSET($H$3,0,0,'Données projet'!$E$11+1,1))</f>
        <v>507.66185230065889</v>
      </c>
      <c r="BJ106" s="62">
        <f t="shared" si="92"/>
        <v>640.14375617778342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148.28489225905918</v>
      </c>
      <c r="BQ106" s="23">
        <f>EXP(-LN(2)/25)*BQ105+(1-EXP(-LN(2)/25))/(LN(2)/25)*Calculateur!BL106*Calculateur!BN106*VLOOKUP('Données projet'!$B$11,Paramètres!$A$1:$I$89,3,0)*0.475*44/12</f>
        <v>7.7463941748832532</v>
      </c>
      <c r="BR106" s="23">
        <f>EXP(-LN(2)/2)*BR105+(1-EXP(-LN(2)/2))/(LN(2)/2)*BL106*BO106*VLOOKUP('Données projet'!$B$11,Paramètres!$A$1:$I$89,3,0)*0.475*44/12</f>
        <v>9.4890343364556454E-9</v>
      </c>
      <c r="BS106" s="24">
        <f t="shared" si="63"/>
        <v>156.03128644343147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417.04879970000007</v>
      </c>
      <c r="BZ106" s="14">
        <f>BY106*VLOOKUP('Données projet'!$B$12,Paramètres!$A$1:$I$89,3,0)*VLOOKUP('Données projet'!$B$12,Paramètres!$A$1:$I$89,5,0)</f>
        <v>195.17883825960004</v>
      </c>
      <c r="CA106" s="14">
        <f t="shared" si="93"/>
        <v>48.683122291673484</v>
      </c>
      <c r="CB106" s="22">
        <f t="shared" si="64"/>
        <v>424.72624796013469</v>
      </c>
      <c r="CC106" s="62">
        <f t="shared" si="65"/>
        <v>702.94501688989737</v>
      </c>
      <c r="CD106" s="62">
        <f ca="1">AVERAGE(OFFSET($CC$3,0,0,'Données projet'!$E$12+1,1))-AVERAGE(OFFSET($H$3,0,0,'Données projet'!$E$12+1,1))</f>
        <v>289.21044803824958</v>
      </c>
      <c r="CE106" s="62">
        <f t="shared" si="94"/>
        <v>196.11836398299445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>
        <f>EXP(-LN(2)/35)*CK105+(1-EXP(-LN(2)/35))/(LN(2)/35)*CG106*CH106*VLOOKUP('Données projet'!$B$12,Paramètres!$A$1:$I$89,3,0)*0.475*44/12</f>
        <v>64.89976918530283</v>
      </c>
      <c r="CL106" s="23">
        <f>EXP(-LN(2)/25)*CL105+(1-EXP(-LN(2)/25))/(LN(2)/25)*Calculateur!CG106*Calculateur!CI106*VLOOKUP('Données projet'!$B$12,Paramètres!$A$1:$I$89,3,0)*0.475*44/12</f>
        <v>29.50036929079107</v>
      </c>
      <c r="CM106" s="23">
        <f>EXP(-LN(2)/2)*CM105+(1-EXP(-LN(2)/2))/(LN(2)/2)*CG106*CJ106*VLOOKUP('Données projet'!$B$12,Paramètres!$A$1:$I$89,3,0)*0.475*44/12</f>
        <v>0</v>
      </c>
      <c r="CN106" s="24">
        <f t="shared" si="66"/>
        <v>94.4001384760939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-5.6843418860808015E-14</v>
      </c>
      <c r="CU106" s="18">
        <f>CT106*VLOOKUP('Données projet'!$B$13,Paramètres!$A$1:$I$89,3,0)*VLOOKUP('Données projet'!$B$13,Paramètres!$A$1:$I$89,5,0)</f>
        <v>-5.1431925385259088E-14</v>
      </c>
      <c r="CV106" s="14" t="e">
        <f t="shared" si="95"/>
        <v>#NUM!</v>
      </c>
      <c r="CW106" s="22" t="e">
        <f t="shared" si="67"/>
        <v>#NUM!</v>
      </c>
      <c r="CX106" s="62" t="e">
        <f t="shared" si="68"/>
        <v>#NUM!</v>
      </c>
      <c r="CY106" s="62">
        <f ca="1">AVERAGE(OFFSET($CX$3,0,0,'Données projet'!$E$13+1,1))-AVERAGE(OFFSET($H$3,0,0,'Données projet'!$E$13+1,1))</f>
        <v>376.68007030857598</v>
      </c>
      <c r="CZ106" s="62">
        <f t="shared" si="96"/>
        <v>532.90758914457626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>
        <f>EXP(-LN(2)/35)*DF105+(1-EXP(-LN(2)/35))/(LN(2)/35)*DB106*DC106*VLOOKUP('Données projet'!$B$13,Paramètres!$A$1:$I$89,3,0)*0.475*44/12</f>
        <v>29.684233828008853</v>
      </c>
      <c r="DG106" s="23">
        <f>EXP(-LN(2)/25)*DG105+(1-EXP(-LN(2)/25))/(LN(2)/25)*Calculateur!DB106*Calculateur!DD106*VLOOKUP('Données projet'!$B$13,Paramètres!$A$1:$I$89,3,0)*0.475*44/12</f>
        <v>1.7309003048517311</v>
      </c>
      <c r="DH106" s="23">
        <f>EXP(-LN(2)/2)*DH105+(1-EXP(-LN(2)/2))/(LN(2)/2)*DB106*DE106*VLOOKUP('Données projet'!$B$13,Paramètres!$A$1:$I$89,3,0)*0.475*44/12</f>
        <v>0</v>
      </c>
      <c r="DI106" s="24">
        <f t="shared" si="69"/>
        <v>31.415134132860583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5.6843418860808015E-14</v>
      </c>
      <c r="DP106" s="18">
        <f>DO106*VLOOKUP('Données projet'!$B$14,Paramètres!$A$1:$I$89,3,0)*VLOOKUP('Données projet'!$B$14,Paramètres!$A$1:$I$89,5,0)</f>
        <v>5.4092197387944907E-14</v>
      </c>
      <c r="DQ106" s="14">
        <f t="shared" si="97"/>
        <v>8.7287050538073676E-13</v>
      </c>
      <c r="DR106" s="22">
        <f t="shared" si="70"/>
        <v>1.6144600406554537E-12</v>
      </c>
      <c r="DS106" s="62">
        <f t="shared" si="71"/>
        <v>278.21876892976428</v>
      </c>
      <c r="DT106" s="62">
        <f ca="1">AVERAGE(OFFSET($DS$3,0,0,'Données projet'!$E$14+1,1))-AVERAGE(OFFSET($H$3,0,0,'Données projet'!$E$14+1,1))</f>
        <v>364.63161066507769</v>
      </c>
      <c r="DU106" s="62">
        <f t="shared" si="98"/>
        <v>355.44729904860708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>
        <f>EXP(-LN(2)/35)*EA105+(1-EXP(-LN(2)/35))/(LN(2)/35)*DW106*DX106*VLOOKUP('Données projet'!$B$14,Paramètres!$A$1:$I$89,3,0)*0.475*44/12</f>
        <v>84.158726718111268</v>
      </c>
      <c r="EB106" s="23">
        <f>EXP(-LN(2)/25)*EB105+(1-EXP(-LN(2)/25))/(LN(2)/25)*Calculateur!DW106*Calculateur!DY106*VLOOKUP('Données projet'!$B$14,Paramètres!$A$1:$I$89,3,0)*0.475*44/12</f>
        <v>0</v>
      </c>
      <c r="EC106" s="23">
        <f>EXP(-LN(2)/2)*EC105+(1-EXP(-LN(2)/2))/(LN(2)/2)*DW106*DZ106*VLOOKUP('Données projet'!$B$14,Paramètres!$A$1:$I$89,3,0)*0.475*44/12</f>
        <v>0</v>
      </c>
      <c r="ED106" s="24">
        <f t="shared" si="72"/>
        <v>84.158726718111268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5.6843418860808015E-14</v>
      </c>
      <c r="EK106" s="18">
        <f>EJ106*VLOOKUP('Données projet'!$B$15,Paramètres!$A$1:$I$89,3,0)*VLOOKUP('Données projet'!$B$15,Paramètres!$A$1:$I$89,5,0)</f>
        <v>4.1677594708744434E-14</v>
      </c>
      <c r="EL106" s="14">
        <f t="shared" si="99"/>
        <v>6.9326303456159188E-13</v>
      </c>
      <c r="EM106" s="22">
        <f t="shared" si="73"/>
        <v>1.2800215959791691E-12</v>
      </c>
      <c r="EN106" s="62">
        <f t="shared" si="74"/>
        <v>278.218768929764</v>
      </c>
      <c r="EO106" s="62">
        <f ca="1">AVERAGE(OFFSET($EN$3,0,0,'Données projet'!$E$15+1,1))-AVERAGE(OFFSET($H$3,0,0,'Données projet'!$E$15+1,1))</f>
        <v>293.59366973965774</v>
      </c>
      <c r="EP106" s="62">
        <f t="shared" si="100"/>
        <v>288.13804536120426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>
        <f>EXP(-LN(2)/35)*EV105+(1-EXP(-LN(2)/35))/(LN(2)/35)*ER106*ES106*VLOOKUP('Données projet'!$B$15,Paramètres!$A$1:$I$89,3,0)*0.475*44/12</f>
        <v>64.843609110675899</v>
      </c>
      <c r="EW106" s="23">
        <f>EXP(-LN(2)/25)*EW105+(1-EXP(-LN(2)/25))/(LN(2)/25)*Calculateur!ER106*Calculateur!ET106*VLOOKUP('Données projet'!$B$15,Paramètres!$A$1:$I$89,3,0)*0.475*44/12</f>
        <v>0</v>
      </c>
      <c r="EX106" s="23">
        <f>EXP(-LN(2)/2)*EX105+(1-EXP(-LN(2)/2))/(LN(2)/2)*ER106*EU106*VLOOKUP('Données projet'!$B$15,Paramètres!$A$1:$I$89,3,0)*0.475*44/12</f>
        <v>0</v>
      </c>
      <c r="EY106" s="24">
        <f t="shared" si="75"/>
        <v>64.843609110675899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5.6843418860808015E-14</v>
      </c>
      <c r="FF106" s="18">
        <f>FE106*VLOOKUP('Données projet'!$B$16,Paramètres!$A$1:$I$89,3,0)*VLOOKUP('Données projet'!$B$16,Paramètres!$A$1:$I$89,5,0)</f>
        <v>5.4978954722173515E-14</v>
      </c>
      <c r="FG106" s="14">
        <f t="shared" si="101"/>
        <v>8.8550225887742724E-13</v>
      </c>
      <c r="FH106" s="22">
        <f t="shared" si="76"/>
        <v>1.6380047803526383E-12</v>
      </c>
      <c r="FI106" s="62">
        <f t="shared" si="77"/>
        <v>278.21876892976434</v>
      </c>
      <c r="FJ106" s="62">
        <f ca="1">AVERAGE(OFFSET($FI$3,0,0,'Données projet'!$E$16+1,1))-AVERAGE(OFFSET($H$3,0,0,'Données projet'!$E$16+1,1))</f>
        <v>369.69145521630799</v>
      </c>
      <c r="FK106" s="62">
        <f t="shared" si="102"/>
        <v>360.24112103688719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>
        <f>EXP(-LN(2)/35)*FQ105+(1-EXP(-LN(2)/35))/(LN(2)/35)*FM106*FN106*VLOOKUP('Données projet'!$B$16,Paramètres!$A$1:$I$89,3,0)*0.475*44/12</f>
        <v>85.538377975785238</v>
      </c>
      <c r="FR106" s="23">
        <f>EXP(-LN(2)/25)*FR105+(1-EXP(-LN(2)/25))/(LN(2)/25)*Calculateur!FM106*Calculateur!FO106*VLOOKUP('Données projet'!$B$16,Paramètres!$A$1:$I$89,3,0)*0.475*44/12</f>
        <v>0</v>
      </c>
      <c r="FS106" s="23">
        <f>EXP(-LN(2)/2)*FS105+(1-EXP(-LN(2)/2))/(LN(2)/2)*FM106*FP106*VLOOKUP('Données projet'!$B$16,Paramètres!$A$1:$I$89,3,0)*0.475*44/12</f>
        <v>0</v>
      </c>
      <c r="FT106" s="24">
        <f t="shared" si="78"/>
        <v>85.538377975785238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5.6843418860808015E-14</v>
      </c>
      <c r="GA106" s="18">
        <f>FZ106*VLOOKUP('Données projet'!$B$17,Paramètres!$A$1:$I$89,3,0)*VLOOKUP('Données projet'!$B$17,Paramètres!$A$1:$I$89,5,0)</f>
        <v>6.1186256061773749E-14</v>
      </c>
      <c r="GB106" s="14">
        <f t="shared" si="103"/>
        <v>9.7328366192051127E-13</v>
      </c>
      <c r="GC106" s="22">
        <f t="shared" si="79"/>
        <v>1.8017017738191463E-12</v>
      </c>
      <c r="GD106" s="62">
        <f t="shared" si="80"/>
        <v>278.21876892976451</v>
      </c>
      <c r="GE106" s="62">
        <f ca="1">AVERAGE(OFFSET($GD$3,0,0,'Données projet'!$E$17+1,1))-AVERAGE(OFFSET($H$3,0,0,'Données projet'!$E$17+1,1))</f>
        <v>405.06394904053946</v>
      </c>
      <c r="GF106" s="62">
        <f t="shared" si="104"/>
        <v>393.75247087518198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>
        <f>EXP(-LN(2)/35)*GL105+(1-EXP(-LN(2)/35))/(LN(2)/35)*GH106*GI106*VLOOKUP('Données projet'!$B$17,Paramètres!$A$1:$I$89,3,0)*0.475*44/12</f>
        <v>95.195936779502915</v>
      </c>
      <c r="GM106" s="23">
        <f>EXP(-LN(2)/25)*GM105+(1-EXP(-LN(2)/25))/(LN(2)/25)*Calculateur!GH106*Calculateur!GJ106*VLOOKUP('Données projet'!$B$17,Paramètres!$A$1:$I$89,3,0)*0.475*44/12</f>
        <v>0</v>
      </c>
      <c r="GN106" s="23">
        <f>EXP(-LN(2)/2)*GN105+(1-EXP(-LN(2)/2))/(LN(2)/2)*GH106*GK106*VLOOKUP('Données projet'!$B$17,Paramètres!$A$1:$I$89,3,0)*0.475*44/12</f>
        <v>0</v>
      </c>
      <c r="GO106" s="23">
        <f t="shared" si="81"/>
        <v>95.195936779502915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5.6843418860808015E-14</v>
      </c>
      <c r="GV106" s="18">
        <f>GU106*VLOOKUP('Données projet'!$B$18,Paramètres!$A$1:$I$89,3,0)*VLOOKUP('Données projet'!$B$18,Paramètres!$A$1:$I$89,5,0)</f>
        <v>3.813056537183002E-14</v>
      </c>
      <c r="GW106" s="14">
        <f t="shared" si="105"/>
        <v>6.4086286045526829E-13</v>
      </c>
      <c r="GX106" s="22">
        <f t="shared" si="82"/>
        <v>1.1825802166488628E-12</v>
      </c>
      <c r="GY106" s="62">
        <f t="shared" si="83"/>
        <v>278.21876892976388</v>
      </c>
      <c r="GZ106" s="62">
        <f ca="1">AVERAGE(OFFSET($GY$3,0,0,'Données projet'!$E$18+1,1))-AVERAGE(OFFSET($H$3,0,0,'Données projet'!$E$18+1,1))</f>
        <v>273.21861937609918</v>
      </c>
      <c r="HA106" s="62">
        <f t="shared" si="106"/>
        <v>268.83004886965318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>
        <f>EXP(-LN(2)/35)*HG105+(1-EXP(-LN(2)/35))/(LN(2)/35)*HC106*HD106*VLOOKUP('Données projet'!$B$18,Paramètres!$A$1:$I$89,3,0)*0.475*44/12</f>
        <v>73.121516656719663</v>
      </c>
      <c r="HH106" s="23">
        <f>EXP(-LN(2)/25)*HH105+(1-EXP(-LN(2)/25))/(LN(2)/25)*Calculateur!HC106*Calculateur!HE106*VLOOKUP('Données projet'!$B$18,Paramètres!$A$1:$I$89,3,0)*0.475*44/12</f>
        <v>0</v>
      </c>
      <c r="HI106" s="23">
        <f>EXP(-LN(2)/2)*HI105+(1-EXP(-LN(2)/2))/(LN(2)/2)*HC106*HF106*VLOOKUP('Données projet'!$B$18,Paramètres!$A$1:$I$89,3,0)*0.475*44/12</f>
        <v>0</v>
      </c>
      <c r="HJ106" s="24">
        <f t="shared" si="84"/>
        <v>73.121516656719663</v>
      </c>
    </row>
    <row r="107" spans="1:218" s="5" customFormat="1" x14ac:dyDescent="0.4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5.7</v>
      </c>
      <c r="N107" s="14">
        <f>IF('Données projet'!$A$36&gt;35,N106+M107-V106,IF(A107&lt;'Données projet'!$A$36,$K$205^A107,IF(A107='Données projet'!$A$36,'Données projet'!$B$36,N106+M107-V106)))</f>
        <v>241.19999999999982</v>
      </c>
      <c r="O107" s="14">
        <f>N107*VLOOKUP('Données projet'!$B$9,Paramètres!$A$1:$I$89,3,0)*VLOOKUP('Données projet'!$B$9,Paramètres!$A$1:$I$89,5,0)</f>
        <v>218.23775999999981</v>
      </c>
      <c r="P107" s="14">
        <f t="shared" si="87"/>
        <v>53.731692470599022</v>
      </c>
      <c r="Q107" s="22">
        <f t="shared" si="107"/>
        <v>473.68012971962617</v>
      </c>
      <c r="R107" s="62">
        <f t="shared" si="55"/>
        <v>752.16110255068702</v>
      </c>
      <c r="S107" s="62">
        <f ca="1">AVERAGE(OFFSET($R$3,0,0,'Données projet'!$E$9+1,1))-AVERAGE(OFFSET($H$3,0,0,'Données projet'!$E$9+1,1))</f>
        <v>432.80275651765203</v>
      </c>
      <c r="T107" s="62">
        <f t="shared" si="88"/>
        <v>203.89279893419919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19.355197162371176</v>
      </c>
      <c r="AA107" s="23">
        <f>EXP(-LN(2)/25)*AA106+(1-EXP(-LN(2)/25))/(LN(2)/25)*Calculateur!V107*Calculateur!X107*VLOOKUP('Données projet'!$B$9,Paramètres!$A$1:$I$89,3,0)*0.475*44/12</f>
        <v>13.406918683490131</v>
      </c>
      <c r="AB107" s="23">
        <f>EXP(-LN(2)/2)*AB106+(1-EXP(-LN(2)/2))/(LN(2)/2)*V107*Y107*VLOOKUP('Données projet'!$B$9,Paramètres!$A$1:$I$89,3,0)*0.475*44/12</f>
        <v>0</v>
      </c>
      <c r="AC107" s="24">
        <f t="shared" si="57"/>
        <v>32.76211584586131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54.000000000000341</v>
      </c>
      <c r="AJ107" s="14">
        <f>AI107*VLOOKUP('Données projet'!$B$10,Paramètres!$A$1:$I$89,3,0)*VLOOKUP('Données projet'!$B$10,Paramètres!$A$1:$I$89,5,0)</f>
        <v>23.868000000000151</v>
      </c>
      <c r="AK107" s="14">
        <f t="shared" si="89"/>
        <v>7.6030930962115804</v>
      </c>
      <c r="AL107" s="22">
        <f t="shared" si="58"/>
        <v>54.812153809235433</v>
      </c>
      <c r="AM107" s="62">
        <f t="shared" si="59"/>
        <v>333.29312664029635</v>
      </c>
      <c r="AN107" s="62">
        <f ca="1">AVERAGE(OFFSET($AM$3,0,0,'Données projet'!$E$10+1,1))-AVERAGE(OFFSET($H$3,0,0,'Données projet'!$E$10+1,1))</f>
        <v>413.08876898406481</v>
      </c>
      <c r="AO107" s="62">
        <f t="shared" si="90"/>
        <v>520.31320932826566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114.94934750856352</v>
      </c>
      <c r="AV107" s="23">
        <f>EXP(-LN(2)/25)*AV106+(1-EXP(-LN(2)/25))/(LN(2)/25)*Calculateur!AQ107*Calculateur!AS107*VLOOKUP('Données projet'!$B$10,Paramètres!$A$1:$I$89,3,0)*0.475*44/12</f>
        <v>5.9575658846372219</v>
      </c>
      <c r="AW107" s="23">
        <f>EXP(-LN(2)/2)*AW106+(1-EXP(-LN(2)/2))/(LN(2)/2)*AQ107*AT107*VLOOKUP('Données projet'!$B$10,Paramètres!$A$1:$I$89,3,0)*0.475*44/12</f>
        <v>5.3053920439877281E-9</v>
      </c>
      <c r="AX107" s="23">
        <f t="shared" si="60"/>
        <v>120.90691339850613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54.000000000000341</v>
      </c>
      <c r="BE107" s="14">
        <f>BD107*VLOOKUP('Données projet'!$B$11,Paramètres!$A$1:$I$89,3,0)*VLOOKUP('Données projet'!$B$11,Paramètres!$A$1:$I$89,5,0)</f>
        <v>30.186000000000188</v>
      </c>
      <c r="BF107" s="14">
        <f t="shared" si="91"/>
        <v>9.3563888882899153</v>
      </c>
      <c r="BG107" s="22">
        <f t="shared" si="61"/>
        <v>68.869660647105263</v>
      </c>
      <c r="BH107" s="62">
        <f t="shared" si="62"/>
        <v>347.35063347816617</v>
      </c>
      <c r="BI107" s="62">
        <f ca="1">AVERAGE(OFFSET($BH$3,0,0,'Données projet'!$E$11+1,1))-AVERAGE(OFFSET($H$3,0,0,'Données projet'!$E$11+1,1))</f>
        <v>507.66185230065889</v>
      </c>
      <c r="BJ107" s="62">
        <f t="shared" si="92"/>
        <v>640.14375617778342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145.37711596671261</v>
      </c>
      <c r="BQ107" s="23">
        <f>EXP(-LN(2)/25)*BQ106+(1-EXP(-LN(2)/25))/(LN(2)/25)*Calculateur!BL107*Calculateur!BN107*VLOOKUP('Données projet'!$B$11,Paramètres!$A$1:$I$89,3,0)*0.475*44/12</f>
        <v>7.5345686188059053</v>
      </c>
      <c r="BR107" s="23">
        <f>EXP(-LN(2)/2)*BR106+(1-EXP(-LN(2)/2))/(LN(2)/2)*BL107*BO107*VLOOKUP('Données projet'!$B$11,Paramètres!$A$1:$I$89,3,0)*0.475*44/12</f>
        <v>6.7097605262197783E-9</v>
      </c>
      <c r="BS107" s="24">
        <f t="shared" si="63"/>
        <v>152.91168459222828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417.04879970000007</v>
      </c>
      <c r="BZ107" s="14">
        <f>BY107*VLOOKUP('Données projet'!$B$12,Paramètres!$A$1:$I$89,3,0)*VLOOKUP('Données projet'!$B$12,Paramètres!$A$1:$I$89,5,0)</f>
        <v>195.17883825960004</v>
      </c>
      <c r="CA107" s="14">
        <f t="shared" si="93"/>
        <v>48.683122291673484</v>
      </c>
      <c r="CB107" s="22">
        <f t="shared" si="64"/>
        <v>424.72624796013469</v>
      </c>
      <c r="CC107" s="62">
        <f t="shared" si="65"/>
        <v>703.2072207911956</v>
      </c>
      <c r="CD107" s="62">
        <f ca="1">AVERAGE(OFFSET($CC$3,0,0,'Données projet'!$E$12+1,1))-AVERAGE(OFFSET($H$3,0,0,'Données projet'!$E$12+1,1))</f>
        <v>289.21044803824958</v>
      </c>
      <c r="CE107" s="62">
        <f t="shared" si="94"/>
        <v>196.11836398299445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>
        <f>EXP(-LN(2)/35)*CK106+(1-EXP(-LN(2)/35))/(LN(2)/35)*CG107*CH107*VLOOKUP('Données projet'!$B$12,Paramètres!$A$1:$I$89,3,0)*0.475*44/12</f>
        <v>63.627124296529558</v>
      </c>
      <c r="CL107" s="23">
        <f>EXP(-LN(2)/25)*CL106+(1-EXP(-LN(2)/25))/(LN(2)/25)*Calculateur!CG107*Calculateur!CI107*VLOOKUP('Données projet'!$B$12,Paramètres!$A$1:$I$89,3,0)*0.475*44/12</f>
        <v>28.693680141177392</v>
      </c>
      <c r="CM107" s="23">
        <f>EXP(-LN(2)/2)*CM106+(1-EXP(-LN(2)/2))/(LN(2)/2)*CG107*CJ107*VLOOKUP('Données projet'!$B$12,Paramètres!$A$1:$I$89,3,0)*0.475*44/12</f>
        <v>0</v>
      </c>
      <c r="CN107" s="24">
        <f t="shared" si="66"/>
        <v>92.320804437706954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-5.6843418860808015E-14</v>
      </c>
      <c r="CU107" s="18">
        <f>CT107*VLOOKUP('Données projet'!$B$13,Paramètres!$A$1:$I$89,3,0)*VLOOKUP('Données projet'!$B$13,Paramètres!$A$1:$I$89,5,0)</f>
        <v>-5.1431925385259088E-14</v>
      </c>
      <c r="CV107" s="14" t="e">
        <f t="shared" si="95"/>
        <v>#NUM!</v>
      </c>
      <c r="CW107" s="22" t="e">
        <f t="shared" si="67"/>
        <v>#NUM!</v>
      </c>
      <c r="CX107" s="62" t="e">
        <f t="shared" si="68"/>
        <v>#NUM!</v>
      </c>
      <c r="CY107" s="62">
        <f ca="1">AVERAGE(OFFSET($CX$3,0,0,'Données projet'!$E$13+1,1))-AVERAGE(OFFSET($H$3,0,0,'Données projet'!$E$13+1,1))</f>
        <v>376.68007030857598</v>
      </c>
      <c r="CZ107" s="62">
        <f t="shared" si="96"/>
        <v>532.90758914457626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>
        <f>EXP(-LN(2)/35)*DF106+(1-EXP(-LN(2)/35))/(LN(2)/35)*DB107*DC107*VLOOKUP('Données projet'!$B$13,Paramètres!$A$1:$I$89,3,0)*0.475*44/12</f>
        <v>29.102144108236455</v>
      </c>
      <c r="DG107" s="23">
        <f>EXP(-LN(2)/25)*DG106+(1-EXP(-LN(2)/25))/(LN(2)/25)*Calculateur!DB107*Calculateur!DD107*VLOOKUP('Données projet'!$B$13,Paramètres!$A$1:$I$89,3,0)*0.475*44/12</f>
        <v>1.6835687449914696</v>
      </c>
      <c r="DH107" s="23">
        <f>EXP(-LN(2)/2)*DH106+(1-EXP(-LN(2)/2))/(LN(2)/2)*DB107*DE107*VLOOKUP('Données projet'!$B$13,Paramètres!$A$1:$I$89,3,0)*0.475*44/12</f>
        <v>0</v>
      </c>
      <c r="DI107" s="24">
        <f t="shared" si="69"/>
        <v>30.785712853227924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5.6843418860808015E-14</v>
      </c>
      <c r="DP107" s="18">
        <f>DO107*VLOOKUP('Données projet'!$B$14,Paramètres!$A$1:$I$89,3,0)*VLOOKUP('Données projet'!$B$14,Paramètres!$A$1:$I$89,5,0)</f>
        <v>5.4092197387944907E-14</v>
      </c>
      <c r="DQ107" s="14">
        <f t="shared" si="97"/>
        <v>8.7287050538073676E-13</v>
      </c>
      <c r="DR107" s="22">
        <f t="shared" si="70"/>
        <v>1.6144600406554537E-12</v>
      </c>
      <c r="DS107" s="62">
        <f t="shared" si="71"/>
        <v>278.4809728310625</v>
      </c>
      <c r="DT107" s="62">
        <f ca="1">AVERAGE(OFFSET($DS$3,0,0,'Données projet'!$E$14+1,1))-AVERAGE(OFFSET($H$3,0,0,'Données projet'!$E$14+1,1))</f>
        <v>364.63161066507769</v>
      </c>
      <c r="DU107" s="62">
        <f t="shared" si="98"/>
        <v>355.44729904860708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>
        <f>EXP(-LN(2)/35)*EA106+(1-EXP(-LN(2)/35))/(LN(2)/35)*DW107*DX107*VLOOKUP('Données projet'!$B$14,Paramètres!$A$1:$I$89,3,0)*0.475*44/12</f>
        <v>82.508425418923821</v>
      </c>
      <c r="EB107" s="23">
        <f>EXP(-LN(2)/25)*EB106+(1-EXP(-LN(2)/25))/(LN(2)/25)*Calculateur!DW107*Calculateur!DY107*VLOOKUP('Données projet'!$B$14,Paramètres!$A$1:$I$89,3,0)*0.475*44/12</f>
        <v>0</v>
      </c>
      <c r="EC107" s="23">
        <f>EXP(-LN(2)/2)*EC106+(1-EXP(-LN(2)/2))/(LN(2)/2)*DW107*DZ107*VLOOKUP('Données projet'!$B$14,Paramètres!$A$1:$I$89,3,0)*0.475*44/12</f>
        <v>0</v>
      </c>
      <c r="ED107" s="24">
        <f t="shared" si="72"/>
        <v>82.508425418923821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5.6843418860808015E-14</v>
      </c>
      <c r="EK107" s="18">
        <f>EJ107*VLOOKUP('Données projet'!$B$15,Paramètres!$A$1:$I$89,3,0)*VLOOKUP('Données projet'!$B$15,Paramètres!$A$1:$I$89,5,0)</f>
        <v>4.1677594708744434E-14</v>
      </c>
      <c r="EL107" s="14">
        <f t="shared" si="99"/>
        <v>6.9326303456159188E-13</v>
      </c>
      <c r="EM107" s="22">
        <f t="shared" si="73"/>
        <v>1.2800215959791691E-12</v>
      </c>
      <c r="EN107" s="62">
        <f t="shared" si="74"/>
        <v>278.48097283106222</v>
      </c>
      <c r="EO107" s="62">
        <f ca="1">AVERAGE(OFFSET($EN$3,0,0,'Données projet'!$E$15+1,1))-AVERAGE(OFFSET($H$3,0,0,'Données projet'!$E$15+1,1))</f>
        <v>293.59366973965774</v>
      </c>
      <c r="EP107" s="62">
        <f t="shared" si="100"/>
        <v>288.13804536120426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>
        <f>EXP(-LN(2)/35)*EV106+(1-EXP(-LN(2)/35))/(LN(2)/35)*ER107*ES107*VLOOKUP('Données projet'!$B$15,Paramètres!$A$1:$I$89,3,0)*0.475*44/12</f>
        <v>63.572065486711793</v>
      </c>
      <c r="EW107" s="23">
        <f>EXP(-LN(2)/25)*EW106+(1-EXP(-LN(2)/25))/(LN(2)/25)*Calculateur!ER107*Calculateur!ET107*VLOOKUP('Données projet'!$B$15,Paramètres!$A$1:$I$89,3,0)*0.475*44/12</f>
        <v>0</v>
      </c>
      <c r="EX107" s="23">
        <f>EXP(-LN(2)/2)*EX106+(1-EXP(-LN(2)/2))/(LN(2)/2)*ER107*EU107*VLOOKUP('Données projet'!$B$15,Paramètres!$A$1:$I$89,3,0)*0.475*44/12</f>
        <v>0</v>
      </c>
      <c r="EY107" s="24">
        <f t="shared" si="75"/>
        <v>63.572065486711793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5.6843418860808015E-14</v>
      </c>
      <c r="FF107" s="18">
        <f>FE107*VLOOKUP('Données projet'!$B$16,Paramètres!$A$1:$I$89,3,0)*VLOOKUP('Données projet'!$B$16,Paramètres!$A$1:$I$89,5,0)</f>
        <v>5.4978954722173515E-14</v>
      </c>
      <c r="FG107" s="14">
        <f t="shared" si="101"/>
        <v>8.8550225887742724E-13</v>
      </c>
      <c r="FH107" s="22">
        <f t="shared" si="76"/>
        <v>1.6380047803526383E-12</v>
      </c>
      <c r="FI107" s="62">
        <f t="shared" si="77"/>
        <v>278.48097283106256</v>
      </c>
      <c r="FJ107" s="62">
        <f ca="1">AVERAGE(OFFSET($FI$3,0,0,'Données projet'!$E$16+1,1))-AVERAGE(OFFSET($H$3,0,0,'Données projet'!$E$16+1,1))</f>
        <v>369.69145521630799</v>
      </c>
      <c r="FK107" s="62">
        <f t="shared" si="102"/>
        <v>360.24112103688719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>
        <f>EXP(-LN(2)/35)*FQ106+(1-EXP(-LN(2)/35))/(LN(2)/35)*FM107*FN107*VLOOKUP('Données projet'!$B$16,Paramètres!$A$1:$I$89,3,0)*0.475*44/12</f>
        <v>83.861022556938977</v>
      </c>
      <c r="FR107" s="23">
        <f>EXP(-LN(2)/25)*FR106+(1-EXP(-LN(2)/25))/(LN(2)/25)*Calculateur!FM107*Calculateur!FO107*VLOOKUP('Données projet'!$B$16,Paramètres!$A$1:$I$89,3,0)*0.475*44/12</f>
        <v>0</v>
      </c>
      <c r="FS107" s="23">
        <f>EXP(-LN(2)/2)*FS106+(1-EXP(-LN(2)/2))/(LN(2)/2)*FM107*FP107*VLOOKUP('Données projet'!$B$16,Paramètres!$A$1:$I$89,3,0)*0.475*44/12</f>
        <v>0</v>
      </c>
      <c r="FT107" s="24">
        <f t="shared" si="78"/>
        <v>83.861022556938977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5.6843418860808015E-14</v>
      </c>
      <c r="GA107" s="18">
        <f>FZ107*VLOOKUP('Données projet'!$B$17,Paramètres!$A$1:$I$89,3,0)*VLOOKUP('Données projet'!$B$17,Paramètres!$A$1:$I$89,5,0)</f>
        <v>6.1186256061773749E-14</v>
      </c>
      <c r="GB107" s="14">
        <f t="shared" si="103"/>
        <v>9.7328366192051127E-13</v>
      </c>
      <c r="GC107" s="22">
        <f t="shared" si="79"/>
        <v>1.8017017738191463E-12</v>
      </c>
      <c r="GD107" s="62">
        <f t="shared" si="80"/>
        <v>278.48097283106273</v>
      </c>
      <c r="GE107" s="62">
        <f ca="1">AVERAGE(OFFSET($GD$3,0,0,'Données projet'!$E$17+1,1))-AVERAGE(OFFSET($H$3,0,0,'Données projet'!$E$17+1,1))</f>
        <v>405.06394904053946</v>
      </c>
      <c r="GF107" s="62">
        <f t="shared" si="104"/>
        <v>393.75247087518198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>
        <f>EXP(-LN(2)/35)*GL106+(1-EXP(-LN(2)/35))/(LN(2)/35)*GH107*GI107*VLOOKUP('Données projet'!$B$17,Paramètres!$A$1:$I$89,3,0)*0.475*44/12</f>
        <v>93.32920252304497</v>
      </c>
      <c r="GM107" s="23">
        <f>EXP(-LN(2)/25)*GM106+(1-EXP(-LN(2)/25))/(LN(2)/25)*Calculateur!GH107*Calculateur!GJ107*VLOOKUP('Données projet'!$B$17,Paramètres!$A$1:$I$89,3,0)*0.475*44/12</f>
        <v>0</v>
      </c>
      <c r="GN107" s="23">
        <f>EXP(-LN(2)/2)*GN106+(1-EXP(-LN(2)/2))/(LN(2)/2)*GH107*GK107*VLOOKUP('Données projet'!$B$17,Paramètres!$A$1:$I$89,3,0)*0.475*44/12</f>
        <v>0</v>
      </c>
      <c r="GO107" s="23">
        <f t="shared" si="81"/>
        <v>93.32920252304497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5.6843418860808015E-14</v>
      </c>
      <c r="GV107" s="18">
        <f>GU107*VLOOKUP('Données projet'!$B$18,Paramètres!$A$1:$I$89,3,0)*VLOOKUP('Données projet'!$B$18,Paramètres!$A$1:$I$89,5,0)</f>
        <v>3.813056537183002E-14</v>
      </c>
      <c r="GW107" s="14">
        <f t="shared" si="105"/>
        <v>6.4086286045526829E-13</v>
      </c>
      <c r="GX107" s="22">
        <f t="shared" si="82"/>
        <v>1.1825802166488628E-12</v>
      </c>
      <c r="GY107" s="62">
        <f t="shared" si="83"/>
        <v>278.4809728310621</v>
      </c>
      <c r="GZ107" s="62">
        <f ca="1">AVERAGE(OFFSET($GY$3,0,0,'Données projet'!$E$18+1,1))-AVERAGE(OFFSET($H$3,0,0,'Données projet'!$E$18+1,1))</f>
        <v>273.21861937609918</v>
      </c>
      <c r="HA107" s="62">
        <f t="shared" si="106"/>
        <v>268.83004886965318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>
        <f>EXP(-LN(2)/35)*HG106+(1-EXP(-LN(2)/35))/(LN(2)/35)*HC107*HD107*VLOOKUP('Données projet'!$B$18,Paramètres!$A$1:$I$89,3,0)*0.475*44/12</f>
        <v>71.687648314802701</v>
      </c>
      <c r="HH107" s="23">
        <f>EXP(-LN(2)/25)*HH106+(1-EXP(-LN(2)/25))/(LN(2)/25)*Calculateur!HC107*Calculateur!HE107*VLOOKUP('Données projet'!$B$18,Paramètres!$A$1:$I$89,3,0)*0.475*44/12</f>
        <v>0</v>
      </c>
      <c r="HI107" s="23">
        <f>EXP(-LN(2)/2)*HI106+(1-EXP(-LN(2)/2))/(LN(2)/2)*HC107*HF107*VLOOKUP('Données projet'!$B$18,Paramètres!$A$1:$I$89,3,0)*0.475*44/12</f>
        <v>0</v>
      </c>
      <c r="HJ107" s="24">
        <f t="shared" si="84"/>
        <v>71.687648314802701</v>
      </c>
    </row>
    <row r="108" spans="1:218" s="5" customFormat="1" x14ac:dyDescent="0.4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5.7</v>
      </c>
      <c r="N108" s="14">
        <f>IF('Données projet'!$A$36&gt;35,N107+M108-V107,IF(A108&lt;'Données projet'!$A$36,$K$205^A108,IF(A108='Données projet'!$A$36,'Données projet'!$B$36,N107+M108-V107)))</f>
        <v>246.89999999999981</v>
      </c>
      <c r="O108" s="14">
        <f>N108*VLOOKUP('Données projet'!$B$9,Paramètres!$A$1:$I$89,3,0)*VLOOKUP('Données projet'!$B$9,Paramètres!$A$1:$I$89,5,0)</f>
        <v>223.39511999999982</v>
      </c>
      <c r="P108" s="14">
        <f t="shared" si="87"/>
        <v>54.852139287210115</v>
      </c>
      <c r="Q108" s="22">
        <f t="shared" si="107"/>
        <v>484.61397659189061</v>
      </c>
      <c r="R108" s="62">
        <f t="shared" si="55"/>
        <v>763.35260467276237</v>
      </c>
      <c r="S108" s="62">
        <f ca="1">AVERAGE(OFFSET($R$3,0,0,'Données projet'!$E$9+1,1))-AVERAGE(OFFSET($H$3,0,0,'Données projet'!$E$9+1,1))</f>
        <v>432.80275651765203</v>
      </c>
      <c r="T108" s="62">
        <f t="shared" si="88"/>
        <v>203.89279893419919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18.975653551521649</v>
      </c>
      <c r="AA108" s="23">
        <f>EXP(-LN(2)/25)*AA107+(1-EXP(-LN(2)/25))/(LN(2)/25)*Calculateur!V108*Calculateur!X108*VLOOKUP('Données projet'!$B$9,Paramètres!$A$1:$I$89,3,0)*0.475*44/12</f>
        <v>13.040305787050881</v>
      </c>
      <c r="AB108" s="23">
        <f>EXP(-LN(2)/2)*AB107+(1-EXP(-LN(2)/2))/(LN(2)/2)*V108*Y108*VLOOKUP('Données projet'!$B$9,Paramètres!$A$1:$I$89,3,0)*0.475*44/12</f>
        <v>0</v>
      </c>
      <c r="AC108" s="24">
        <f t="shared" si="57"/>
        <v>32.015959338572529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54.000000000000341</v>
      </c>
      <c r="AJ108" s="14">
        <f>AI108*VLOOKUP('Données projet'!$B$10,Paramètres!$A$1:$I$89,3,0)*VLOOKUP('Données projet'!$B$10,Paramètres!$A$1:$I$89,5,0)</f>
        <v>23.868000000000151</v>
      </c>
      <c r="AK108" s="14">
        <f t="shared" si="89"/>
        <v>7.6030930962115804</v>
      </c>
      <c r="AL108" s="22">
        <f t="shared" si="58"/>
        <v>54.812153809235433</v>
      </c>
      <c r="AM108" s="62">
        <f t="shared" si="59"/>
        <v>333.5507818901072</v>
      </c>
      <c r="AN108" s="62">
        <f ca="1">AVERAGE(OFFSET($AM$3,0,0,'Données projet'!$E$10+1,1))-AVERAGE(OFFSET($H$3,0,0,'Données projet'!$E$10+1,1))</f>
        <v>413.08876898406481</v>
      </c>
      <c r="AO108" s="62">
        <f t="shared" si="90"/>
        <v>520.31320932826566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112.69526091609957</v>
      </c>
      <c r="AV108" s="23">
        <f>EXP(-LN(2)/25)*AV107+(1-EXP(-LN(2)/25))/(LN(2)/25)*Calculateur!AQ108*Calculateur!AS108*VLOOKUP('Données projet'!$B$10,Paramètres!$A$1:$I$89,3,0)*0.475*44/12</f>
        <v>5.7946559322270437</v>
      </c>
      <c r="AW108" s="23">
        <f>EXP(-LN(2)/2)*AW107+(1-EXP(-LN(2)/2))/(LN(2)/2)*AQ108*AT108*VLOOKUP('Données projet'!$B$10,Paramètres!$A$1:$I$89,3,0)*0.475*44/12</f>
        <v>3.7514786911568804E-9</v>
      </c>
      <c r="AX108" s="23">
        <f t="shared" si="60"/>
        <v>118.4899168520781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54.000000000000341</v>
      </c>
      <c r="BE108" s="14">
        <f>BD108*VLOOKUP('Données projet'!$B$11,Paramètres!$A$1:$I$89,3,0)*VLOOKUP('Données projet'!$B$11,Paramètres!$A$1:$I$89,5,0)</f>
        <v>30.186000000000188</v>
      </c>
      <c r="BF108" s="14">
        <f t="shared" si="91"/>
        <v>9.3563888882899153</v>
      </c>
      <c r="BG108" s="22">
        <f t="shared" si="61"/>
        <v>68.869660647105263</v>
      </c>
      <c r="BH108" s="62">
        <f t="shared" si="62"/>
        <v>347.60828872797703</v>
      </c>
      <c r="BI108" s="62">
        <f ca="1">AVERAGE(OFFSET($BH$3,0,0,'Données projet'!$E$11+1,1))-AVERAGE(OFFSET($H$3,0,0,'Données projet'!$E$11+1,1))</f>
        <v>507.66185230065889</v>
      </c>
      <c r="BJ108" s="62">
        <f t="shared" si="92"/>
        <v>640.14375617778342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142.52635939389054</v>
      </c>
      <c r="BQ108" s="23">
        <f>EXP(-LN(2)/25)*BQ107+(1-EXP(-LN(2)/25))/(LN(2)/25)*Calculateur!BL108*Calculateur!BN108*VLOOKUP('Données projet'!$B$11,Paramètres!$A$1:$I$89,3,0)*0.475*44/12</f>
        <v>7.3285354436989145</v>
      </c>
      <c r="BR108" s="23">
        <f>EXP(-LN(2)/2)*BR107+(1-EXP(-LN(2)/2))/(LN(2)/2)*BL108*BO108*VLOOKUP('Données projet'!$B$11,Paramètres!$A$1:$I$89,3,0)*0.475*44/12</f>
        <v>4.7445171682278227E-9</v>
      </c>
      <c r="BS108" s="24">
        <f t="shared" si="63"/>
        <v>149.85489484233398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417.04879970000007</v>
      </c>
      <c r="BZ108" s="14">
        <f>BY108*VLOOKUP('Données projet'!$B$12,Paramètres!$A$1:$I$89,3,0)*VLOOKUP('Données projet'!$B$12,Paramètres!$A$1:$I$89,5,0)</f>
        <v>195.17883825960004</v>
      </c>
      <c r="CA108" s="14">
        <f t="shared" si="93"/>
        <v>48.683122291673484</v>
      </c>
      <c r="CB108" s="22">
        <f t="shared" si="64"/>
        <v>424.72624796013469</v>
      </c>
      <c r="CC108" s="62">
        <f t="shared" si="65"/>
        <v>703.46487604100639</v>
      </c>
      <c r="CD108" s="62">
        <f ca="1">AVERAGE(OFFSET($CC$3,0,0,'Données projet'!$E$12+1,1))-AVERAGE(OFFSET($H$3,0,0,'Données projet'!$E$12+1,1))</f>
        <v>289.21044803824958</v>
      </c>
      <c r="CE108" s="62">
        <f t="shared" si="94"/>
        <v>196.11836398299445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>
        <f>EXP(-LN(2)/35)*CK107+(1-EXP(-LN(2)/35))/(LN(2)/35)*CG108*CH108*VLOOKUP('Données projet'!$B$12,Paramètres!$A$1:$I$89,3,0)*0.475*44/12</f>
        <v>62.379435197788389</v>
      </c>
      <c r="CL108" s="23">
        <f>EXP(-LN(2)/25)*CL107+(1-EXP(-LN(2)/25))/(LN(2)/25)*Calculateur!CG108*Calculateur!CI108*VLOOKUP('Données projet'!$B$12,Paramètres!$A$1:$I$89,3,0)*0.475*44/12</f>
        <v>27.909049948781838</v>
      </c>
      <c r="CM108" s="23">
        <f>EXP(-LN(2)/2)*CM107+(1-EXP(-LN(2)/2))/(LN(2)/2)*CG108*CJ108*VLOOKUP('Données projet'!$B$12,Paramètres!$A$1:$I$89,3,0)*0.475*44/12</f>
        <v>0</v>
      </c>
      <c r="CN108" s="24">
        <f t="shared" si="66"/>
        <v>90.288485146570224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-5.6843418860808015E-14</v>
      </c>
      <c r="CU108" s="18">
        <f>CT108*VLOOKUP('Données projet'!$B$13,Paramètres!$A$1:$I$89,3,0)*VLOOKUP('Données projet'!$B$13,Paramètres!$A$1:$I$89,5,0)</f>
        <v>-5.1431925385259088E-14</v>
      </c>
      <c r="CV108" s="14" t="e">
        <f t="shared" si="95"/>
        <v>#NUM!</v>
      </c>
      <c r="CW108" s="22" t="e">
        <f t="shared" si="67"/>
        <v>#NUM!</v>
      </c>
      <c r="CX108" s="62" t="e">
        <f t="shared" si="68"/>
        <v>#NUM!</v>
      </c>
      <c r="CY108" s="62">
        <f ca="1">AVERAGE(OFFSET($CX$3,0,0,'Données projet'!$E$13+1,1))-AVERAGE(OFFSET($H$3,0,0,'Données projet'!$E$13+1,1))</f>
        <v>376.68007030857598</v>
      </c>
      <c r="CZ108" s="62">
        <f t="shared" si="96"/>
        <v>532.90758914457626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>
        <f>EXP(-LN(2)/35)*DF107+(1-EXP(-LN(2)/35))/(LN(2)/35)*DB108*DC108*VLOOKUP('Données projet'!$B$13,Paramètres!$A$1:$I$89,3,0)*0.475*44/12</f>
        <v>28.531468812829122</v>
      </c>
      <c r="DG108" s="23">
        <f>EXP(-LN(2)/25)*DG107+(1-EXP(-LN(2)/25))/(LN(2)/25)*Calculateur!DB108*Calculateur!DD108*VLOOKUP('Données projet'!$B$13,Paramètres!$A$1:$I$89,3,0)*0.475*44/12</f>
        <v>1.6375314691246454</v>
      </c>
      <c r="DH108" s="23">
        <f>EXP(-LN(2)/2)*DH107+(1-EXP(-LN(2)/2))/(LN(2)/2)*DB108*DE108*VLOOKUP('Données projet'!$B$13,Paramètres!$A$1:$I$89,3,0)*0.475*44/12</f>
        <v>0</v>
      </c>
      <c r="DI108" s="24">
        <f t="shared" si="69"/>
        <v>30.169000281953767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5.6843418860808015E-14</v>
      </c>
      <c r="DP108" s="18">
        <f>DO108*VLOOKUP('Données projet'!$B$14,Paramètres!$A$1:$I$89,3,0)*VLOOKUP('Données projet'!$B$14,Paramètres!$A$1:$I$89,5,0)</f>
        <v>5.4092197387944907E-14</v>
      </c>
      <c r="DQ108" s="14">
        <f t="shared" si="97"/>
        <v>8.7287050538073676E-13</v>
      </c>
      <c r="DR108" s="22">
        <f t="shared" si="70"/>
        <v>1.6144600406554537E-12</v>
      </c>
      <c r="DS108" s="62">
        <f t="shared" si="71"/>
        <v>278.73862808087335</v>
      </c>
      <c r="DT108" s="62">
        <f ca="1">AVERAGE(OFFSET($DS$3,0,0,'Données projet'!$E$14+1,1))-AVERAGE(OFFSET($H$3,0,0,'Données projet'!$E$14+1,1))</f>
        <v>364.63161066507769</v>
      </c>
      <c r="DU108" s="62">
        <f t="shared" si="98"/>
        <v>355.44729904860708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>
        <f>EXP(-LN(2)/35)*EA107+(1-EXP(-LN(2)/35))/(LN(2)/35)*DW108*DX108*VLOOKUP('Données projet'!$B$14,Paramètres!$A$1:$I$89,3,0)*0.475*44/12</f>
        <v>80.890485521629031</v>
      </c>
      <c r="EB108" s="23">
        <f>EXP(-LN(2)/25)*EB107+(1-EXP(-LN(2)/25))/(LN(2)/25)*Calculateur!DW108*Calculateur!DY108*VLOOKUP('Données projet'!$B$14,Paramètres!$A$1:$I$89,3,0)*0.475*44/12</f>
        <v>0</v>
      </c>
      <c r="EC108" s="23">
        <f>EXP(-LN(2)/2)*EC107+(1-EXP(-LN(2)/2))/(LN(2)/2)*DW108*DZ108*VLOOKUP('Données projet'!$B$14,Paramètres!$A$1:$I$89,3,0)*0.475*44/12</f>
        <v>0</v>
      </c>
      <c r="ED108" s="24">
        <f t="shared" si="72"/>
        <v>80.890485521629031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5.6843418860808015E-14</v>
      </c>
      <c r="EK108" s="18">
        <f>EJ108*VLOOKUP('Données projet'!$B$15,Paramètres!$A$1:$I$89,3,0)*VLOOKUP('Données projet'!$B$15,Paramètres!$A$1:$I$89,5,0)</f>
        <v>4.1677594708744434E-14</v>
      </c>
      <c r="EL108" s="14">
        <f t="shared" si="99"/>
        <v>6.9326303456159188E-13</v>
      </c>
      <c r="EM108" s="22">
        <f t="shared" si="73"/>
        <v>1.2800215959791691E-12</v>
      </c>
      <c r="EN108" s="62">
        <f t="shared" si="74"/>
        <v>278.73862808087307</v>
      </c>
      <c r="EO108" s="62">
        <f ca="1">AVERAGE(OFFSET($EN$3,0,0,'Données projet'!$E$15+1,1))-AVERAGE(OFFSET($H$3,0,0,'Données projet'!$E$15+1,1))</f>
        <v>293.59366973965774</v>
      </c>
      <c r="EP108" s="62">
        <f t="shared" si="100"/>
        <v>288.13804536120426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>
        <f>EXP(-LN(2)/35)*EV107+(1-EXP(-LN(2)/35))/(LN(2)/35)*ER108*ES108*VLOOKUP('Données projet'!$B$15,Paramètres!$A$1:$I$89,3,0)*0.475*44/12</f>
        <v>62.325456057648594</v>
      </c>
      <c r="EW108" s="23">
        <f>EXP(-LN(2)/25)*EW107+(1-EXP(-LN(2)/25))/(LN(2)/25)*Calculateur!ER108*Calculateur!ET108*VLOOKUP('Données projet'!$B$15,Paramètres!$A$1:$I$89,3,0)*0.475*44/12</f>
        <v>0</v>
      </c>
      <c r="EX108" s="23">
        <f>EXP(-LN(2)/2)*EX107+(1-EXP(-LN(2)/2))/(LN(2)/2)*ER108*EU108*VLOOKUP('Données projet'!$B$15,Paramètres!$A$1:$I$89,3,0)*0.475*44/12</f>
        <v>0</v>
      </c>
      <c r="EY108" s="24">
        <f t="shared" si="75"/>
        <v>62.325456057648594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5.6843418860808015E-14</v>
      </c>
      <c r="FF108" s="18">
        <f>FE108*VLOOKUP('Données projet'!$B$16,Paramètres!$A$1:$I$89,3,0)*VLOOKUP('Données projet'!$B$16,Paramètres!$A$1:$I$89,5,0)</f>
        <v>5.4978954722173515E-14</v>
      </c>
      <c r="FG108" s="14">
        <f t="shared" si="101"/>
        <v>8.8550225887742724E-13</v>
      </c>
      <c r="FH108" s="22">
        <f t="shared" si="76"/>
        <v>1.6380047803526383E-12</v>
      </c>
      <c r="FI108" s="62">
        <f t="shared" si="77"/>
        <v>278.73862808087341</v>
      </c>
      <c r="FJ108" s="62">
        <f ca="1">AVERAGE(OFFSET($FI$3,0,0,'Données projet'!$E$16+1,1))-AVERAGE(OFFSET($H$3,0,0,'Données projet'!$E$16+1,1))</f>
        <v>369.69145521630799</v>
      </c>
      <c r="FK108" s="62">
        <f t="shared" si="102"/>
        <v>360.24112103688719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>
        <f>EXP(-LN(2)/35)*FQ107+(1-EXP(-LN(2)/35))/(LN(2)/35)*FM108*FN108*VLOOKUP('Données projet'!$B$16,Paramètres!$A$1:$I$89,3,0)*0.475*44/12</f>
        <v>82.216559054770499</v>
      </c>
      <c r="FR108" s="23">
        <f>EXP(-LN(2)/25)*FR107+(1-EXP(-LN(2)/25))/(LN(2)/25)*Calculateur!FM108*Calculateur!FO108*VLOOKUP('Données projet'!$B$16,Paramètres!$A$1:$I$89,3,0)*0.475*44/12</f>
        <v>0</v>
      </c>
      <c r="FS108" s="23">
        <f>EXP(-LN(2)/2)*FS107+(1-EXP(-LN(2)/2))/(LN(2)/2)*FM108*FP108*VLOOKUP('Données projet'!$B$16,Paramètres!$A$1:$I$89,3,0)*0.475*44/12</f>
        <v>0</v>
      </c>
      <c r="FT108" s="24">
        <f t="shared" si="78"/>
        <v>82.216559054770499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5.6843418860808015E-14</v>
      </c>
      <c r="GA108" s="18">
        <f>FZ108*VLOOKUP('Données projet'!$B$17,Paramètres!$A$1:$I$89,3,0)*VLOOKUP('Données projet'!$B$17,Paramètres!$A$1:$I$89,5,0)</f>
        <v>6.1186256061773749E-14</v>
      </c>
      <c r="GB108" s="14">
        <f t="shared" si="103"/>
        <v>9.7328366192051127E-13</v>
      </c>
      <c r="GC108" s="22">
        <f t="shared" si="79"/>
        <v>1.8017017738191463E-12</v>
      </c>
      <c r="GD108" s="62">
        <f t="shared" si="80"/>
        <v>278.73862808087358</v>
      </c>
      <c r="GE108" s="62">
        <f ca="1">AVERAGE(OFFSET($GD$3,0,0,'Données projet'!$E$17+1,1))-AVERAGE(OFFSET($H$3,0,0,'Données projet'!$E$17+1,1))</f>
        <v>405.06394904053946</v>
      </c>
      <c r="GF108" s="62">
        <f t="shared" si="104"/>
        <v>393.75247087518198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>
        <f>EXP(-LN(2)/35)*GL107+(1-EXP(-LN(2)/35))/(LN(2)/35)*GH108*GI108*VLOOKUP('Données projet'!$B$17,Paramètres!$A$1:$I$89,3,0)*0.475*44/12</f>
        <v>91.499073786760704</v>
      </c>
      <c r="GM108" s="23">
        <f>EXP(-LN(2)/25)*GM107+(1-EXP(-LN(2)/25))/(LN(2)/25)*Calculateur!GH108*Calculateur!GJ108*VLOOKUP('Données projet'!$B$17,Paramètres!$A$1:$I$89,3,0)*0.475*44/12</f>
        <v>0</v>
      </c>
      <c r="GN108" s="23">
        <f>EXP(-LN(2)/2)*GN107+(1-EXP(-LN(2)/2))/(LN(2)/2)*GH108*GK108*VLOOKUP('Données projet'!$B$17,Paramètres!$A$1:$I$89,3,0)*0.475*44/12</f>
        <v>0</v>
      </c>
      <c r="GO108" s="23">
        <f t="shared" si="81"/>
        <v>91.499073786760704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5.6843418860808015E-14</v>
      </c>
      <c r="GV108" s="18">
        <f>GU108*VLOOKUP('Données projet'!$B$18,Paramètres!$A$1:$I$89,3,0)*VLOOKUP('Données projet'!$B$18,Paramètres!$A$1:$I$89,5,0)</f>
        <v>3.813056537183002E-14</v>
      </c>
      <c r="GW108" s="14">
        <f t="shared" si="105"/>
        <v>6.4086286045526829E-13</v>
      </c>
      <c r="GX108" s="22">
        <f t="shared" si="82"/>
        <v>1.1825802166488628E-12</v>
      </c>
      <c r="GY108" s="62">
        <f t="shared" si="83"/>
        <v>278.73862808087296</v>
      </c>
      <c r="GZ108" s="62">
        <f ca="1">AVERAGE(OFFSET($GY$3,0,0,'Données projet'!$E$18+1,1))-AVERAGE(OFFSET($H$3,0,0,'Données projet'!$E$18+1,1))</f>
        <v>273.21861937609918</v>
      </c>
      <c r="HA108" s="62">
        <f t="shared" si="106"/>
        <v>268.83004886965318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>
        <f>EXP(-LN(2)/35)*HG107+(1-EXP(-LN(2)/35))/(LN(2)/35)*HC108*HD108*VLOOKUP('Données projet'!$B$18,Paramètres!$A$1:$I$89,3,0)*0.475*44/12</f>
        <v>70.281897256497388</v>
      </c>
      <c r="HH108" s="23">
        <f>EXP(-LN(2)/25)*HH107+(1-EXP(-LN(2)/25))/(LN(2)/25)*Calculateur!HC108*Calculateur!HE108*VLOOKUP('Données projet'!$B$18,Paramètres!$A$1:$I$89,3,0)*0.475*44/12</f>
        <v>0</v>
      </c>
      <c r="HI108" s="23">
        <f>EXP(-LN(2)/2)*HI107+(1-EXP(-LN(2)/2))/(LN(2)/2)*HC108*HF108*VLOOKUP('Données projet'!$B$18,Paramètres!$A$1:$I$89,3,0)*0.475*44/12</f>
        <v>0</v>
      </c>
      <c r="HJ108" s="24">
        <f t="shared" si="84"/>
        <v>70.281897256497388</v>
      </c>
    </row>
    <row r="109" spans="1:218" s="5" customFormat="1" x14ac:dyDescent="0.4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5.7</v>
      </c>
      <c r="N109" s="14">
        <f>IF('Données projet'!$A$36&gt;35,N108+M109-V108,IF(A109&lt;'Données projet'!$A$36,$K$205^A109,IF(A109='Données projet'!$A$36,'Données projet'!$B$36,N108+M109-V108)))</f>
        <v>252.5999999999998</v>
      </c>
      <c r="O109" s="14">
        <f>N109*VLOOKUP('Données projet'!$B$9,Paramètres!$A$1:$I$89,3,0)*VLOOKUP('Données projet'!$B$9,Paramètres!$A$1:$I$89,5,0)</f>
        <v>228.5524799999998</v>
      </c>
      <c r="P109" s="14">
        <f t="shared" si="87"/>
        <v>55.969578951878503</v>
      </c>
      <c r="Q109" s="22">
        <f t="shared" si="107"/>
        <v>495.54258600785471</v>
      </c>
      <c r="R109" s="62">
        <f t="shared" si="55"/>
        <v>774.53439959598381</v>
      </c>
      <c r="S109" s="62">
        <f ca="1">AVERAGE(OFFSET($R$3,0,0,'Données projet'!$E$9+1,1))-AVERAGE(OFFSET($H$3,0,0,'Données projet'!$E$9+1,1))</f>
        <v>432.80275651765203</v>
      </c>
      <c r="T109" s="62">
        <f t="shared" si="88"/>
        <v>203.89279893419919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18.603552559382138</v>
      </c>
      <c r="AA109" s="23">
        <f>EXP(-LN(2)/25)*AA108+(1-EXP(-LN(2)/25))/(LN(2)/25)*Calculateur!V109*Calculateur!X109*VLOOKUP('Données projet'!$B$9,Paramètres!$A$1:$I$89,3,0)*0.475*44/12</f>
        <v>12.683717939544097</v>
      </c>
      <c r="AB109" s="23">
        <f>EXP(-LN(2)/2)*AB108+(1-EXP(-LN(2)/2))/(LN(2)/2)*V109*Y109*VLOOKUP('Données projet'!$B$9,Paramètres!$A$1:$I$89,3,0)*0.475*44/12</f>
        <v>0</v>
      </c>
      <c r="AC109" s="24">
        <f t="shared" si="57"/>
        <v>31.287270498926233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54.000000000000341</v>
      </c>
      <c r="AJ109" s="14">
        <f>AI109*VLOOKUP('Données projet'!$B$10,Paramètres!$A$1:$I$89,3,0)*VLOOKUP('Données projet'!$B$10,Paramètres!$A$1:$I$89,5,0)</f>
        <v>23.868000000000151</v>
      </c>
      <c r="AK109" s="14">
        <f t="shared" si="89"/>
        <v>7.6030930962115804</v>
      </c>
      <c r="AL109" s="22">
        <f t="shared" si="58"/>
        <v>54.812153809235433</v>
      </c>
      <c r="AM109" s="62">
        <f t="shared" si="59"/>
        <v>333.80396739736454</v>
      </c>
      <c r="AN109" s="62">
        <f ca="1">AVERAGE(OFFSET($AM$3,0,0,'Données projet'!$E$10+1,1))-AVERAGE(OFFSET($H$3,0,0,'Données projet'!$E$10+1,1))</f>
        <v>413.08876898406481</v>
      </c>
      <c r="AO109" s="62">
        <f t="shared" si="90"/>
        <v>520.31320932826566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110.48537558685678</v>
      </c>
      <c r="AV109" s="23">
        <f>EXP(-LN(2)/25)*AV108+(1-EXP(-LN(2)/25))/(LN(2)/25)*Calculateur!AQ109*Calculateur!AS109*VLOOKUP('Données projet'!$B$10,Paramètres!$A$1:$I$89,3,0)*0.475*44/12</f>
        <v>5.6362007610325833</v>
      </c>
      <c r="AW109" s="23">
        <f>EXP(-LN(2)/2)*AW108+(1-EXP(-LN(2)/2))/(LN(2)/2)*AQ109*AT109*VLOOKUP('Données projet'!$B$10,Paramètres!$A$1:$I$89,3,0)*0.475*44/12</f>
        <v>2.6526960219938641E-9</v>
      </c>
      <c r="AX109" s="23">
        <f t="shared" si="60"/>
        <v>116.12157635054206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54.000000000000341</v>
      </c>
      <c r="BE109" s="14">
        <f>BD109*VLOOKUP('Données projet'!$B$11,Paramètres!$A$1:$I$89,3,0)*VLOOKUP('Données projet'!$B$11,Paramètres!$A$1:$I$89,5,0)</f>
        <v>30.186000000000188</v>
      </c>
      <c r="BF109" s="14">
        <f t="shared" si="91"/>
        <v>9.3563888882899153</v>
      </c>
      <c r="BG109" s="22">
        <f t="shared" si="61"/>
        <v>68.869660647105263</v>
      </c>
      <c r="BH109" s="62">
        <f t="shared" si="62"/>
        <v>347.86147423523437</v>
      </c>
      <c r="BI109" s="62">
        <f ca="1">AVERAGE(OFFSET($BH$3,0,0,'Données projet'!$E$11+1,1))-AVERAGE(OFFSET($H$3,0,0,'Données projet'!$E$11+1,1))</f>
        <v>507.66185230065889</v>
      </c>
      <c r="BJ109" s="62">
        <f t="shared" si="92"/>
        <v>640.14375617778342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139.7315044186717</v>
      </c>
      <c r="BQ109" s="23">
        <f>EXP(-LN(2)/25)*BQ108+(1-EXP(-LN(2)/25))/(LN(2)/25)*Calculateur!BL109*Calculateur!BN109*VLOOKUP('Données projet'!$B$11,Paramètres!$A$1:$I$89,3,0)*0.475*44/12</f>
        <v>7.1281362566000386</v>
      </c>
      <c r="BR109" s="23">
        <f>EXP(-LN(2)/2)*BR108+(1-EXP(-LN(2)/2))/(LN(2)/2)*BL109*BO109*VLOOKUP('Données projet'!$B$11,Paramètres!$A$1:$I$89,3,0)*0.475*44/12</f>
        <v>3.3548802631098891E-9</v>
      </c>
      <c r="BS109" s="24">
        <f t="shared" si="63"/>
        <v>146.85964067862662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417.04879970000007</v>
      </c>
      <c r="BZ109" s="14">
        <f>BY109*VLOOKUP('Données projet'!$B$12,Paramètres!$A$1:$I$89,3,0)*VLOOKUP('Données projet'!$B$12,Paramètres!$A$1:$I$89,5,0)</f>
        <v>195.17883825960004</v>
      </c>
      <c r="CA109" s="14">
        <f t="shared" si="93"/>
        <v>48.683122291673484</v>
      </c>
      <c r="CB109" s="22">
        <f t="shared" si="64"/>
        <v>424.72624796013469</v>
      </c>
      <c r="CC109" s="62">
        <f t="shared" si="65"/>
        <v>703.71806154826379</v>
      </c>
      <c r="CD109" s="62">
        <f ca="1">AVERAGE(OFFSET($CC$3,0,0,'Données projet'!$E$12+1,1))-AVERAGE(OFFSET($H$3,0,0,'Données projet'!$E$12+1,1))</f>
        <v>289.21044803824958</v>
      </c>
      <c r="CE109" s="62">
        <f t="shared" si="94"/>
        <v>196.11836398299445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>
        <f>EXP(-LN(2)/35)*CK108+(1-EXP(-LN(2)/35))/(LN(2)/35)*CG109*CH109*VLOOKUP('Données projet'!$B$12,Paramètres!$A$1:$I$89,3,0)*0.475*44/12</f>
        <v>61.156212521258333</v>
      </c>
      <c r="CL109" s="23">
        <f>EXP(-LN(2)/25)*CL108+(1-EXP(-LN(2)/25))/(LN(2)/25)*Calculateur!CG109*Calculateur!CI109*VLOOKUP('Données projet'!$B$12,Paramètres!$A$1:$I$89,3,0)*0.475*44/12</f>
        <v>27.145875510259248</v>
      </c>
      <c r="CM109" s="23">
        <f>EXP(-LN(2)/2)*CM108+(1-EXP(-LN(2)/2))/(LN(2)/2)*CG109*CJ109*VLOOKUP('Données projet'!$B$12,Paramètres!$A$1:$I$89,3,0)*0.475*44/12</f>
        <v>0</v>
      </c>
      <c r="CN109" s="24">
        <f t="shared" si="66"/>
        <v>88.302088031517584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-5.6843418860808015E-14</v>
      </c>
      <c r="CU109" s="18">
        <f>CT109*VLOOKUP('Données projet'!$B$13,Paramètres!$A$1:$I$89,3,0)*VLOOKUP('Données projet'!$B$13,Paramètres!$A$1:$I$89,5,0)</f>
        <v>-5.1431925385259088E-14</v>
      </c>
      <c r="CV109" s="14" t="e">
        <f t="shared" si="95"/>
        <v>#NUM!</v>
      </c>
      <c r="CW109" s="22" t="e">
        <f t="shared" si="67"/>
        <v>#NUM!</v>
      </c>
      <c r="CX109" s="62" t="e">
        <f t="shared" si="68"/>
        <v>#NUM!</v>
      </c>
      <c r="CY109" s="62">
        <f ca="1">AVERAGE(OFFSET($CX$3,0,0,'Données projet'!$E$13+1,1))-AVERAGE(OFFSET($H$3,0,0,'Données projet'!$E$13+1,1))</f>
        <v>376.68007030857598</v>
      </c>
      <c r="CZ109" s="62">
        <f t="shared" si="96"/>
        <v>532.90758914457626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>
        <f>EXP(-LN(2)/35)*DF108+(1-EXP(-LN(2)/35))/(LN(2)/35)*DB109*DC109*VLOOKUP('Données projet'!$B$13,Paramètres!$A$1:$I$89,3,0)*0.475*44/12</f>
        <v>27.971984111887167</v>
      </c>
      <c r="DG109" s="23">
        <f>EXP(-LN(2)/25)*DG108+(1-EXP(-LN(2)/25))/(LN(2)/25)*Calculateur!DB109*Calculateur!DD109*VLOOKUP('Données projet'!$B$13,Paramètres!$A$1:$I$89,3,0)*0.475*44/12</f>
        <v>1.5927530849873948</v>
      </c>
      <c r="DH109" s="23">
        <f>EXP(-LN(2)/2)*DH108+(1-EXP(-LN(2)/2))/(LN(2)/2)*DB109*DE109*VLOOKUP('Données projet'!$B$13,Paramètres!$A$1:$I$89,3,0)*0.475*44/12</f>
        <v>0</v>
      </c>
      <c r="DI109" s="24">
        <f t="shared" si="69"/>
        <v>29.56473719687456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5.6843418860808015E-14</v>
      </c>
      <c r="DP109" s="18">
        <f>DO109*VLOOKUP('Données projet'!$B$14,Paramètres!$A$1:$I$89,3,0)*VLOOKUP('Données projet'!$B$14,Paramètres!$A$1:$I$89,5,0)</f>
        <v>5.4092197387944907E-14</v>
      </c>
      <c r="DQ109" s="14">
        <f t="shared" si="97"/>
        <v>8.7287050538073676E-13</v>
      </c>
      <c r="DR109" s="22">
        <f t="shared" si="70"/>
        <v>1.6144600406554537E-12</v>
      </c>
      <c r="DS109" s="62">
        <f t="shared" si="71"/>
        <v>278.9918135881307</v>
      </c>
      <c r="DT109" s="62">
        <f ca="1">AVERAGE(OFFSET($DS$3,0,0,'Données projet'!$E$14+1,1))-AVERAGE(OFFSET($H$3,0,0,'Données projet'!$E$14+1,1))</f>
        <v>364.63161066507769</v>
      </c>
      <c r="DU109" s="62">
        <f t="shared" si="98"/>
        <v>355.44729904860708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>
        <f>EXP(-LN(2)/35)*EA108+(1-EXP(-LN(2)/35))/(LN(2)/35)*DW109*DX109*VLOOKUP('Données projet'!$B$14,Paramètres!$A$1:$I$89,3,0)*0.475*44/12</f>
        <v>79.304272438874293</v>
      </c>
      <c r="EB109" s="23">
        <f>EXP(-LN(2)/25)*EB108+(1-EXP(-LN(2)/25))/(LN(2)/25)*Calculateur!DW109*Calculateur!DY109*VLOOKUP('Données projet'!$B$14,Paramètres!$A$1:$I$89,3,0)*0.475*44/12</f>
        <v>0</v>
      </c>
      <c r="EC109" s="23">
        <f>EXP(-LN(2)/2)*EC108+(1-EXP(-LN(2)/2))/(LN(2)/2)*DW109*DZ109*VLOOKUP('Données projet'!$B$14,Paramètres!$A$1:$I$89,3,0)*0.475*44/12</f>
        <v>0</v>
      </c>
      <c r="ED109" s="24">
        <f t="shared" si="72"/>
        <v>79.304272438874293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5.6843418860808015E-14</v>
      </c>
      <c r="EK109" s="18">
        <f>EJ109*VLOOKUP('Données projet'!$B$15,Paramètres!$A$1:$I$89,3,0)*VLOOKUP('Données projet'!$B$15,Paramètres!$A$1:$I$89,5,0)</f>
        <v>4.1677594708744434E-14</v>
      </c>
      <c r="EL109" s="14">
        <f t="shared" si="99"/>
        <v>6.9326303456159188E-13</v>
      </c>
      <c r="EM109" s="22">
        <f t="shared" si="73"/>
        <v>1.2800215959791691E-12</v>
      </c>
      <c r="EN109" s="62">
        <f t="shared" si="74"/>
        <v>278.99181358813041</v>
      </c>
      <c r="EO109" s="62">
        <f ca="1">AVERAGE(OFFSET($EN$3,0,0,'Données projet'!$E$15+1,1))-AVERAGE(OFFSET($H$3,0,0,'Données projet'!$E$15+1,1))</f>
        <v>293.59366973965774</v>
      </c>
      <c r="EP109" s="62">
        <f t="shared" si="100"/>
        <v>288.13804536120426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>
        <f>EXP(-LN(2)/35)*EV108+(1-EXP(-LN(2)/35))/(LN(2)/35)*ER109*ES109*VLOOKUP('Données projet'!$B$15,Paramètres!$A$1:$I$89,3,0)*0.475*44/12</f>
        <v>61.103291879132655</v>
      </c>
      <c r="EW109" s="23">
        <f>EXP(-LN(2)/25)*EW108+(1-EXP(-LN(2)/25))/(LN(2)/25)*Calculateur!ER109*Calculateur!ET109*VLOOKUP('Données projet'!$B$15,Paramètres!$A$1:$I$89,3,0)*0.475*44/12</f>
        <v>0</v>
      </c>
      <c r="EX109" s="23">
        <f>EXP(-LN(2)/2)*EX108+(1-EXP(-LN(2)/2))/(LN(2)/2)*ER109*EU109*VLOOKUP('Données projet'!$B$15,Paramètres!$A$1:$I$89,3,0)*0.475*44/12</f>
        <v>0</v>
      </c>
      <c r="EY109" s="24">
        <f t="shared" si="75"/>
        <v>61.103291879132655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5.6843418860808015E-14</v>
      </c>
      <c r="FF109" s="18">
        <f>FE109*VLOOKUP('Données projet'!$B$16,Paramètres!$A$1:$I$89,3,0)*VLOOKUP('Données projet'!$B$16,Paramètres!$A$1:$I$89,5,0)</f>
        <v>5.4978954722173515E-14</v>
      </c>
      <c r="FG109" s="14">
        <f t="shared" si="101"/>
        <v>8.8550225887742724E-13</v>
      </c>
      <c r="FH109" s="22">
        <f t="shared" si="76"/>
        <v>1.6380047803526383E-12</v>
      </c>
      <c r="FI109" s="62">
        <f t="shared" si="77"/>
        <v>278.99181358813075</v>
      </c>
      <c r="FJ109" s="62">
        <f ca="1">AVERAGE(OFFSET($FI$3,0,0,'Données projet'!$E$16+1,1))-AVERAGE(OFFSET($H$3,0,0,'Données projet'!$E$16+1,1))</f>
        <v>369.69145521630799</v>
      </c>
      <c r="FK109" s="62">
        <f t="shared" si="102"/>
        <v>360.24112103688719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>
        <f>EXP(-LN(2)/35)*FQ108+(1-EXP(-LN(2)/35))/(LN(2)/35)*FM109*FN109*VLOOKUP('Données projet'!$B$16,Paramètres!$A$1:$I$89,3,0)*0.475*44/12</f>
        <v>80.604342478855855</v>
      </c>
      <c r="FR109" s="23">
        <f>EXP(-LN(2)/25)*FR108+(1-EXP(-LN(2)/25))/(LN(2)/25)*Calculateur!FM109*Calculateur!FO109*VLOOKUP('Données projet'!$B$16,Paramètres!$A$1:$I$89,3,0)*0.475*44/12</f>
        <v>0</v>
      </c>
      <c r="FS109" s="23">
        <f>EXP(-LN(2)/2)*FS108+(1-EXP(-LN(2)/2))/(LN(2)/2)*FM109*FP109*VLOOKUP('Données projet'!$B$16,Paramètres!$A$1:$I$89,3,0)*0.475*44/12</f>
        <v>0</v>
      </c>
      <c r="FT109" s="24">
        <f t="shared" si="78"/>
        <v>80.604342478855855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5.6843418860808015E-14</v>
      </c>
      <c r="GA109" s="18">
        <f>FZ109*VLOOKUP('Données projet'!$B$17,Paramètres!$A$1:$I$89,3,0)*VLOOKUP('Données projet'!$B$17,Paramètres!$A$1:$I$89,5,0)</f>
        <v>6.1186256061773749E-14</v>
      </c>
      <c r="GB109" s="14">
        <f t="shared" si="103"/>
        <v>9.7328366192051127E-13</v>
      </c>
      <c r="GC109" s="22">
        <f t="shared" si="79"/>
        <v>1.8017017738191463E-12</v>
      </c>
      <c r="GD109" s="62">
        <f t="shared" si="80"/>
        <v>278.99181358813092</v>
      </c>
      <c r="GE109" s="62">
        <f ca="1">AVERAGE(OFFSET($GD$3,0,0,'Données projet'!$E$17+1,1))-AVERAGE(OFFSET($H$3,0,0,'Données projet'!$E$17+1,1))</f>
        <v>405.06394904053946</v>
      </c>
      <c r="GF109" s="62">
        <f t="shared" si="104"/>
        <v>393.75247087518198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>
        <f>EXP(-LN(2)/35)*GL108+(1-EXP(-LN(2)/35))/(LN(2)/35)*GH109*GI109*VLOOKUP('Données projet'!$B$17,Paramètres!$A$1:$I$89,3,0)*0.475*44/12</f>
        <v>89.704832758726667</v>
      </c>
      <c r="GM109" s="23">
        <f>EXP(-LN(2)/25)*GM108+(1-EXP(-LN(2)/25))/(LN(2)/25)*Calculateur!GH109*Calculateur!GJ109*VLOOKUP('Données projet'!$B$17,Paramètres!$A$1:$I$89,3,0)*0.475*44/12</f>
        <v>0</v>
      </c>
      <c r="GN109" s="23">
        <f>EXP(-LN(2)/2)*GN108+(1-EXP(-LN(2)/2))/(LN(2)/2)*GH109*GK109*VLOOKUP('Données projet'!$B$17,Paramètres!$A$1:$I$89,3,0)*0.475*44/12</f>
        <v>0</v>
      </c>
      <c r="GO109" s="23">
        <f t="shared" si="81"/>
        <v>89.704832758726667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5.6843418860808015E-14</v>
      </c>
      <c r="GV109" s="18">
        <f>GU109*VLOOKUP('Données projet'!$B$18,Paramètres!$A$1:$I$89,3,0)*VLOOKUP('Données projet'!$B$18,Paramètres!$A$1:$I$89,5,0)</f>
        <v>3.813056537183002E-14</v>
      </c>
      <c r="GW109" s="14">
        <f t="shared" si="105"/>
        <v>6.4086286045526829E-13</v>
      </c>
      <c r="GX109" s="22">
        <f t="shared" si="82"/>
        <v>1.1825802166488628E-12</v>
      </c>
      <c r="GY109" s="62">
        <f t="shared" si="83"/>
        <v>278.9918135881303</v>
      </c>
      <c r="GZ109" s="62">
        <f ca="1">AVERAGE(OFFSET($GY$3,0,0,'Données projet'!$E$18+1,1))-AVERAGE(OFFSET($H$3,0,0,'Données projet'!$E$18+1,1))</f>
        <v>273.21861937609918</v>
      </c>
      <c r="HA109" s="62">
        <f t="shared" si="106"/>
        <v>268.83004886965318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>
        <f>EXP(-LN(2)/35)*HG108+(1-EXP(-LN(2)/35))/(LN(2)/35)*HC109*HD109*VLOOKUP('Données projet'!$B$18,Paramètres!$A$1:$I$89,3,0)*0.475*44/12</f>
        <v>68.903712119021961</v>
      </c>
      <c r="HH109" s="23">
        <f>EXP(-LN(2)/25)*HH108+(1-EXP(-LN(2)/25))/(LN(2)/25)*Calculateur!HC109*Calculateur!HE109*VLOOKUP('Données projet'!$B$18,Paramètres!$A$1:$I$89,3,0)*0.475*44/12</f>
        <v>0</v>
      </c>
      <c r="HI109" s="23">
        <f>EXP(-LN(2)/2)*HI108+(1-EXP(-LN(2)/2))/(LN(2)/2)*HC109*HF109*VLOOKUP('Données projet'!$B$18,Paramètres!$A$1:$I$89,3,0)*0.475*44/12</f>
        <v>0</v>
      </c>
      <c r="HJ109" s="24">
        <f t="shared" si="84"/>
        <v>68.903712119021961</v>
      </c>
    </row>
    <row r="110" spans="1:218" s="5" customFormat="1" x14ac:dyDescent="0.4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5.7</v>
      </c>
      <c r="N110" s="14">
        <f>IF('Données projet'!$A$36&gt;35,N109+M110-V109,IF(A110&lt;'Données projet'!$A$36,$K$205^A110,IF(A110='Données projet'!$A$36,'Données projet'!$B$36,N109+M110-V109)))</f>
        <v>258.29999999999978</v>
      </c>
      <c r="O110" s="14">
        <f>N110*VLOOKUP('Données projet'!$B$9,Paramètres!$A$1:$I$89,3,0)*VLOOKUP('Données projet'!$B$9,Paramètres!$A$1:$I$89,5,0)</f>
        <v>233.70983999999979</v>
      </c>
      <c r="P110" s="14">
        <f t="shared" si="87"/>
        <v>57.08408713412031</v>
      </c>
      <c r="Q110" s="22">
        <f t="shared" si="107"/>
        <v>506.46608975859249</v>
      </c>
      <c r="R110" s="62">
        <f t="shared" si="55"/>
        <v>785.70669665146613</v>
      </c>
      <c r="S110" s="62">
        <f ca="1">AVERAGE(OFFSET($R$3,0,0,'Données projet'!$E$9+1,1))-AVERAGE(OFFSET($H$3,0,0,'Données projet'!$E$9+1,1))</f>
        <v>432.80275651765203</v>
      </c>
      <c r="T110" s="62">
        <f t="shared" si="88"/>
        <v>203.89279893419919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18.238748240739287</v>
      </c>
      <c r="AA110" s="23">
        <f>EXP(-LN(2)/25)*AA109+(1-EXP(-LN(2)/25))/(LN(2)/25)*Calculateur!V110*Calculateur!X110*VLOOKUP('Données projet'!$B$9,Paramètres!$A$1:$I$89,3,0)*0.475*44/12</f>
        <v>12.336881005479526</v>
      </c>
      <c r="AB110" s="23">
        <f>EXP(-LN(2)/2)*AB109+(1-EXP(-LN(2)/2))/(LN(2)/2)*V110*Y110*VLOOKUP('Données projet'!$B$9,Paramètres!$A$1:$I$89,3,0)*0.475*44/12</f>
        <v>0</v>
      </c>
      <c r="AC110" s="24">
        <f t="shared" si="57"/>
        <v>30.575629246218814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54.000000000000341</v>
      </c>
      <c r="AJ110" s="14">
        <f>AI110*VLOOKUP('Données projet'!$B$10,Paramètres!$A$1:$I$89,3,0)*VLOOKUP('Données projet'!$B$10,Paramètres!$A$1:$I$89,5,0)</f>
        <v>23.868000000000151</v>
      </c>
      <c r="AK110" s="14">
        <f t="shared" si="89"/>
        <v>7.6030930962115804</v>
      </c>
      <c r="AL110" s="22">
        <f t="shared" si="58"/>
        <v>54.812153809235433</v>
      </c>
      <c r="AM110" s="62">
        <f t="shared" si="59"/>
        <v>334.05276070210908</v>
      </c>
      <c r="AN110" s="62">
        <f ca="1">AVERAGE(OFFSET($AM$3,0,0,'Données projet'!$E$10+1,1))-AVERAGE(OFFSET($H$3,0,0,'Données projet'!$E$10+1,1))</f>
        <v>413.08876898406481</v>
      </c>
      <c r="AO110" s="62">
        <f t="shared" si="90"/>
        <v>520.31320932826566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108.31882476102346</v>
      </c>
      <c r="AV110" s="23">
        <f>EXP(-LN(2)/25)*AV109+(1-EXP(-LN(2)/25))/(LN(2)/25)*Calculateur!AQ110*Calculateur!AS110*VLOOKUP('Données projet'!$B$10,Paramètres!$A$1:$I$89,3,0)*0.475*44/12</f>
        <v>5.4820785548272308</v>
      </c>
      <c r="AW110" s="23">
        <f>EXP(-LN(2)/2)*AW109+(1-EXP(-LN(2)/2))/(LN(2)/2)*AQ110*AT110*VLOOKUP('Données projet'!$B$10,Paramètres!$A$1:$I$89,3,0)*0.475*44/12</f>
        <v>1.8757393455784402E-9</v>
      </c>
      <c r="AX110" s="23">
        <f t="shared" si="60"/>
        <v>113.80090331772642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54.000000000000341</v>
      </c>
      <c r="BE110" s="14">
        <f>BD110*VLOOKUP('Données projet'!$B$11,Paramètres!$A$1:$I$89,3,0)*VLOOKUP('Données projet'!$B$11,Paramètres!$A$1:$I$89,5,0)</f>
        <v>30.186000000000188</v>
      </c>
      <c r="BF110" s="14">
        <f t="shared" si="91"/>
        <v>9.3563888882899153</v>
      </c>
      <c r="BG110" s="22">
        <f t="shared" si="61"/>
        <v>68.869660647105263</v>
      </c>
      <c r="BH110" s="62">
        <f t="shared" si="62"/>
        <v>348.11026753997891</v>
      </c>
      <c r="BI110" s="62">
        <f ca="1">AVERAGE(OFFSET($BH$3,0,0,'Données projet'!$E$11+1,1))-AVERAGE(OFFSET($H$3,0,0,'Données projet'!$E$11+1,1))</f>
        <v>507.66185230065889</v>
      </c>
      <c r="BJ110" s="62">
        <f t="shared" si="92"/>
        <v>640.14375617778342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136.99145484482369</v>
      </c>
      <c r="BQ110" s="23">
        <f>EXP(-LN(2)/25)*BQ109+(1-EXP(-LN(2)/25))/(LN(2)/25)*Calculateur!BL110*Calculateur!BN110*VLOOKUP('Données projet'!$B$11,Paramètres!$A$1:$I$89,3,0)*0.475*44/12</f>
        <v>6.9332169958109162</v>
      </c>
      <c r="BR110" s="23">
        <f>EXP(-LN(2)/2)*BR109+(1-EXP(-LN(2)/2))/(LN(2)/2)*BL110*BO110*VLOOKUP('Données projet'!$B$11,Paramètres!$A$1:$I$89,3,0)*0.475*44/12</f>
        <v>2.3722585841139113E-9</v>
      </c>
      <c r="BS110" s="24">
        <f t="shared" si="63"/>
        <v>143.92467184300685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417.04879970000007</v>
      </c>
      <c r="BZ110" s="14">
        <f>BY110*VLOOKUP('Données projet'!$B$12,Paramètres!$A$1:$I$89,3,0)*VLOOKUP('Données projet'!$B$12,Paramètres!$A$1:$I$89,5,0)</f>
        <v>195.17883825960004</v>
      </c>
      <c r="CA110" s="14">
        <f t="shared" si="93"/>
        <v>48.683122291673484</v>
      </c>
      <c r="CB110" s="22">
        <f t="shared" si="64"/>
        <v>424.72624796013469</v>
      </c>
      <c r="CC110" s="62">
        <f t="shared" si="65"/>
        <v>703.96685485300827</v>
      </c>
      <c r="CD110" s="62">
        <f ca="1">AVERAGE(OFFSET($CC$3,0,0,'Données projet'!$E$12+1,1))-AVERAGE(OFFSET($H$3,0,0,'Données projet'!$E$12+1,1))</f>
        <v>289.21044803824958</v>
      </c>
      <c r="CE110" s="62">
        <f t="shared" si="94"/>
        <v>196.11836398299445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>
        <f>EXP(-LN(2)/35)*CK109+(1-EXP(-LN(2)/35))/(LN(2)/35)*CG110*CH110*VLOOKUP('Données projet'!$B$12,Paramètres!$A$1:$I$89,3,0)*0.475*44/12</f>
        <v>59.95697649532287</v>
      </c>
      <c r="CL110" s="23">
        <f>EXP(-LN(2)/25)*CL109+(1-EXP(-LN(2)/25))/(LN(2)/25)*Calculateur!CG110*Calculateur!CI110*VLOOKUP('Données projet'!$B$12,Paramètres!$A$1:$I$89,3,0)*0.475*44/12</f>
        <v>26.403570116891657</v>
      </c>
      <c r="CM110" s="23">
        <f>EXP(-LN(2)/2)*CM109+(1-EXP(-LN(2)/2))/(LN(2)/2)*CG110*CJ110*VLOOKUP('Données projet'!$B$12,Paramètres!$A$1:$I$89,3,0)*0.475*44/12</f>
        <v>0</v>
      </c>
      <c r="CN110" s="24">
        <f t="shared" si="66"/>
        <v>86.360546612214534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-5.6843418860808015E-14</v>
      </c>
      <c r="CU110" s="18">
        <f>CT110*VLOOKUP('Données projet'!$B$13,Paramètres!$A$1:$I$89,3,0)*VLOOKUP('Données projet'!$B$13,Paramètres!$A$1:$I$89,5,0)</f>
        <v>-5.1431925385259088E-14</v>
      </c>
      <c r="CV110" s="14" t="e">
        <f t="shared" si="95"/>
        <v>#NUM!</v>
      </c>
      <c r="CW110" s="22" t="e">
        <f t="shared" si="67"/>
        <v>#NUM!</v>
      </c>
      <c r="CX110" s="62" t="e">
        <f t="shared" si="68"/>
        <v>#NUM!</v>
      </c>
      <c r="CY110" s="62">
        <f ca="1">AVERAGE(OFFSET($CX$3,0,0,'Données projet'!$E$13+1,1))-AVERAGE(OFFSET($H$3,0,0,'Données projet'!$E$13+1,1))</f>
        <v>376.68007030857598</v>
      </c>
      <c r="CZ110" s="62">
        <f t="shared" si="96"/>
        <v>532.90758914457626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>
        <f>EXP(-LN(2)/35)*DF109+(1-EXP(-LN(2)/35))/(LN(2)/35)*DB110*DC110*VLOOKUP('Données projet'!$B$13,Paramètres!$A$1:$I$89,3,0)*0.475*44/12</f>
        <v>27.423470564678713</v>
      </c>
      <c r="DG110" s="23">
        <f>EXP(-LN(2)/25)*DG109+(1-EXP(-LN(2)/25))/(LN(2)/25)*Calculateur!DB110*Calculateur!DD110*VLOOKUP('Données projet'!$B$13,Paramètres!$A$1:$I$89,3,0)*0.475*44/12</f>
        <v>1.5491991681191699</v>
      </c>
      <c r="DH110" s="23">
        <f>EXP(-LN(2)/2)*DH109+(1-EXP(-LN(2)/2))/(LN(2)/2)*DB110*DE110*VLOOKUP('Données projet'!$B$13,Paramètres!$A$1:$I$89,3,0)*0.475*44/12</f>
        <v>0</v>
      </c>
      <c r="DI110" s="24">
        <f t="shared" si="69"/>
        <v>28.972669732797883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5.6843418860808015E-14</v>
      </c>
      <c r="DP110" s="18">
        <f>DO110*VLOOKUP('Données projet'!$B$14,Paramètres!$A$1:$I$89,3,0)*VLOOKUP('Données projet'!$B$14,Paramètres!$A$1:$I$89,5,0)</f>
        <v>5.4092197387944907E-14</v>
      </c>
      <c r="DQ110" s="14">
        <f t="shared" si="97"/>
        <v>8.7287050538073676E-13</v>
      </c>
      <c r="DR110" s="22">
        <f t="shared" si="70"/>
        <v>1.6144600406554537E-12</v>
      </c>
      <c r="DS110" s="62">
        <f t="shared" si="71"/>
        <v>279.24060689287523</v>
      </c>
      <c r="DT110" s="62">
        <f ca="1">AVERAGE(OFFSET($DS$3,0,0,'Données projet'!$E$14+1,1))-AVERAGE(OFFSET($H$3,0,0,'Données projet'!$E$14+1,1))</f>
        <v>364.63161066507769</v>
      </c>
      <c r="DU110" s="62">
        <f t="shared" si="98"/>
        <v>355.44729904860708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>
        <f>EXP(-LN(2)/35)*EA109+(1-EXP(-LN(2)/35))/(LN(2)/35)*DW110*DX110*VLOOKUP('Données projet'!$B$14,Paramètres!$A$1:$I$89,3,0)*0.475*44/12</f>
        <v>77.749164027177926</v>
      </c>
      <c r="EB110" s="23">
        <f>EXP(-LN(2)/25)*EB109+(1-EXP(-LN(2)/25))/(LN(2)/25)*Calculateur!DW110*Calculateur!DY110*VLOOKUP('Données projet'!$B$14,Paramètres!$A$1:$I$89,3,0)*0.475*44/12</f>
        <v>0</v>
      </c>
      <c r="EC110" s="23">
        <f>EXP(-LN(2)/2)*EC109+(1-EXP(-LN(2)/2))/(LN(2)/2)*DW110*DZ110*VLOOKUP('Données projet'!$B$14,Paramètres!$A$1:$I$89,3,0)*0.475*44/12</f>
        <v>0</v>
      </c>
      <c r="ED110" s="24">
        <f t="shared" si="72"/>
        <v>77.749164027177926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5.6843418860808015E-14</v>
      </c>
      <c r="EK110" s="18">
        <f>EJ110*VLOOKUP('Données projet'!$B$15,Paramètres!$A$1:$I$89,3,0)*VLOOKUP('Données projet'!$B$15,Paramètres!$A$1:$I$89,5,0)</f>
        <v>4.1677594708744434E-14</v>
      </c>
      <c r="EL110" s="14">
        <f t="shared" si="99"/>
        <v>6.9326303456159188E-13</v>
      </c>
      <c r="EM110" s="22">
        <f t="shared" si="73"/>
        <v>1.2800215959791691E-12</v>
      </c>
      <c r="EN110" s="62">
        <f t="shared" si="74"/>
        <v>279.24060689287495</v>
      </c>
      <c r="EO110" s="62">
        <f ca="1">AVERAGE(OFFSET($EN$3,0,0,'Données projet'!$E$15+1,1))-AVERAGE(OFFSET($H$3,0,0,'Données projet'!$E$15+1,1))</f>
        <v>293.59366973965774</v>
      </c>
      <c r="EP110" s="62">
        <f t="shared" si="100"/>
        <v>288.13804536120426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>
        <f>EXP(-LN(2)/35)*EV109+(1-EXP(-LN(2)/35))/(LN(2)/35)*ER110*ES110*VLOOKUP('Données projet'!$B$15,Paramètres!$A$1:$I$89,3,0)*0.475*44/12</f>
        <v>59.90509359471087</v>
      </c>
      <c r="EW110" s="23">
        <f>EXP(-LN(2)/25)*EW109+(1-EXP(-LN(2)/25))/(LN(2)/25)*Calculateur!ER110*Calculateur!ET110*VLOOKUP('Données projet'!$B$15,Paramètres!$A$1:$I$89,3,0)*0.475*44/12</f>
        <v>0</v>
      </c>
      <c r="EX110" s="23">
        <f>EXP(-LN(2)/2)*EX109+(1-EXP(-LN(2)/2))/(LN(2)/2)*ER110*EU110*VLOOKUP('Données projet'!$B$15,Paramètres!$A$1:$I$89,3,0)*0.475*44/12</f>
        <v>0</v>
      </c>
      <c r="EY110" s="24">
        <f t="shared" si="75"/>
        <v>59.90509359471087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5.6843418860808015E-14</v>
      </c>
      <c r="FF110" s="18">
        <f>FE110*VLOOKUP('Données projet'!$B$16,Paramètres!$A$1:$I$89,3,0)*VLOOKUP('Données projet'!$B$16,Paramètres!$A$1:$I$89,5,0)</f>
        <v>5.4978954722173515E-14</v>
      </c>
      <c r="FG110" s="14">
        <f t="shared" si="101"/>
        <v>8.8550225887742724E-13</v>
      </c>
      <c r="FH110" s="22">
        <f t="shared" si="76"/>
        <v>1.6380047803526383E-12</v>
      </c>
      <c r="FI110" s="62">
        <f t="shared" si="77"/>
        <v>279.24060689287529</v>
      </c>
      <c r="FJ110" s="62">
        <f ca="1">AVERAGE(OFFSET($FI$3,0,0,'Données projet'!$E$16+1,1))-AVERAGE(OFFSET($H$3,0,0,'Données projet'!$E$16+1,1))</f>
        <v>369.69145521630799</v>
      </c>
      <c r="FK110" s="62">
        <f t="shared" si="102"/>
        <v>360.24112103688719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>
        <f>EXP(-LN(2)/35)*FQ109+(1-EXP(-LN(2)/35))/(LN(2)/35)*FM110*FN110*VLOOKUP('Données projet'!$B$16,Paramètres!$A$1:$I$89,3,0)*0.475*44/12</f>
        <v>79.02374048663988</v>
      </c>
      <c r="FR110" s="23">
        <f>EXP(-LN(2)/25)*FR109+(1-EXP(-LN(2)/25))/(LN(2)/25)*Calculateur!FM110*Calculateur!FO110*VLOOKUP('Données projet'!$B$16,Paramètres!$A$1:$I$89,3,0)*0.475*44/12</f>
        <v>0</v>
      </c>
      <c r="FS110" s="23">
        <f>EXP(-LN(2)/2)*FS109+(1-EXP(-LN(2)/2))/(LN(2)/2)*FM110*FP110*VLOOKUP('Données projet'!$B$16,Paramètres!$A$1:$I$89,3,0)*0.475*44/12</f>
        <v>0</v>
      </c>
      <c r="FT110" s="24">
        <f t="shared" si="78"/>
        <v>79.02374048663988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5.6843418860808015E-14</v>
      </c>
      <c r="GA110" s="18">
        <f>FZ110*VLOOKUP('Données projet'!$B$17,Paramètres!$A$1:$I$89,3,0)*VLOOKUP('Données projet'!$B$17,Paramètres!$A$1:$I$89,5,0)</f>
        <v>6.1186256061773749E-14</v>
      </c>
      <c r="GB110" s="14">
        <f t="shared" si="103"/>
        <v>9.7328366192051127E-13</v>
      </c>
      <c r="GC110" s="22">
        <f t="shared" si="79"/>
        <v>1.8017017738191463E-12</v>
      </c>
      <c r="GD110" s="62">
        <f t="shared" si="80"/>
        <v>279.24060689287546</v>
      </c>
      <c r="GE110" s="62">
        <f ca="1">AVERAGE(OFFSET($GD$3,0,0,'Données projet'!$E$17+1,1))-AVERAGE(OFFSET($H$3,0,0,'Données projet'!$E$17+1,1))</f>
        <v>405.06394904053946</v>
      </c>
      <c r="GF110" s="62">
        <f t="shared" si="104"/>
        <v>393.75247087518198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>
        <f>EXP(-LN(2)/35)*GL109+(1-EXP(-LN(2)/35))/(LN(2)/35)*GH110*GI110*VLOOKUP('Données projet'!$B$17,Paramètres!$A$1:$I$89,3,0)*0.475*44/12</f>
        <v>87.945775702873405</v>
      </c>
      <c r="GM110" s="23">
        <f>EXP(-LN(2)/25)*GM109+(1-EXP(-LN(2)/25))/(LN(2)/25)*Calculateur!GH110*Calculateur!GJ110*VLOOKUP('Données projet'!$B$17,Paramètres!$A$1:$I$89,3,0)*0.475*44/12</f>
        <v>0</v>
      </c>
      <c r="GN110" s="23">
        <f>EXP(-LN(2)/2)*GN109+(1-EXP(-LN(2)/2))/(LN(2)/2)*GH110*GK110*VLOOKUP('Données projet'!$B$17,Paramètres!$A$1:$I$89,3,0)*0.475*44/12</f>
        <v>0</v>
      </c>
      <c r="GO110" s="23">
        <f t="shared" si="81"/>
        <v>87.945775702873405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5.6843418860808015E-14</v>
      </c>
      <c r="GV110" s="18">
        <f>GU110*VLOOKUP('Données projet'!$B$18,Paramètres!$A$1:$I$89,3,0)*VLOOKUP('Données projet'!$B$18,Paramètres!$A$1:$I$89,5,0)</f>
        <v>3.813056537183002E-14</v>
      </c>
      <c r="GW110" s="14">
        <f t="shared" si="105"/>
        <v>6.4086286045526829E-13</v>
      </c>
      <c r="GX110" s="22">
        <f t="shared" si="82"/>
        <v>1.1825802166488628E-12</v>
      </c>
      <c r="GY110" s="62">
        <f t="shared" si="83"/>
        <v>279.24060689287484</v>
      </c>
      <c r="GZ110" s="62">
        <f ca="1">AVERAGE(OFFSET($GY$3,0,0,'Données projet'!$E$18+1,1))-AVERAGE(OFFSET($H$3,0,0,'Données projet'!$E$18+1,1))</f>
        <v>273.21861937609918</v>
      </c>
      <c r="HA110" s="62">
        <f t="shared" si="106"/>
        <v>268.83004886965318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>
        <f>EXP(-LN(2)/35)*HG109+(1-EXP(-LN(2)/35))/(LN(2)/35)*HC110*HD110*VLOOKUP('Données projet'!$B$18,Paramètres!$A$1:$I$89,3,0)*0.475*44/12</f>
        <v>67.552552351482504</v>
      </c>
      <c r="HH110" s="23">
        <f>EXP(-LN(2)/25)*HH109+(1-EXP(-LN(2)/25))/(LN(2)/25)*Calculateur!HC110*Calculateur!HE110*VLOOKUP('Données projet'!$B$18,Paramètres!$A$1:$I$89,3,0)*0.475*44/12</f>
        <v>0</v>
      </c>
      <c r="HI110" s="23">
        <f>EXP(-LN(2)/2)*HI109+(1-EXP(-LN(2)/2))/(LN(2)/2)*HC110*HF110*VLOOKUP('Données projet'!$B$18,Paramètres!$A$1:$I$89,3,0)*0.475*44/12</f>
        <v>0</v>
      </c>
      <c r="HJ110" s="24">
        <f t="shared" si="84"/>
        <v>67.552552351482504</v>
      </c>
    </row>
    <row r="111" spans="1:218" s="5" customFormat="1" x14ac:dyDescent="0.4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>
        <f>VLOOKUP(A111,'Données projet'!$A$35:$I$55,2,0)</f>
        <v>264</v>
      </c>
      <c r="L111" s="13">
        <f>VLOOKUP(A111,'Données projet'!$A$35:$I$55,9,0)</f>
        <v>5.7</v>
      </c>
      <c r="M111" s="13">
        <f t="array" ref="M111">INDEX(L:L,MIN(IF(ISNUMBER(L111:L307),ROW(L111:L307),"")))</f>
        <v>5.7</v>
      </c>
      <c r="N111" s="14">
        <f>IF('Données projet'!$A$36&gt;35,N110+M111-V110,IF(A111&lt;'Données projet'!$A$36,$K$205^A111,IF(A111='Données projet'!$A$36,'Données projet'!$B$36,N110+M111-V110)))</f>
        <v>263.99999999999977</v>
      </c>
      <c r="O111" s="14">
        <f>N111*VLOOKUP('Données projet'!$B$9,Paramètres!$A$1:$I$89,3,0)*VLOOKUP('Données projet'!$B$9,Paramètres!$A$1:$I$89,5,0)</f>
        <v>238.8671999999998</v>
      </c>
      <c r="P111" s="14">
        <f t="shared" si="87"/>
        <v>58.195735973104107</v>
      </c>
      <c r="Q111" s="22">
        <f t="shared" si="107"/>
        <v>517.38461348648923</v>
      </c>
      <c r="R111" s="62">
        <f t="shared" si="55"/>
        <v>796.86969767648861</v>
      </c>
      <c r="S111" s="62">
        <f ca="1">AVERAGE(OFFSET($R$3,0,0,'Données projet'!$E$9+1,1))-AVERAGE(OFFSET($H$3,0,0,'Données projet'!$E$9+1,1))</f>
        <v>432.80275651765203</v>
      </c>
      <c r="T111" s="62">
        <f t="shared" si="88"/>
        <v>203.89279893419919</v>
      </c>
      <c r="U111" s="16">
        <f>IF(ISNA(VLOOKUP(A111,'Données projet'!$A$35:$I$55,3,0)),0,VLOOKUP(A111,'Données projet'!$A$35:$I$55,3,0))</f>
        <v>7</v>
      </c>
      <c r="V111" s="16">
        <f>IF(ISNA(VLOOKUP(A111,'Données projet'!$A$35:$I$55,4,0)),0,VLOOKUP(A111,'Données projet'!$A$35:$I$55,4,0))</f>
        <v>39</v>
      </c>
      <c r="W111" s="17">
        <f>IF(ISNA(VLOOKUP(A111,'Données projet'!$A$35:$I$55,5,0)),0%,VLOOKUP(A111,'Données projet'!$A$35:$I$55,5,0)*VLOOKUP('Données projet'!$B$9,Paramètres!$A$1:$I$89,7,0))</f>
        <v>0.215</v>
      </c>
      <c r="X111" s="17">
        <f>IF(ISNA(VLOOKUP(A111,'Données projet'!$A$35:$I$55,6,0)),0%,VLOOKUP(A111,'Données projet'!$A$35:$I$55,6,0)*VLOOKUP('Données projet'!$B$9,Paramètres!$A$1:$I$89,7,0))</f>
        <v>0.17200000000000001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26.268022703257209</v>
      </c>
      <c r="AA111" s="23">
        <f>EXP(-LN(2)/25)*AA110+(1-EXP(-LN(2)/25))/(LN(2)/25)*Calculateur!V111*Calculateur!X111*VLOOKUP('Données projet'!$B$9,Paramètres!$A$1:$I$89,3,0)*0.475*44/12</f>
        <v>18.682650482284252</v>
      </c>
      <c r="AB111" s="23">
        <f>EXP(-LN(2)/2)*AB110+(1-EXP(-LN(2)/2))/(LN(2)/2)*V111*Y111*VLOOKUP('Données projet'!$B$9,Paramètres!$A$1:$I$89,3,0)*0.475*44/12</f>
        <v>0</v>
      </c>
      <c r="AC111" s="24">
        <f t="shared" si="57"/>
        <v>44.950673185541461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54.000000000000341</v>
      </c>
      <c r="AJ111" s="14">
        <f>AI111*VLOOKUP('Données projet'!$B$10,Paramètres!$A$1:$I$89,3,0)*VLOOKUP('Données projet'!$B$10,Paramètres!$A$1:$I$89,5,0)</f>
        <v>23.868000000000151</v>
      </c>
      <c r="AK111" s="14">
        <f t="shared" si="89"/>
        <v>7.6030930962115804</v>
      </c>
      <c r="AL111" s="22">
        <f t="shared" si="58"/>
        <v>54.812153809235433</v>
      </c>
      <c r="AM111" s="62">
        <f t="shared" si="59"/>
        <v>334.29723799923477</v>
      </c>
      <c r="AN111" s="62">
        <f ca="1">AVERAGE(OFFSET($AM$3,0,0,'Données projet'!$E$10+1,1))-AVERAGE(OFFSET($H$3,0,0,'Données projet'!$E$10+1,1))</f>
        <v>413.08876898406481</v>
      </c>
      <c r="AO111" s="62">
        <f t="shared" si="90"/>
        <v>520.31320932826566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106.19475867541922</v>
      </c>
      <c r="AV111" s="23">
        <f>EXP(-LN(2)/25)*AV110+(1-EXP(-LN(2)/25))/(LN(2)/25)*Calculateur!AQ111*Calculateur!AS111*VLOOKUP('Données projet'!$B$10,Paramètres!$A$1:$I$89,3,0)*0.475*44/12</f>
        <v>5.3321708284554985</v>
      </c>
      <c r="AW111" s="23">
        <f>EXP(-LN(2)/2)*AW110+(1-EXP(-LN(2)/2))/(LN(2)/2)*AQ111*AT111*VLOOKUP('Données projet'!$B$10,Paramètres!$A$1:$I$89,3,0)*0.475*44/12</f>
        <v>1.326348010996932E-9</v>
      </c>
      <c r="AX111" s="23">
        <f t="shared" si="60"/>
        <v>111.52692950520107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54.000000000000341</v>
      </c>
      <c r="BE111" s="14">
        <f>BD111*VLOOKUP('Données projet'!$B$11,Paramètres!$A$1:$I$89,3,0)*VLOOKUP('Données projet'!$B$11,Paramètres!$A$1:$I$89,5,0)</f>
        <v>30.186000000000188</v>
      </c>
      <c r="BF111" s="14">
        <f t="shared" si="91"/>
        <v>9.3563888882899153</v>
      </c>
      <c r="BG111" s="22">
        <f t="shared" si="61"/>
        <v>68.869660647105263</v>
      </c>
      <c r="BH111" s="62">
        <f t="shared" si="62"/>
        <v>348.35474483710459</v>
      </c>
      <c r="BI111" s="62">
        <f ca="1">AVERAGE(OFFSET($BH$3,0,0,'Données projet'!$E$11+1,1))-AVERAGE(OFFSET($H$3,0,0,'Données projet'!$E$11+1,1))</f>
        <v>507.66185230065889</v>
      </c>
      <c r="BJ111" s="62">
        <f t="shared" si="92"/>
        <v>640.14375617778342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134.30513597185364</v>
      </c>
      <c r="BQ111" s="23">
        <f>EXP(-LN(2)/25)*BQ110+(1-EXP(-LN(2)/25))/(LN(2)/25)*Calculateur!BL111*Calculateur!BN111*VLOOKUP('Données projet'!$B$11,Paramètres!$A$1:$I$89,3,0)*0.475*44/12</f>
        <v>6.7436278124584312</v>
      </c>
      <c r="BR111" s="23">
        <f>EXP(-LN(2)/2)*BR110+(1-EXP(-LN(2)/2))/(LN(2)/2)*BL111*BO111*VLOOKUP('Données projet'!$B$11,Paramètres!$A$1:$I$89,3,0)*0.475*44/12</f>
        <v>1.6774401315549446E-9</v>
      </c>
      <c r="BS111" s="24">
        <f t="shared" si="63"/>
        <v>141.04876378598954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417.04879970000007</v>
      </c>
      <c r="BZ111" s="14">
        <f>BY111*VLOOKUP('Données projet'!$B$12,Paramètres!$A$1:$I$89,3,0)*VLOOKUP('Données projet'!$B$12,Paramètres!$A$1:$I$89,5,0)</f>
        <v>195.17883825960004</v>
      </c>
      <c r="CA111" s="14">
        <f t="shared" si="93"/>
        <v>48.683122291673484</v>
      </c>
      <c r="CB111" s="22">
        <f t="shared" si="64"/>
        <v>424.72624796013469</v>
      </c>
      <c r="CC111" s="62">
        <f t="shared" si="65"/>
        <v>704.21133215013401</v>
      </c>
      <c r="CD111" s="62">
        <f ca="1">AVERAGE(OFFSET($CC$3,0,0,'Données projet'!$E$12+1,1))-AVERAGE(OFFSET($H$3,0,0,'Données projet'!$E$12+1,1))</f>
        <v>289.21044803824958</v>
      </c>
      <c r="CE111" s="62">
        <f t="shared" si="94"/>
        <v>196.11836398299445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>
        <f>EXP(-LN(2)/35)*CK110+(1-EXP(-LN(2)/35))/(LN(2)/35)*CG111*CH111*VLOOKUP('Données projet'!$B$12,Paramètres!$A$1:$I$89,3,0)*0.475*44/12</f>
        <v>58.781256756394249</v>
      </c>
      <c r="CL111" s="23">
        <f>EXP(-LN(2)/25)*CL110+(1-EXP(-LN(2)/25))/(LN(2)/25)*Calculateur!CG111*Calculateur!CI111*VLOOKUP('Données projet'!$B$12,Paramètres!$A$1:$I$89,3,0)*0.475*44/12</f>
        <v>25.681563103541848</v>
      </c>
      <c r="CM111" s="23">
        <f>EXP(-LN(2)/2)*CM110+(1-EXP(-LN(2)/2))/(LN(2)/2)*CG111*CJ111*VLOOKUP('Données projet'!$B$12,Paramètres!$A$1:$I$89,3,0)*0.475*44/12</f>
        <v>0</v>
      </c>
      <c r="CN111" s="24">
        <f t="shared" si="66"/>
        <v>84.462819859936104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-5.6843418860808015E-14</v>
      </c>
      <c r="CU111" s="18">
        <f>CT111*VLOOKUP('Données projet'!$B$13,Paramètres!$A$1:$I$89,3,0)*VLOOKUP('Données projet'!$B$13,Paramètres!$A$1:$I$89,5,0)</f>
        <v>-5.1431925385259088E-14</v>
      </c>
      <c r="CV111" s="14" t="e">
        <f t="shared" si="95"/>
        <v>#NUM!</v>
      </c>
      <c r="CW111" s="22" t="e">
        <f t="shared" si="67"/>
        <v>#NUM!</v>
      </c>
      <c r="CX111" s="62" t="e">
        <f t="shared" si="68"/>
        <v>#NUM!</v>
      </c>
      <c r="CY111" s="62">
        <f ca="1">AVERAGE(OFFSET($CX$3,0,0,'Données projet'!$E$13+1,1))-AVERAGE(OFFSET($H$3,0,0,'Données projet'!$E$13+1,1))</f>
        <v>376.68007030857598</v>
      </c>
      <c r="CZ111" s="62">
        <f t="shared" si="96"/>
        <v>532.90758914457626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>
        <f>EXP(-LN(2)/35)*DF110+(1-EXP(-LN(2)/35))/(LN(2)/35)*DB111*DC111*VLOOKUP('Données projet'!$B$13,Paramètres!$A$1:$I$89,3,0)*0.475*44/12</f>
        <v>26.885713033570788</v>
      </c>
      <c r="DG111" s="23">
        <f>EXP(-LN(2)/25)*DG110+(1-EXP(-LN(2)/25))/(LN(2)/25)*Calculateur!DB111*Calculateur!DD111*VLOOKUP('Données projet'!$B$13,Paramètres!$A$1:$I$89,3,0)*0.475*44/12</f>
        <v>1.5068362353981077</v>
      </c>
      <c r="DH111" s="23">
        <f>EXP(-LN(2)/2)*DH110+(1-EXP(-LN(2)/2))/(LN(2)/2)*DB111*DE111*VLOOKUP('Données projet'!$B$13,Paramètres!$A$1:$I$89,3,0)*0.475*44/12</f>
        <v>0</v>
      </c>
      <c r="DI111" s="24">
        <f t="shared" si="69"/>
        <v>28.392549268968896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5.6843418860808015E-14</v>
      </c>
      <c r="DP111" s="18">
        <f>DO111*VLOOKUP('Données projet'!$B$14,Paramètres!$A$1:$I$89,3,0)*VLOOKUP('Données projet'!$B$14,Paramètres!$A$1:$I$89,5,0)</f>
        <v>5.4092197387944907E-14</v>
      </c>
      <c r="DQ111" s="14">
        <f t="shared" si="97"/>
        <v>8.7287050538073676E-13</v>
      </c>
      <c r="DR111" s="22">
        <f t="shared" si="70"/>
        <v>1.6144600406554537E-12</v>
      </c>
      <c r="DS111" s="62">
        <f t="shared" si="71"/>
        <v>279.48508419000092</v>
      </c>
      <c r="DT111" s="62">
        <f ca="1">AVERAGE(OFFSET($DS$3,0,0,'Données projet'!$E$14+1,1))-AVERAGE(OFFSET($H$3,0,0,'Données projet'!$E$14+1,1))</f>
        <v>364.63161066507769</v>
      </c>
      <c r="DU111" s="62">
        <f t="shared" si="98"/>
        <v>355.44729904860708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>
        <f>EXP(-LN(2)/35)*EA110+(1-EXP(-LN(2)/35))/(LN(2)/35)*DW111*DX111*VLOOKUP('Données projet'!$B$14,Paramètres!$A$1:$I$89,3,0)*0.475*44/12</f>
        <v>76.224550342912465</v>
      </c>
      <c r="EB111" s="23">
        <f>EXP(-LN(2)/25)*EB110+(1-EXP(-LN(2)/25))/(LN(2)/25)*Calculateur!DW111*Calculateur!DY111*VLOOKUP('Données projet'!$B$14,Paramètres!$A$1:$I$89,3,0)*0.475*44/12</f>
        <v>0</v>
      </c>
      <c r="EC111" s="23">
        <f>EXP(-LN(2)/2)*EC110+(1-EXP(-LN(2)/2))/(LN(2)/2)*DW111*DZ111*VLOOKUP('Données projet'!$B$14,Paramètres!$A$1:$I$89,3,0)*0.475*44/12</f>
        <v>0</v>
      </c>
      <c r="ED111" s="24">
        <f t="shared" si="72"/>
        <v>76.224550342912465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5.6843418860808015E-14</v>
      </c>
      <c r="EK111" s="18">
        <f>EJ111*VLOOKUP('Données projet'!$B$15,Paramètres!$A$1:$I$89,3,0)*VLOOKUP('Données projet'!$B$15,Paramètres!$A$1:$I$89,5,0)</f>
        <v>4.1677594708744434E-14</v>
      </c>
      <c r="EL111" s="14">
        <f t="shared" si="99"/>
        <v>6.9326303456159188E-13</v>
      </c>
      <c r="EM111" s="22">
        <f t="shared" si="73"/>
        <v>1.2800215959791691E-12</v>
      </c>
      <c r="EN111" s="62">
        <f t="shared" si="74"/>
        <v>279.48508419000063</v>
      </c>
      <c r="EO111" s="62">
        <f ca="1">AVERAGE(OFFSET($EN$3,0,0,'Données projet'!$E$15+1,1))-AVERAGE(OFFSET($H$3,0,0,'Données projet'!$E$15+1,1))</f>
        <v>293.59366973965774</v>
      </c>
      <c r="EP111" s="62">
        <f t="shared" si="100"/>
        <v>288.13804536120426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>
        <f>EXP(-LN(2)/35)*EV110+(1-EXP(-LN(2)/35))/(LN(2)/35)*ER111*ES111*VLOOKUP('Données projet'!$B$15,Paramètres!$A$1:$I$89,3,0)*0.475*44/12</f>
        <v>58.730391247817806</v>
      </c>
      <c r="EW111" s="23">
        <f>EXP(-LN(2)/25)*EW110+(1-EXP(-LN(2)/25))/(LN(2)/25)*Calculateur!ER111*Calculateur!ET111*VLOOKUP('Données projet'!$B$15,Paramètres!$A$1:$I$89,3,0)*0.475*44/12</f>
        <v>0</v>
      </c>
      <c r="EX111" s="23">
        <f>EXP(-LN(2)/2)*EX110+(1-EXP(-LN(2)/2))/(LN(2)/2)*ER111*EU111*VLOOKUP('Données projet'!$B$15,Paramètres!$A$1:$I$89,3,0)*0.475*44/12</f>
        <v>0</v>
      </c>
      <c r="EY111" s="24">
        <f t="shared" si="75"/>
        <v>58.730391247817806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5.6843418860808015E-14</v>
      </c>
      <c r="FF111" s="18">
        <f>FE111*VLOOKUP('Données projet'!$B$16,Paramètres!$A$1:$I$89,3,0)*VLOOKUP('Données projet'!$B$16,Paramètres!$A$1:$I$89,5,0)</f>
        <v>5.4978954722173515E-14</v>
      </c>
      <c r="FG111" s="14">
        <f t="shared" si="101"/>
        <v>8.8550225887742724E-13</v>
      </c>
      <c r="FH111" s="22">
        <f t="shared" si="76"/>
        <v>1.6380047803526383E-12</v>
      </c>
      <c r="FI111" s="62">
        <f t="shared" si="77"/>
        <v>279.48508419000098</v>
      </c>
      <c r="FJ111" s="62">
        <f ca="1">AVERAGE(OFFSET($FI$3,0,0,'Données projet'!$E$16+1,1))-AVERAGE(OFFSET($H$3,0,0,'Données projet'!$E$16+1,1))</f>
        <v>369.69145521630799</v>
      </c>
      <c r="FK111" s="62">
        <f t="shared" si="102"/>
        <v>360.24112103688719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>
        <f>EXP(-LN(2)/35)*FQ110+(1-EXP(-LN(2)/35))/(LN(2)/35)*FM111*FN111*VLOOKUP('Données projet'!$B$16,Paramètres!$A$1:$I$89,3,0)*0.475*44/12</f>
        <v>77.474133135419237</v>
      </c>
      <c r="FR111" s="23">
        <f>EXP(-LN(2)/25)*FR110+(1-EXP(-LN(2)/25))/(LN(2)/25)*Calculateur!FM111*Calculateur!FO111*VLOOKUP('Données projet'!$B$16,Paramètres!$A$1:$I$89,3,0)*0.475*44/12</f>
        <v>0</v>
      </c>
      <c r="FS111" s="23">
        <f>EXP(-LN(2)/2)*FS110+(1-EXP(-LN(2)/2))/(LN(2)/2)*FM111*FP111*VLOOKUP('Données projet'!$B$16,Paramètres!$A$1:$I$89,3,0)*0.475*44/12</f>
        <v>0</v>
      </c>
      <c r="FT111" s="24">
        <f t="shared" si="78"/>
        <v>77.474133135419237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5.6843418860808015E-14</v>
      </c>
      <c r="GA111" s="18">
        <f>FZ111*VLOOKUP('Données projet'!$B$17,Paramètres!$A$1:$I$89,3,0)*VLOOKUP('Données projet'!$B$17,Paramètres!$A$1:$I$89,5,0)</f>
        <v>6.1186256061773749E-14</v>
      </c>
      <c r="GB111" s="14">
        <f t="shared" si="103"/>
        <v>9.7328366192051127E-13</v>
      </c>
      <c r="GC111" s="22">
        <f t="shared" si="79"/>
        <v>1.8017017738191463E-12</v>
      </c>
      <c r="GD111" s="62">
        <f t="shared" si="80"/>
        <v>279.48508419000115</v>
      </c>
      <c r="GE111" s="62">
        <f ca="1">AVERAGE(OFFSET($GD$3,0,0,'Données projet'!$E$17+1,1))-AVERAGE(OFFSET($H$3,0,0,'Données projet'!$E$17+1,1))</f>
        <v>405.06394904053946</v>
      </c>
      <c r="GF111" s="62">
        <f t="shared" si="104"/>
        <v>393.75247087518198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>
        <f>EXP(-LN(2)/35)*GL110+(1-EXP(-LN(2)/35))/(LN(2)/35)*GH111*GI111*VLOOKUP('Données projet'!$B$17,Paramètres!$A$1:$I$89,3,0)*0.475*44/12</f>
        <v>86.221212682966566</v>
      </c>
      <c r="GM111" s="23">
        <f>EXP(-LN(2)/25)*GM110+(1-EXP(-LN(2)/25))/(LN(2)/25)*Calculateur!GH111*Calculateur!GJ111*VLOOKUP('Données projet'!$B$17,Paramètres!$A$1:$I$89,3,0)*0.475*44/12</f>
        <v>0</v>
      </c>
      <c r="GN111" s="23">
        <f>EXP(-LN(2)/2)*GN110+(1-EXP(-LN(2)/2))/(LN(2)/2)*GH111*GK111*VLOOKUP('Données projet'!$B$17,Paramètres!$A$1:$I$89,3,0)*0.475*44/12</f>
        <v>0</v>
      </c>
      <c r="GO111" s="23">
        <f t="shared" si="81"/>
        <v>86.221212682966566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5.6843418860808015E-14</v>
      </c>
      <c r="GV111" s="18">
        <f>GU111*VLOOKUP('Données projet'!$B$18,Paramètres!$A$1:$I$89,3,0)*VLOOKUP('Données projet'!$B$18,Paramètres!$A$1:$I$89,5,0)</f>
        <v>3.813056537183002E-14</v>
      </c>
      <c r="GW111" s="14">
        <f t="shared" si="105"/>
        <v>6.4086286045526829E-13</v>
      </c>
      <c r="GX111" s="22">
        <f t="shared" si="82"/>
        <v>1.1825802166488628E-12</v>
      </c>
      <c r="GY111" s="62">
        <f t="shared" si="83"/>
        <v>279.48508419000052</v>
      </c>
      <c r="GZ111" s="62">
        <f ca="1">AVERAGE(OFFSET($GY$3,0,0,'Données projet'!$E$18+1,1))-AVERAGE(OFFSET($H$3,0,0,'Données projet'!$E$18+1,1))</f>
        <v>273.21861937609918</v>
      </c>
      <c r="HA111" s="62">
        <f t="shared" si="106"/>
        <v>268.83004886965318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>
        <f>EXP(-LN(2)/35)*HG110+(1-EXP(-LN(2)/35))/(LN(2)/35)*HC111*HD111*VLOOKUP('Données projet'!$B$18,Paramètres!$A$1:$I$89,3,0)*0.475*44/12</f>
        <v>66.227888002858407</v>
      </c>
      <c r="HH111" s="23">
        <f>EXP(-LN(2)/25)*HH110+(1-EXP(-LN(2)/25))/(LN(2)/25)*Calculateur!HC111*Calculateur!HE111*VLOOKUP('Données projet'!$B$18,Paramètres!$A$1:$I$89,3,0)*0.475*44/12</f>
        <v>0</v>
      </c>
      <c r="HI111" s="23">
        <f>EXP(-LN(2)/2)*HI110+(1-EXP(-LN(2)/2))/(LN(2)/2)*HC111*HF111*VLOOKUP('Données projet'!$B$18,Paramètres!$A$1:$I$89,3,0)*0.475*44/12</f>
        <v>0</v>
      </c>
      <c r="HJ111" s="24">
        <f t="shared" si="84"/>
        <v>66.227888002858407</v>
      </c>
    </row>
    <row r="112" spans="1:218" s="5" customFormat="1" x14ac:dyDescent="0.4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5.6</v>
      </c>
      <c r="N112" s="14">
        <f>IF('Données projet'!$A$36&gt;35,N111+M112-V111,IF(A112&lt;'Données projet'!$A$36,$K$205^A112,IF(A112='Données projet'!$A$36,'Données projet'!$B$36,N111+M112-V111)))</f>
        <v>230.5999999999998</v>
      </c>
      <c r="O112" s="14">
        <f>N112*VLOOKUP('Données projet'!$B$9,Paramètres!$A$1:$I$89,3,0)*VLOOKUP('Données projet'!$B$9,Paramètres!$A$1:$I$89,5,0)</f>
        <v>208.64687999999981</v>
      </c>
      <c r="P112" s="14">
        <f t="shared" si="87"/>
        <v>51.639783781236048</v>
      </c>
      <c r="Q112" s="22">
        <f t="shared" si="107"/>
        <v>453.33260608565246</v>
      </c>
      <c r="R112" s="62">
        <f t="shared" si="55"/>
        <v>733.05792643824179</v>
      </c>
      <c r="S112" s="62">
        <f ca="1">AVERAGE(OFFSET($R$3,0,0,'Données projet'!$E$9+1,1))-AVERAGE(OFFSET($H$3,0,0,'Données projet'!$E$9+1,1))</f>
        <v>432.80275651765203</v>
      </c>
      <c r="T112" s="62">
        <f t="shared" si="88"/>
        <v>203.89279893419919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25.752922799958153</v>
      </c>
      <c r="AA112" s="23">
        <f>EXP(-LN(2)/25)*AA111+(1-EXP(-LN(2)/25))/(LN(2)/25)*Calculateur!V112*Calculateur!X112*VLOOKUP('Données projet'!$B$9,Paramètres!$A$1:$I$89,3,0)*0.475*44/12</f>
        <v>18.171772422368299</v>
      </c>
      <c r="AB112" s="23">
        <f>EXP(-LN(2)/2)*AB111+(1-EXP(-LN(2)/2))/(LN(2)/2)*V112*Y112*VLOOKUP('Données projet'!$B$9,Paramètres!$A$1:$I$89,3,0)*0.475*44/12</f>
        <v>0</v>
      </c>
      <c r="AC112" s="24">
        <f t="shared" si="57"/>
        <v>43.924695222326449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54.000000000000341</v>
      </c>
      <c r="AJ112" s="14">
        <f>AI112*VLOOKUP('Données projet'!$B$10,Paramètres!$A$1:$I$89,3,0)*VLOOKUP('Données projet'!$B$10,Paramètres!$A$1:$I$89,5,0)</f>
        <v>23.868000000000151</v>
      </c>
      <c r="AK112" s="14">
        <f t="shared" si="89"/>
        <v>7.6030930962115804</v>
      </c>
      <c r="AL112" s="22">
        <f t="shared" si="58"/>
        <v>54.812153809235433</v>
      </c>
      <c r="AM112" s="62">
        <f t="shared" si="59"/>
        <v>334.53747416182472</v>
      </c>
      <c r="AN112" s="62">
        <f ca="1">AVERAGE(OFFSET($AM$3,0,0,'Données projet'!$E$10+1,1))-AVERAGE(OFFSET($H$3,0,0,'Données projet'!$E$10+1,1))</f>
        <v>413.08876898406481</v>
      </c>
      <c r="AO112" s="62">
        <f t="shared" si="90"/>
        <v>520.31320932826566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104.1123442302013</v>
      </c>
      <c r="AV112" s="23">
        <f>EXP(-LN(2)/25)*AV111+(1-EXP(-LN(2)/25))/(LN(2)/25)*Calculateur!AQ112*Calculateur!AS112*VLOOKUP('Données projet'!$B$10,Paramètres!$A$1:$I$89,3,0)*0.475*44/12</f>
        <v>5.1863623367447058</v>
      </c>
      <c r="AW112" s="23">
        <f>EXP(-LN(2)/2)*AW111+(1-EXP(-LN(2)/2))/(LN(2)/2)*AQ112*AT112*VLOOKUP('Données projet'!$B$10,Paramètres!$A$1:$I$89,3,0)*0.475*44/12</f>
        <v>9.3786967278922011E-10</v>
      </c>
      <c r="AX112" s="23">
        <f t="shared" si="60"/>
        <v>109.29870656788388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54.000000000000341</v>
      </c>
      <c r="BE112" s="14">
        <f>BD112*VLOOKUP('Données projet'!$B$11,Paramètres!$A$1:$I$89,3,0)*VLOOKUP('Données projet'!$B$11,Paramètres!$A$1:$I$89,5,0)</f>
        <v>30.186000000000188</v>
      </c>
      <c r="BF112" s="14">
        <f t="shared" si="91"/>
        <v>9.3563888882899153</v>
      </c>
      <c r="BG112" s="22">
        <f t="shared" si="61"/>
        <v>68.869660647105263</v>
      </c>
      <c r="BH112" s="62">
        <f t="shared" si="62"/>
        <v>348.59498099969454</v>
      </c>
      <c r="BI112" s="62">
        <f ca="1">AVERAGE(OFFSET($BH$3,0,0,'Données projet'!$E$11+1,1))-AVERAGE(OFFSET($H$3,0,0,'Données projet'!$E$11+1,1))</f>
        <v>507.66185230065889</v>
      </c>
      <c r="BJ112" s="62">
        <f t="shared" si="92"/>
        <v>640.14375617778342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131.6714941734898</v>
      </c>
      <c r="BQ112" s="23">
        <f>EXP(-LN(2)/25)*BQ111+(1-EXP(-LN(2)/25))/(LN(2)/25)*Calculateur!BL112*Calculateur!BN112*VLOOKUP('Données projet'!$B$11,Paramètres!$A$1:$I$89,3,0)*0.475*44/12</f>
        <v>6.5592229552947812</v>
      </c>
      <c r="BR112" s="23">
        <f>EXP(-LN(2)/2)*BR111+(1-EXP(-LN(2)/2))/(LN(2)/2)*BL112*BO112*VLOOKUP('Données projet'!$B$11,Paramètres!$A$1:$I$89,3,0)*0.475*44/12</f>
        <v>1.1861292920569557E-9</v>
      </c>
      <c r="BS112" s="24">
        <f t="shared" si="63"/>
        <v>138.23071712997071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417.04879970000007</v>
      </c>
      <c r="BZ112" s="14">
        <f>BY112*VLOOKUP('Données projet'!$B$12,Paramètres!$A$1:$I$89,3,0)*VLOOKUP('Données projet'!$B$12,Paramètres!$A$1:$I$89,5,0)</f>
        <v>195.17883825960004</v>
      </c>
      <c r="CA112" s="14">
        <f t="shared" si="93"/>
        <v>48.683122291673484</v>
      </c>
      <c r="CB112" s="22">
        <f t="shared" si="64"/>
        <v>424.72624796013469</v>
      </c>
      <c r="CC112" s="62">
        <f t="shared" si="65"/>
        <v>704.45156831272402</v>
      </c>
      <c r="CD112" s="62">
        <f ca="1">AVERAGE(OFFSET($CC$3,0,0,'Données projet'!$E$12+1,1))-AVERAGE(OFFSET($H$3,0,0,'Données projet'!$E$12+1,1))</f>
        <v>289.21044803824958</v>
      </c>
      <c r="CE112" s="62">
        <f t="shared" si="94"/>
        <v>196.11836398299445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>
        <f>EXP(-LN(2)/35)*CK111+(1-EXP(-LN(2)/35))/(LN(2)/35)*CG112*CH112*VLOOKUP('Données projet'!$B$12,Paramètres!$A$1:$I$89,3,0)*0.475*44/12</f>
        <v>57.628592164427786</v>
      </c>
      <c r="CL112" s="23">
        <f>EXP(-LN(2)/25)*CL111+(1-EXP(-LN(2)/25))/(LN(2)/25)*Calculateur!CG112*Calculateur!CI112*VLOOKUP('Données projet'!$B$12,Paramètres!$A$1:$I$89,3,0)*0.475*44/12</f>
        <v>24.97929940994079</v>
      </c>
      <c r="CM112" s="23">
        <f>EXP(-LN(2)/2)*CM111+(1-EXP(-LN(2)/2))/(LN(2)/2)*CG112*CJ112*VLOOKUP('Données projet'!$B$12,Paramètres!$A$1:$I$89,3,0)*0.475*44/12</f>
        <v>0</v>
      </c>
      <c r="CN112" s="24">
        <f t="shared" si="66"/>
        <v>82.60789157436858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-5.6843418860808015E-14</v>
      </c>
      <c r="CU112" s="18">
        <f>CT112*VLOOKUP('Données projet'!$B$13,Paramètres!$A$1:$I$89,3,0)*VLOOKUP('Données projet'!$B$13,Paramètres!$A$1:$I$89,5,0)</f>
        <v>-5.1431925385259088E-14</v>
      </c>
      <c r="CV112" s="14" t="e">
        <f t="shared" si="95"/>
        <v>#NUM!</v>
      </c>
      <c r="CW112" s="22" t="e">
        <f t="shared" si="67"/>
        <v>#NUM!</v>
      </c>
      <c r="CX112" s="62" t="e">
        <f t="shared" si="68"/>
        <v>#NUM!</v>
      </c>
      <c r="CY112" s="62">
        <f ca="1">AVERAGE(OFFSET($CX$3,0,0,'Données projet'!$E$13+1,1))-AVERAGE(OFFSET($H$3,0,0,'Données projet'!$E$13+1,1))</f>
        <v>376.68007030857598</v>
      </c>
      <c r="CZ112" s="62">
        <f t="shared" si="96"/>
        <v>532.90758914457626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>
        <f>EXP(-LN(2)/35)*DF111+(1-EXP(-LN(2)/35))/(LN(2)/35)*DB112*DC112*VLOOKUP('Données projet'!$B$13,Paramètres!$A$1:$I$89,3,0)*0.475*44/12</f>
        <v>26.358500599648181</v>
      </c>
      <c r="DG112" s="23">
        <f>EXP(-LN(2)/25)*DG111+(1-EXP(-LN(2)/25))/(LN(2)/25)*Calculateur!DB112*Calculateur!DD112*VLOOKUP('Données projet'!$B$13,Paramètres!$A$1:$I$89,3,0)*0.475*44/12</f>
        <v>1.4656317193000727</v>
      </c>
      <c r="DH112" s="23">
        <f>EXP(-LN(2)/2)*DH111+(1-EXP(-LN(2)/2))/(LN(2)/2)*DB112*DE112*VLOOKUP('Données projet'!$B$13,Paramètres!$A$1:$I$89,3,0)*0.475*44/12</f>
        <v>0</v>
      </c>
      <c r="DI112" s="24">
        <f t="shared" si="69"/>
        <v>27.824132318948255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5.6843418860808015E-14</v>
      </c>
      <c r="DP112" s="18">
        <f>DO112*VLOOKUP('Données projet'!$B$14,Paramètres!$A$1:$I$89,3,0)*VLOOKUP('Données projet'!$B$14,Paramètres!$A$1:$I$89,5,0)</f>
        <v>5.4092197387944907E-14</v>
      </c>
      <c r="DQ112" s="14">
        <f t="shared" si="97"/>
        <v>8.7287050538073676E-13</v>
      </c>
      <c r="DR112" s="22">
        <f t="shared" si="70"/>
        <v>1.6144600406554537E-12</v>
      </c>
      <c r="DS112" s="62">
        <f t="shared" si="71"/>
        <v>279.72532035259087</v>
      </c>
      <c r="DT112" s="62">
        <f ca="1">AVERAGE(OFFSET($DS$3,0,0,'Données projet'!$E$14+1,1))-AVERAGE(OFFSET($H$3,0,0,'Données projet'!$E$14+1,1))</f>
        <v>364.63161066507769</v>
      </c>
      <c r="DU112" s="62">
        <f t="shared" si="98"/>
        <v>355.44729904860708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>
        <f>EXP(-LN(2)/35)*EA111+(1-EXP(-LN(2)/35))/(LN(2)/35)*DW112*DX112*VLOOKUP('Données projet'!$B$14,Paramètres!$A$1:$I$89,3,0)*0.475*44/12</f>
        <v>74.729833403072917</v>
      </c>
      <c r="EB112" s="23">
        <f>EXP(-LN(2)/25)*EB111+(1-EXP(-LN(2)/25))/(LN(2)/25)*Calculateur!DW112*Calculateur!DY112*VLOOKUP('Données projet'!$B$14,Paramètres!$A$1:$I$89,3,0)*0.475*44/12</f>
        <v>0</v>
      </c>
      <c r="EC112" s="23">
        <f>EXP(-LN(2)/2)*EC111+(1-EXP(-LN(2)/2))/(LN(2)/2)*DW112*DZ112*VLOOKUP('Données projet'!$B$14,Paramètres!$A$1:$I$89,3,0)*0.475*44/12</f>
        <v>0</v>
      </c>
      <c r="ED112" s="24">
        <f t="shared" si="72"/>
        <v>74.729833403072917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5.6843418860808015E-14</v>
      </c>
      <c r="EK112" s="18">
        <f>EJ112*VLOOKUP('Données projet'!$B$15,Paramètres!$A$1:$I$89,3,0)*VLOOKUP('Données projet'!$B$15,Paramètres!$A$1:$I$89,5,0)</f>
        <v>4.1677594708744434E-14</v>
      </c>
      <c r="EL112" s="14">
        <f t="shared" si="99"/>
        <v>6.9326303456159188E-13</v>
      </c>
      <c r="EM112" s="22">
        <f t="shared" si="73"/>
        <v>1.2800215959791691E-12</v>
      </c>
      <c r="EN112" s="62">
        <f t="shared" si="74"/>
        <v>279.72532035259059</v>
      </c>
      <c r="EO112" s="62">
        <f ca="1">AVERAGE(OFFSET($EN$3,0,0,'Données projet'!$E$15+1,1))-AVERAGE(OFFSET($H$3,0,0,'Données projet'!$E$15+1,1))</f>
        <v>293.59366973965774</v>
      </c>
      <c r="EP112" s="62">
        <f t="shared" si="100"/>
        <v>288.13804536120426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>
        <f>EXP(-LN(2)/35)*EV111+(1-EXP(-LN(2)/35))/(LN(2)/35)*ER112*ES112*VLOOKUP('Données projet'!$B$15,Paramètres!$A$1:$I$89,3,0)*0.475*44/12</f>
        <v>57.57872409744963</v>
      </c>
      <c r="EW112" s="23">
        <f>EXP(-LN(2)/25)*EW111+(1-EXP(-LN(2)/25))/(LN(2)/25)*Calculateur!ER112*Calculateur!ET112*VLOOKUP('Données projet'!$B$15,Paramètres!$A$1:$I$89,3,0)*0.475*44/12</f>
        <v>0</v>
      </c>
      <c r="EX112" s="23">
        <f>EXP(-LN(2)/2)*EX111+(1-EXP(-LN(2)/2))/(LN(2)/2)*ER112*EU112*VLOOKUP('Données projet'!$B$15,Paramètres!$A$1:$I$89,3,0)*0.475*44/12</f>
        <v>0</v>
      </c>
      <c r="EY112" s="24">
        <f t="shared" si="75"/>
        <v>57.57872409744963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5.6843418860808015E-14</v>
      </c>
      <c r="FF112" s="18">
        <f>FE112*VLOOKUP('Données projet'!$B$16,Paramètres!$A$1:$I$89,3,0)*VLOOKUP('Données projet'!$B$16,Paramètres!$A$1:$I$89,5,0)</f>
        <v>5.4978954722173515E-14</v>
      </c>
      <c r="FG112" s="14">
        <f t="shared" si="101"/>
        <v>8.8550225887742724E-13</v>
      </c>
      <c r="FH112" s="22">
        <f t="shared" si="76"/>
        <v>1.6380047803526383E-12</v>
      </c>
      <c r="FI112" s="62">
        <f t="shared" si="77"/>
        <v>279.72532035259093</v>
      </c>
      <c r="FJ112" s="62">
        <f ca="1">AVERAGE(OFFSET($FI$3,0,0,'Données projet'!$E$16+1,1))-AVERAGE(OFFSET($H$3,0,0,'Données projet'!$E$16+1,1))</f>
        <v>369.69145521630799</v>
      </c>
      <c r="FK112" s="62">
        <f t="shared" si="102"/>
        <v>360.24112103688719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>
        <f>EXP(-LN(2)/35)*FQ111+(1-EXP(-LN(2)/35))/(LN(2)/35)*FM112*FN112*VLOOKUP('Données projet'!$B$16,Paramètres!$A$1:$I$89,3,0)*0.475*44/12</f>
        <v>75.954912639188876</v>
      </c>
      <c r="FR112" s="23">
        <f>EXP(-LN(2)/25)*FR111+(1-EXP(-LN(2)/25))/(LN(2)/25)*Calculateur!FM112*Calculateur!FO112*VLOOKUP('Données projet'!$B$16,Paramètres!$A$1:$I$89,3,0)*0.475*44/12</f>
        <v>0</v>
      </c>
      <c r="FS112" s="23">
        <f>EXP(-LN(2)/2)*FS111+(1-EXP(-LN(2)/2))/(LN(2)/2)*FM112*FP112*VLOOKUP('Données projet'!$B$16,Paramètres!$A$1:$I$89,3,0)*0.475*44/12</f>
        <v>0</v>
      </c>
      <c r="FT112" s="24">
        <f t="shared" si="78"/>
        <v>75.954912639188876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5.6843418860808015E-14</v>
      </c>
      <c r="GA112" s="18">
        <f>FZ112*VLOOKUP('Données projet'!$B$17,Paramètres!$A$1:$I$89,3,0)*VLOOKUP('Données projet'!$B$17,Paramètres!$A$1:$I$89,5,0)</f>
        <v>6.1186256061773749E-14</v>
      </c>
      <c r="GB112" s="14">
        <f t="shared" si="103"/>
        <v>9.7328366192051127E-13</v>
      </c>
      <c r="GC112" s="22">
        <f t="shared" si="79"/>
        <v>1.8017017738191463E-12</v>
      </c>
      <c r="GD112" s="62">
        <f t="shared" si="80"/>
        <v>279.7253203525911</v>
      </c>
      <c r="GE112" s="62">
        <f ca="1">AVERAGE(OFFSET($GD$3,0,0,'Données projet'!$E$17+1,1))-AVERAGE(OFFSET($H$3,0,0,'Données projet'!$E$17+1,1))</f>
        <v>405.06394904053946</v>
      </c>
      <c r="GF112" s="62">
        <f t="shared" si="104"/>
        <v>393.75247087518198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>
        <f>EXP(-LN(2)/35)*GL111+(1-EXP(-LN(2)/35))/(LN(2)/35)*GH112*GI112*VLOOKUP('Données projet'!$B$17,Paramètres!$A$1:$I$89,3,0)*0.475*44/12</f>
        <v>84.530467292000523</v>
      </c>
      <c r="GM112" s="23">
        <f>EXP(-LN(2)/25)*GM111+(1-EXP(-LN(2)/25))/(LN(2)/25)*Calculateur!GH112*Calculateur!GJ112*VLOOKUP('Données projet'!$B$17,Paramètres!$A$1:$I$89,3,0)*0.475*44/12</f>
        <v>0</v>
      </c>
      <c r="GN112" s="23">
        <f>EXP(-LN(2)/2)*GN111+(1-EXP(-LN(2)/2))/(LN(2)/2)*GH112*GK112*VLOOKUP('Données projet'!$B$17,Paramètres!$A$1:$I$89,3,0)*0.475*44/12</f>
        <v>0</v>
      </c>
      <c r="GO112" s="23">
        <f t="shared" si="81"/>
        <v>84.530467292000523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5.6843418860808015E-14</v>
      </c>
      <c r="GV112" s="18">
        <f>GU112*VLOOKUP('Données projet'!$B$18,Paramètres!$A$1:$I$89,3,0)*VLOOKUP('Données projet'!$B$18,Paramètres!$A$1:$I$89,5,0)</f>
        <v>3.813056537183002E-14</v>
      </c>
      <c r="GW112" s="14">
        <f t="shared" si="105"/>
        <v>6.4086286045526829E-13</v>
      </c>
      <c r="GX112" s="22">
        <f t="shared" si="82"/>
        <v>1.1825802166488628E-12</v>
      </c>
      <c r="GY112" s="62">
        <f t="shared" si="83"/>
        <v>279.72532035259047</v>
      </c>
      <c r="GZ112" s="62">
        <f ca="1">AVERAGE(OFFSET($GY$3,0,0,'Données projet'!$E$18+1,1))-AVERAGE(OFFSET($H$3,0,0,'Données projet'!$E$18+1,1))</f>
        <v>273.21861937609918</v>
      </c>
      <c r="HA112" s="62">
        <f t="shared" si="106"/>
        <v>268.83004886965318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>
        <f>EXP(-LN(2)/35)*HG111+(1-EXP(-LN(2)/35))/(LN(2)/35)*HC112*HD112*VLOOKUP('Données projet'!$B$18,Paramètres!$A$1:$I$89,3,0)*0.475*44/12</f>
        <v>64.929199514145353</v>
      </c>
      <c r="HH112" s="23">
        <f>EXP(-LN(2)/25)*HH111+(1-EXP(-LN(2)/25))/(LN(2)/25)*Calculateur!HC112*Calculateur!HE112*VLOOKUP('Données projet'!$B$18,Paramètres!$A$1:$I$89,3,0)*0.475*44/12</f>
        <v>0</v>
      </c>
      <c r="HI112" s="23">
        <f>EXP(-LN(2)/2)*HI111+(1-EXP(-LN(2)/2))/(LN(2)/2)*HC112*HF112*VLOOKUP('Données projet'!$B$18,Paramètres!$A$1:$I$89,3,0)*0.475*44/12</f>
        <v>0</v>
      </c>
      <c r="HJ112" s="24">
        <f t="shared" si="84"/>
        <v>64.929199514145353</v>
      </c>
    </row>
    <row r="113" spans="1:218" s="5" customFormat="1" x14ac:dyDescent="0.4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5.6</v>
      </c>
      <c r="N113" s="14">
        <f>IF('Données projet'!$A$36&gt;35,N112+M113-V112,IF(A113&lt;'Données projet'!$A$36,$K$205^A113,IF(A113='Données projet'!$A$36,'Données projet'!$B$36,N112+M113-V112)))</f>
        <v>236.19999999999979</v>
      </c>
      <c r="O113" s="14">
        <f>N113*VLOOKUP('Données projet'!$B$9,Paramètres!$A$1:$I$89,3,0)*VLOOKUP('Données projet'!$B$9,Paramètres!$A$1:$I$89,5,0)</f>
        <v>213.71375999999981</v>
      </c>
      <c r="P113" s="14">
        <f t="shared" si="87"/>
        <v>52.746305859880394</v>
      </c>
      <c r="Q113" s="22">
        <f t="shared" si="107"/>
        <v>464.08461470595802</v>
      </c>
      <c r="R113" s="62">
        <f t="shared" si="55"/>
        <v>744.04600366080388</v>
      </c>
      <c r="S113" s="62">
        <f ca="1">AVERAGE(OFFSET($R$3,0,0,'Données projet'!$E$9+1,1))-AVERAGE(OFFSET($H$3,0,0,'Données projet'!$E$9+1,1))</f>
        <v>432.80275651765203</v>
      </c>
      <c r="T113" s="62">
        <f t="shared" si="88"/>
        <v>203.89279893419919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25.247923691582873</v>
      </c>
      <c r="AA113" s="23">
        <f>EXP(-LN(2)/25)*AA112+(1-EXP(-LN(2)/25))/(LN(2)/25)*Calculateur!V113*Calculateur!X113*VLOOKUP('Données projet'!$B$9,Paramètres!$A$1:$I$89,3,0)*0.475*44/12</f>
        <v>17.67486434986666</v>
      </c>
      <c r="AB113" s="23">
        <f>EXP(-LN(2)/2)*AB112+(1-EXP(-LN(2)/2))/(LN(2)/2)*V113*Y113*VLOOKUP('Données projet'!$B$9,Paramètres!$A$1:$I$89,3,0)*0.475*44/12</f>
        <v>0</v>
      </c>
      <c r="AC113" s="24">
        <f t="shared" si="57"/>
        <v>42.922788041449536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54.000000000000341</v>
      </c>
      <c r="AJ113" s="14">
        <f>AI113*VLOOKUP('Données projet'!$B$10,Paramètres!$A$1:$I$89,3,0)*VLOOKUP('Données projet'!$B$10,Paramètres!$A$1:$I$89,5,0)</f>
        <v>23.868000000000151</v>
      </c>
      <c r="AK113" s="14">
        <f t="shared" si="89"/>
        <v>7.6030930962115804</v>
      </c>
      <c r="AL113" s="22">
        <f t="shared" si="58"/>
        <v>54.812153809235433</v>
      </c>
      <c r="AM113" s="62">
        <f t="shared" si="59"/>
        <v>334.7735427640813</v>
      </c>
      <c r="AN113" s="62">
        <f ca="1">AVERAGE(OFFSET($AM$3,0,0,'Données projet'!$E$10+1,1))-AVERAGE(OFFSET($H$3,0,0,'Données projet'!$E$10+1,1))</f>
        <v>413.08876898406481</v>
      </c>
      <c r="AO113" s="62">
        <f t="shared" si="90"/>
        <v>520.31320932826566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102.07076466210671</v>
      </c>
      <c r="AV113" s="23">
        <f>EXP(-LN(2)/25)*AV112+(1-EXP(-LN(2)/25))/(LN(2)/25)*Calculateur!AQ113*Calculateur!AS113*VLOOKUP('Données projet'!$B$10,Paramètres!$A$1:$I$89,3,0)*0.475*44/12</f>
        <v>5.0445409859074806</v>
      </c>
      <c r="AW113" s="23">
        <f>EXP(-LN(2)/2)*AW112+(1-EXP(-LN(2)/2))/(LN(2)/2)*AQ113*AT113*VLOOKUP('Données projet'!$B$10,Paramètres!$A$1:$I$89,3,0)*0.475*44/12</f>
        <v>6.6317400549846602E-10</v>
      </c>
      <c r="AX113" s="23">
        <f t="shared" si="60"/>
        <v>107.11530564867736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54.000000000000341</v>
      </c>
      <c r="BE113" s="14">
        <f>BD113*VLOOKUP('Données projet'!$B$11,Paramètres!$A$1:$I$89,3,0)*VLOOKUP('Données projet'!$B$11,Paramètres!$A$1:$I$89,5,0)</f>
        <v>30.186000000000188</v>
      </c>
      <c r="BF113" s="14">
        <f t="shared" si="91"/>
        <v>9.3563888882899153</v>
      </c>
      <c r="BG113" s="22">
        <f t="shared" si="61"/>
        <v>68.869660647105263</v>
      </c>
      <c r="BH113" s="62">
        <f t="shared" si="62"/>
        <v>348.83104960195112</v>
      </c>
      <c r="BI113" s="62">
        <f ca="1">AVERAGE(OFFSET($BH$3,0,0,'Données projet'!$E$11+1,1))-AVERAGE(OFFSET($H$3,0,0,'Données projet'!$E$11+1,1))</f>
        <v>507.66185230065889</v>
      </c>
      <c r="BJ113" s="62">
        <f t="shared" si="92"/>
        <v>640.14375617778342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129.08949648442899</v>
      </c>
      <c r="BQ113" s="23">
        <f>EXP(-LN(2)/25)*BQ112+(1-EXP(-LN(2)/25))/(LN(2)/25)*Calculateur!BL113*Calculateur!BN113*VLOOKUP('Données projet'!$B$11,Paramètres!$A$1:$I$89,3,0)*0.475*44/12</f>
        <v>6.3798606586477016</v>
      </c>
      <c r="BR113" s="23">
        <f>EXP(-LN(2)/2)*BR112+(1-EXP(-LN(2)/2))/(LN(2)/2)*BL113*BO113*VLOOKUP('Données projet'!$B$11,Paramètres!$A$1:$I$89,3,0)*0.475*44/12</f>
        <v>8.3872006577747228E-10</v>
      </c>
      <c r="BS113" s="24">
        <f t="shared" si="63"/>
        <v>135.46935714391543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417.04879970000007</v>
      </c>
      <c r="BZ113" s="14">
        <f>BY113*VLOOKUP('Données projet'!$B$12,Paramètres!$A$1:$I$89,3,0)*VLOOKUP('Données projet'!$B$12,Paramètres!$A$1:$I$89,5,0)</f>
        <v>195.17883825960004</v>
      </c>
      <c r="CA113" s="14">
        <f t="shared" si="93"/>
        <v>48.683122291673484</v>
      </c>
      <c r="CB113" s="22">
        <f t="shared" si="64"/>
        <v>424.72624796013469</v>
      </c>
      <c r="CC113" s="62">
        <f t="shared" si="65"/>
        <v>704.68763691498054</v>
      </c>
      <c r="CD113" s="62">
        <f ca="1">AVERAGE(OFFSET($CC$3,0,0,'Données projet'!$E$12+1,1))-AVERAGE(OFFSET($H$3,0,0,'Données projet'!$E$12+1,1))</f>
        <v>289.21044803824958</v>
      </c>
      <c r="CE113" s="62">
        <f t="shared" si="94"/>
        <v>196.11836398299445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>
        <f>EXP(-LN(2)/35)*CK112+(1-EXP(-LN(2)/35))/(LN(2)/35)*CG113*CH113*VLOOKUP('Données projet'!$B$12,Paramètres!$A$1:$I$89,3,0)*0.475*44/12</f>
        <v>56.498530622053806</v>
      </c>
      <c r="CL113" s="23">
        <f>EXP(-LN(2)/25)*CL112+(1-EXP(-LN(2)/25))/(LN(2)/25)*Calculateur!CG113*Calculateur!CI113*VLOOKUP('Données projet'!$B$12,Paramètres!$A$1:$I$89,3,0)*0.475*44/12</f>
        <v>24.296239153971694</v>
      </c>
      <c r="CM113" s="23">
        <f>EXP(-LN(2)/2)*CM112+(1-EXP(-LN(2)/2))/(LN(2)/2)*CG113*CJ113*VLOOKUP('Données projet'!$B$12,Paramètres!$A$1:$I$89,3,0)*0.475*44/12</f>
        <v>0</v>
      </c>
      <c r="CN113" s="24">
        <f t="shared" si="66"/>
        <v>80.794769776025504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-5.6843418860808015E-14</v>
      </c>
      <c r="CU113" s="18">
        <f>CT113*VLOOKUP('Données projet'!$B$13,Paramètres!$A$1:$I$89,3,0)*VLOOKUP('Données projet'!$B$13,Paramètres!$A$1:$I$89,5,0)</f>
        <v>-5.1431925385259088E-14</v>
      </c>
      <c r="CV113" s="14" t="e">
        <f t="shared" si="95"/>
        <v>#NUM!</v>
      </c>
      <c r="CW113" s="22" t="e">
        <f t="shared" si="67"/>
        <v>#NUM!</v>
      </c>
      <c r="CX113" s="62" t="e">
        <f t="shared" si="68"/>
        <v>#NUM!</v>
      </c>
      <c r="CY113" s="62">
        <f ca="1">AVERAGE(OFFSET($CX$3,0,0,'Données projet'!$E$13+1,1))-AVERAGE(OFFSET($H$3,0,0,'Données projet'!$E$13+1,1))</f>
        <v>376.68007030857598</v>
      </c>
      <c r="CZ113" s="62">
        <f t="shared" si="96"/>
        <v>532.90758914457626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>
        <f>EXP(-LN(2)/35)*DF112+(1-EXP(-LN(2)/35))/(LN(2)/35)*DB113*DC113*VLOOKUP('Données projet'!$B$13,Paramètres!$A$1:$I$89,3,0)*0.475*44/12</f>
        <v>25.841626479986964</v>
      </c>
      <c r="DG113" s="23">
        <f>EXP(-LN(2)/25)*DG112+(1-EXP(-LN(2)/25))/(LN(2)/25)*Calculateur!DB113*Calculateur!DD113*VLOOKUP('Données projet'!$B$13,Paramètres!$A$1:$I$89,3,0)*0.475*44/12</f>
        <v>1.42555394286159</v>
      </c>
      <c r="DH113" s="23">
        <f>EXP(-LN(2)/2)*DH112+(1-EXP(-LN(2)/2))/(LN(2)/2)*DB113*DE113*VLOOKUP('Données projet'!$B$13,Paramètres!$A$1:$I$89,3,0)*0.475*44/12</f>
        <v>0</v>
      </c>
      <c r="DI113" s="24">
        <f t="shared" si="69"/>
        <v>27.267180422848554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5.6843418860808015E-14</v>
      </c>
      <c r="DP113" s="18">
        <f>DO113*VLOOKUP('Données projet'!$B$14,Paramètres!$A$1:$I$89,3,0)*VLOOKUP('Données projet'!$B$14,Paramètres!$A$1:$I$89,5,0)</f>
        <v>5.4092197387944907E-14</v>
      </c>
      <c r="DQ113" s="14">
        <f t="shared" si="97"/>
        <v>8.7287050538073676E-13</v>
      </c>
      <c r="DR113" s="22">
        <f t="shared" si="70"/>
        <v>1.6144600406554537E-12</v>
      </c>
      <c r="DS113" s="62">
        <f t="shared" si="71"/>
        <v>279.96138895484745</v>
      </c>
      <c r="DT113" s="62">
        <f ca="1">AVERAGE(OFFSET($DS$3,0,0,'Données projet'!$E$14+1,1))-AVERAGE(OFFSET($H$3,0,0,'Données projet'!$E$14+1,1))</f>
        <v>364.63161066507769</v>
      </c>
      <c r="DU113" s="62">
        <f t="shared" si="98"/>
        <v>355.44729904860708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>
        <f>EXP(-LN(2)/35)*EA112+(1-EXP(-LN(2)/35))/(LN(2)/35)*DW113*DX113*VLOOKUP('Données projet'!$B$14,Paramètres!$A$1:$I$89,3,0)*0.475*44/12</f>
        <v>73.264426950736308</v>
      </c>
      <c r="EB113" s="23">
        <f>EXP(-LN(2)/25)*EB112+(1-EXP(-LN(2)/25))/(LN(2)/25)*Calculateur!DW113*Calculateur!DY113*VLOOKUP('Données projet'!$B$14,Paramètres!$A$1:$I$89,3,0)*0.475*44/12</f>
        <v>0</v>
      </c>
      <c r="EC113" s="23">
        <f>EXP(-LN(2)/2)*EC112+(1-EXP(-LN(2)/2))/(LN(2)/2)*DW113*DZ113*VLOOKUP('Données projet'!$B$14,Paramètres!$A$1:$I$89,3,0)*0.475*44/12</f>
        <v>0</v>
      </c>
      <c r="ED113" s="24">
        <f t="shared" si="72"/>
        <v>73.264426950736308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5.6843418860808015E-14</v>
      </c>
      <c r="EK113" s="18">
        <f>EJ113*VLOOKUP('Données projet'!$B$15,Paramètres!$A$1:$I$89,3,0)*VLOOKUP('Données projet'!$B$15,Paramètres!$A$1:$I$89,5,0)</f>
        <v>4.1677594708744434E-14</v>
      </c>
      <c r="EL113" s="14">
        <f t="shared" si="99"/>
        <v>6.9326303456159188E-13</v>
      </c>
      <c r="EM113" s="22">
        <f t="shared" si="73"/>
        <v>1.2800215959791691E-12</v>
      </c>
      <c r="EN113" s="62">
        <f t="shared" si="74"/>
        <v>279.96138895484717</v>
      </c>
      <c r="EO113" s="62">
        <f ca="1">AVERAGE(OFFSET($EN$3,0,0,'Données projet'!$E$15+1,1))-AVERAGE(OFFSET($H$3,0,0,'Données projet'!$E$15+1,1))</f>
        <v>293.59366973965774</v>
      </c>
      <c r="EP113" s="62">
        <f t="shared" si="100"/>
        <v>288.13804536120426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>
        <f>EXP(-LN(2)/35)*EV112+(1-EXP(-LN(2)/35))/(LN(2)/35)*ER113*ES113*VLOOKUP('Données projet'!$B$15,Paramètres!$A$1:$I$89,3,0)*0.475*44/12</f>
        <v>56.449640437452572</v>
      </c>
      <c r="EW113" s="23">
        <f>EXP(-LN(2)/25)*EW112+(1-EXP(-LN(2)/25))/(LN(2)/25)*Calculateur!ER113*Calculateur!ET113*VLOOKUP('Données projet'!$B$15,Paramètres!$A$1:$I$89,3,0)*0.475*44/12</f>
        <v>0</v>
      </c>
      <c r="EX113" s="23">
        <f>EXP(-LN(2)/2)*EX112+(1-EXP(-LN(2)/2))/(LN(2)/2)*ER113*EU113*VLOOKUP('Données projet'!$B$15,Paramètres!$A$1:$I$89,3,0)*0.475*44/12</f>
        <v>0</v>
      </c>
      <c r="EY113" s="24">
        <f t="shared" si="75"/>
        <v>56.449640437452572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5.6843418860808015E-14</v>
      </c>
      <c r="FF113" s="18">
        <f>FE113*VLOOKUP('Données projet'!$B$16,Paramètres!$A$1:$I$89,3,0)*VLOOKUP('Données projet'!$B$16,Paramètres!$A$1:$I$89,5,0)</f>
        <v>5.4978954722173515E-14</v>
      </c>
      <c r="FG113" s="14">
        <f t="shared" si="101"/>
        <v>8.8550225887742724E-13</v>
      </c>
      <c r="FH113" s="22">
        <f t="shared" si="76"/>
        <v>1.6380047803526383E-12</v>
      </c>
      <c r="FI113" s="62">
        <f t="shared" si="77"/>
        <v>279.96138895484751</v>
      </c>
      <c r="FJ113" s="62">
        <f ca="1">AVERAGE(OFFSET($FI$3,0,0,'Données projet'!$E$16+1,1))-AVERAGE(OFFSET($H$3,0,0,'Données projet'!$E$16+1,1))</f>
        <v>369.69145521630799</v>
      </c>
      <c r="FK113" s="62">
        <f t="shared" si="102"/>
        <v>360.24112103688719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>
        <f>EXP(-LN(2)/35)*FQ112+(1-EXP(-LN(2)/35))/(LN(2)/35)*FM113*FN113*VLOOKUP('Données projet'!$B$16,Paramètres!$A$1:$I$89,3,0)*0.475*44/12</f>
        <v>74.465483130256587</v>
      </c>
      <c r="FR113" s="23">
        <f>EXP(-LN(2)/25)*FR112+(1-EXP(-LN(2)/25))/(LN(2)/25)*Calculateur!FM113*Calculateur!FO113*VLOOKUP('Données projet'!$B$16,Paramètres!$A$1:$I$89,3,0)*0.475*44/12</f>
        <v>0</v>
      </c>
      <c r="FS113" s="23">
        <f>EXP(-LN(2)/2)*FS112+(1-EXP(-LN(2)/2))/(LN(2)/2)*FM113*FP113*VLOOKUP('Données projet'!$B$16,Paramètres!$A$1:$I$89,3,0)*0.475*44/12</f>
        <v>0</v>
      </c>
      <c r="FT113" s="24">
        <f t="shared" si="78"/>
        <v>74.465483130256587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5.6843418860808015E-14</v>
      </c>
      <c r="GA113" s="18">
        <f>FZ113*VLOOKUP('Données projet'!$B$17,Paramètres!$A$1:$I$89,3,0)*VLOOKUP('Données projet'!$B$17,Paramètres!$A$1:$I$89,5,0)</f>
        <v>6.1186256061773749E-14</v>
      </c>
      <c r="GB113" s="14">
        <f t="shared" si="103"/>
        <v>9.7328366192051127E-13</v>
      </c>
      <c r="GC113" s="22">
        <f t="shared" si="79"/>
        <v>1.8017017738191463E-12</v>
      </c>
      <c r="GD113" s="62">
        <f t="shared" si="80"/>
        <v>279.96138895484768</v>
      </c>
      <c r="GE113" s="62">
        <f ca="1">AVERAGE(OFFSET($GD$3,0,0,'Données projet'!$E$17+1,1))-AVERAGE(OFFSET($H$3,0,0,'Données projet'!$E$17+1,1))</f>
        <v>405.06394904053946</v>
      </c>
      <c r="GF113" s="62">
        <f t="shared" si="104"/>
        <v>393.75247087518198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>
        <f>EXP(-LN(2)/35)*GL112+(1-EXP(-LN(2)/35))/(LN(2)/35)*GH113*GI113*VLOOKUP('Données projet'!$B$17,Paramètres!$A$1:$I$89,3,0)*0.475*44/12</f>
        <v>82.872876386898469</v>
      </c>
      <c r="GM113" s="23">
        <f>EXP(-LN(2)/25)*GM112+(1-EXP(-LN(2)/25))/(LN(2)/25)*Calculateur!GH113*Calculateur!GJ113*VLOOKUP('Données projet'!$B$17,Paramètres!$A$1:$I$89,3,0)*0.475*44/12</f>
        <v>0</v>
      </c>
      <c r="GN113" s="23">
        <f>EXP(-LN(2)/2)*GN112+(1-EXP(-LN(2)/2))/(LN(2)/2)*GH113*GK113*VLOOKUP('Données projet'!$B$17,Paramètres!$A$1:$I$89,3,0)*0.475*44/12</f>
        <v>0</v>
      </c>
      <c r="GO113" s="23">
        <f t="shared" si="81"/>
        <v>82.872876386898469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5.6843418860808015E-14</v>
      </c>
      <c r="GV113" s="18">
        <f>GU113*VLOOKUP('Données projet'!$B$18,Paramètres!$A$1:$I$89,3,0)*VLOOKUP('Données projet'!$B$18,Paramètres!$A$1:$I$89,5,0)</f>
        <v>3.813056537183002E-14</v>
      </c>
      <c r="GW113" s="14">
        <f t="shared" si="105"/>
        <v>6.4086286045526829E-13</v>
      </c>
      <c r="GX113" s="22">
        <f t="shared" si="82"/>
        <v>1.1825802166488628E-12</v>
      </c>
      <c r="GY113" s="62">
        <f t="shared" si="83"/>
        <v>279.96138895484705</v>
      </c>
      <c r="GZ113" s="62">
        <f ca="1">AVERAGE(OFFSET($GY$3,0,0,'Données projet'!$E$18+1,1))-AVERAGE(OFFSET($H$3,0,0,'Données projet'!$E$18+1,1))</f>
        <v>273.21861937609918</v>
      </c>
      <c r="HA113" s="62">
        <f t="shared" si="106"/>
        <v>268.83004886965318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>
        <f>EXP(-LN(2)/35)*HG112+(1-EXP(-LN(2)/35))/(LN(2)/35)*HC113*HD113*VLOOKUP('Données projet'!$B$18,Paramètres!$A$1:$I$89,3,0)*0.475*44/12</f>
        <v>63.655977514574204</v>
      </c>
      <c r="HH113" s="23">
        <f>EXP(-LN(2)/25)*HH112+(1-EXP(-LN(2)/25))/(LN(2)/25)*Calculateur!HC113*Calculateur!HE113*VLOOKUP('Données projet'!$B$18,Paramètres!$A$1:$I$89,3,0)*0.475*44/12</f>
        <v>0</v>
      </c>
      <c r="HI113" s="23">
        <f>EXP(-LN(2)/2)*HI112+(1-EXP(-LN(2)/2))/(LN(2)/2)*HC113*HF113*VLOOKUP('Données projet'!$B$18,Paramètres!$A$1:$I$89,3,0)*0.475*44/12</f>
        <v>0</v>
      </c>
      <c r="HJ113" s="24">
        <f t="shared" si="84"/>
        <v>63.655977514574204</v>
      </c>
    </row>
    <row r="114" spans="1:218" s="5" customFormat="1" x14ac:dyDescent="0.4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5.6</v>
      </c>
      <c r="N114" s="14">
        <f>IF('Données projet'!$A$36&gt;35,N113+M114-V113,IF(A114&lt;'Données projet'!$A$36,$K$205^A114,IF(A114='Données projet'!$A$36,'Données projet'!$B$36,N113+M114-V113)))</f>
        <v>241.79999999999978</v>
      </c>
      <c r="O114" s="14">
        <f>N114*VLOOKUP('Données projet'!$B$9,Paramètres!$A$1:$I$89,3,0)*VLOOKUP('Données projet'!$B$9,Paramètres!$A$1:$I$89,5,0)</f>
        <v>218.78063999999978</v>
      </c>
      <c r="P114" s="14">
        <f t="shared" si="87"/>
        <v>53.849778182636094</v>
      </c>
      <c r="Q114" s="22">
        <f t="shared" si="107"/>
        <v>474.83131166809085</v>
      </c>
      <c r="R114" s="62">
        <f t="shared" si="55"/>
        <v>755.02467396271436</v>
      </c>
      <c r="S114" s="62">
        <f ca="1">AVERAGE(OFFSET($R$3,0,0,'Données projet'!$E$9+1,1))-AVERAGE(OFFSET($H$3,0,0,'Données projet'!$E$9+1,1))</f>
        <v>432.80275651765203</v>
      </c>
      <c r="T114" s="62">
        <f t="shared" si="88"/>
        <v>203.89279893419919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24.752827307703789</v>
      </c>
      <c r="AA114" s="23">
        <f>EXP(-LN(2)/25)*AA113+(1-EXP(-LN(2)/25))/(LN(2)/25)*Calculateur!V114*Calculateur!X114*VLOOKUP('Données projet'!$B$9,Paramètres!$A$1:$I$89,3,0)*0.475*44/12</f>
        <v>17.191544254738837</v>
      </c>
      <c r="AB114" s="23">
        <f>EXP(-LN(2)/2)*AB113+(1-EXP(-LN(2)/2))/(LN(2)/2)*V114*Y114*VLOOKUP('Données projet'!$B$9,Paramètres!$A$1:$I$89,3,0)*0.475*44/12</f>
        <v>0</v>
      </c>
      <c r="AC114" s="24">
        <f t="shared" si="57"/>
        <v>41.944371562442626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54.000000000000341</v>
      </c>
      <c r="AJ114" s="14">
        <f>AI114*VLOOKUP('Données projet'!$B$10,Paramètres!$A$1:$I$89,3,0)*VLOOKUP('Données projet'!$B$10,Paramètres!$A$1:$I$89,5,0)</f>
        <v>23.868000000000151</v>
      </c>
      <c r="AK114" s="14">
        <f t="shared" si="89"/>
        <v>7.6030930962115804</v>
      </c>
      <c r="AL114" s="22">
        <f t="shared" si="58"/>
        <v>54.812153809235433</v>
      </c>
      <c r="AM114" s="62">
        <f t="shared" si="59"/>
        <v>335.00551610385901</v>
      </c>
      <c r="AN114" s="62">
        <f ca="1">AVERAGE(OFFSET($AM$3,0,0,'Données projet'!$E$10+1,1))-AVERAGE(OFFSET($H$3,0,0,'Données projet'!$E$10+1,1))</f>
        <v>413.08876898406481</v>
      </c>
      <c r="AO114" s="62">
        <f t="shared" si="90"/>
        <v>520.31320932826566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100.06921922410187</v>
      </c>
      <c r="AV114" s="23">
        <f>EXP(-LN(2)/25)*AV113+(1-EXP(-LN(2)/25))/(LN(2)/25)*Calculateur!AQ114*Calculateur!AS114*VLOOKUP('Données projet'!$B$10,Paramètres!$A$1:$I$89,3,0)*0.475*44/12</f>
        <v>4.9065977473669591</v>
      </c>
      <c r="AW114" s="23">
        <f>EXP(-LN(2)/2)*AW113+(1-EXP(-LN(2)/2))/(LN(2)/2)*AQ114*AT114*VLOOKUP('Données projet'!$B$10,Paramètres!$A$1:$I$89,3,0)*0.475*44/12</f>
        <v>4.6893483639461006E-10</v>
      </c>
      <c r="AX114" s="23">
        <f t="shared" si="60"/>
        <v>104.97581697193776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54.000000000000341</v>
      </c>
      <c r="BE114" s="14">
        <f>BD114*VLOOKUP('Données projet'!$B$11,Paramètres!$A$1:$I$89,3,0)*VLOOKUP('Données projet'!$B$11,Paramètres!$A$1:$I$89,5,0)</f>
        <v>30.186000000000188</v>
      </c>
      <c r="BF114" s="14">
        <f t="shared" si="91"/>
        <v>9.3563888882899153</v>
      </c>
      <c r="BG114" s="22">
        <f t="shared" si="61"/>
        <v>68.869660647105263</v>
      </c>
      <c r="BH114" s="62">
        <f t="shared" si="62"/>
        <v>349.06302294172883</v>
      </c>
      <c r="BI114" s="62">
        <f ca="1">AVERAGE(OFFSET($BH$3,0,0,'Données projet'!$E$11+1,1))-AVERAGE(OFFSET($H$3,0,0,'Données projet'!$E$11+1,1))</f>
        <v>507.66185230065889</v>
      </c>
      <c r="BJ114" s="62">
        <f t="shared" si="92"/>
        <v>640.14375617778342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126.55813019518757</v>
      </c>
      <c r="BQ114" s="23">
        <f>EXP(-LN(2)/25)*BQ113+(1-EXP(-LN(2)/25))/(LN(2)/25)*Calculateur!BL114*Calculateur!BN114*VLOOKUP('Données projet'!$B$11,Paramètres!$A$1:$I$89,3,0)*0.475*44/12</f>
        <v>6.2054030334346892</v>
      </c>
      <c r="BR114" s="23">
        <f>EXP(-LN(2)/2)*BR113+(1-EXP(-LN(2)/2))/(LN(2)/2)*BL114*BO114*VLOOKUP('Données projet'!$B$11,Paramètres!$A$1:$I$89,3,0)*0.475*44/12</f>
        <v>5.9306464602847784E-10</v>
      </c>
      <c r="BS114" s="24">
        <f t="shared" si="63"/>
        <v>132.76353322921534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417.04879970000007</v>
      </c>
      <c r="BZ114" s="14">
        <f>BY114*VLOOKUP('Données projet'!$B$12,Paramètres!$A$1:$I$89,3,0)*VLOOKUP('Données projet'!$B$12,Paramètres!$A$1:$I$89,5,0)</f>
        <v>195.17883825960004</v>
      </c>
      <c r="CA114" s="14">
        <f t="shared" si="93"/>
        <v>48.683122291673484</v>
      </c>
      <c r="CB114" s="22">
        <f t="shared" si="64"/>
        <v>424.72624796013469</v>
      </c>
      <c r="CC114" s="62">
        <f t="shared" si="65"/>
        <v>704.91961025475825</v>
      </c>
      <c r="CD114" s="62">
        <f ca="1">AVERAGE(OFFSET($CC$3,0,0,'Données projet'!$E$12+1,1))-AVERAGE(OFFSET($H$3,0,0,'Données projet'!$E$12+1,1))</f>
        <v>289.21044803824958</v>
      </c>
      <c r="CE114" s="62">
        <f t="shared" si="94"/>
        <v>196.11836398299445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>
        <f>EXP(-LN(2)/35)*CK113+(1-EXP(-LN(2)/35))/(LN(2)/35)*CG114*CH114*VLOOKUP('Données projet'!$B$12,Paramètres!$A$1:$I$89,3,0)*0.475*44/12</f>
        <v>55.390628897256299</v>
      </c>
      <c r="CL114" s="23">
        <f>EXP(-LN(2)/25)*CL113+(1-EXP(-LN(2)/25))/(LN(2)/25)*Calculateur!CG114*Calculateur!CI114*VLOOKUP('Données projet'!$B$12,Paramètres!$A$1:$I$89,3,0)*0.475*44/12</f>
        <v>23.631857216622652</v>
      </c>
      <c r="CM114" s="23">
        <f>EXP(-LN(2)/2)*CM113+(1-EXP(-LN(2)/2))/(LN(2)/2)*CG114*CJ114*VLOOKUP('Données projet'!$B$12,Paramètres!$A$1:$I$89,3,0)*0.475*44/12</f>
        <v>0</v>
      </c>
      <c r="CN114" s="24">
        <f t="shared" si="66"/>
        <v>79.022486113878955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-5.6843418860808015E-14</v>
      </c>
      <c r="CU114" s="18">
        <f>CT114*VLOOKUP('Données projet'!$B$13,Paramètres!$A$1:$I$89,3,0)*VLOOKUP('Données projet'!$B$13,Paramètres!$A$1:$I$89,5,0)</f>
        <v>-5.1431925385259088E-14</v>
      </c>
      <c r="CV114" s="14" t="e">
        <f t="shared" si="95"/>
        <v>#NUM!</v>
      </c>
      <c r="CW114" s="22" t="e">
        <f t="shared" si="67"/>
        <v>#NUM!</v>
      </c>
      <c r="CX114" s="62" t="e">
        <f t="shared" si="68"/>
        <v>#NUM!</v>
      </c>
      <c r="CY114" s="62">
        <f ca="1">AVERAGE(OFFSET($CX$3,0,0,'Données projet'!$E$13+1,1))-AVERAGE(OFFSET($H$3,0,0,'Données projet'!$E$13+1,1))</f>
        <v>376.68007030857598</v>
      </c>
      <c r="CZ114" s="62">
        <f t="shared" si="96"/>
        <v>532.90758914457626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>
        <f>EXP(-LN(2)/35)*DF113+(1-EXP(-LN(2)/35))/(LN(2)/35)*DB114*DC114*VLOOKUP('Données projet'!$B$13,Paramètres!$A$1:$I$89,3,0)*0.475*44/12</f>
        <v>25.334887946550221</v>
      </c>
      <c r="DG114" s="23">
        <f>EXP(-LN(2)/25)*DG113+(1-EXP(-LN(2)/25))/(LN(2)/25)*Calculateur!DB114*Calculateur!DD114*VLOOKUP('Données projet'!$B$13,Paramètres!$A$1:$I$89,3,0)*0.475*44/12</f>
        <v>1.3865720953274161</v>
      </c>
      <c r="DH114" s="23">
        <f>EXP(-LN(2)/2)*DH113+(1-EXP(-LN(2)/2))/(LN(2)/2)*DB114*DE114*VLOOKUP('Données projet'!$B$13,Paramètres!$A$1:$I$89,3,0)*0.475*44/12</f>
        <v>0</v>
      </c>
      <c r="DI114" s="24">
        <f t="shared" si="69"/>
        <v>26.721460041877638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5.6843418860808015E-14</v>
      </c>
      <c r="DP114" s="18">
        <f>DO114*VLOOKUP('Données projet'!$B$14,Paramètres!$A$1:$I$89,3,0)*VLOOKUP('Données projet'!$B$14,Paramètres!$A$1:$I$89,5,0)</f>
        <v>5.4092197387944907E-14</v>
      </c>
      <c r="DQ114" s="14">
        <f t="shared" si="97"/>
        <v>8.7287050538073676E-13</v>
      </c>
      <c r="DR114" s="22">
        <f t="shared" si="70"/>
        <v>1.6144600406554537E-12</v>
      </c>
      <c r="DS114" s="62">
        <f t="shared" si="71"/>
        <v>280.19336229462516</v>
      </c>
      <c r="DT114" s="62">
        <f ca="1">AVERAGE(OFFSET($DS$3,0,0,'Données projet'!$E$14+1,1))-AVERAGE(OFFSET($H$3,0,0,'Données projet'!$E$14+1,1))</f>
        <v>364.63161066507769</v>
      </c>
      <c r="DU114" s="62">
        <f t="shared" si="98"/>
        <v>355.44729904860708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>
        <f>EXP(-LN(2)/35)*EA113+(1-EXP(-LN(2)/35))/(LN(2)/35)*DW114*DX114*VLOOKUP('Données projet'!$B$14,Paramètres!$A$1:$I$89,3,0)*0.475*44/12</f>
        <v>71.827756225120339</v>
      </c>
      <c r="EB114" s="23">
        <f>EXP(-LN(2)/25)*EB113+(1-EXP(-LN(2)/25))/(LN(2)/25)*Calculateur!DW114*Calculateur!DY114*VLOOKUP('Données projet'!$B$14,Paramètres!$A$1:$I$89,3,0)*0.475*44/12</f>
        <v>0</v>
      </c>
      <c r="EC114" s="23">
        <f>EXP(-LN(2)/2)*EC113+(1-EXP(-LN(2)/2))/(LN(2)/2)*DW114*DZ114*VLOOKUP('Données projet'!$B$14,Paramètres!$A$1:$I$89,3,0)*0.475*44/12</f>
        <v>0</v>
      </c>
      <c r="ED114" s="24">
        <f t="shared" si="72"/>
        <v>71.827756225120339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5.6843418860808015E-14</v>
      </c>
      <c r="EK114" s="18">
        <f>EJ114*VLOOKUP('Données projet'!$B$15,Paramètres!$A$1:$I$89,3,0)*VLOOKUP('Données projet'!$B$15,Paramètres!$A$1:$I$89,5,0)</f>
        <v>4.1677594708744434E-14</v>
      </c>
      <c r="EL114" s="14">
        <f t="shared" si="99"/>
        <v>6.9326303456159188E-13</v>
      </c>
      <c r="EM114" s="22">
        <f t="shared" si="73"/>
        <v>1.2800215959791691E-12</v>
      </c>
      <c r="EN114" s="62">
        <f t="shared" si="74"/>
        <v>280.19336229462488</v>
      </c>
      <c r="EO114" s="62">
        <f ca="1">AVERAGE(OFFSET($EN$3,0,0,'Données projet'!$E$15+1,1))-AVERAGE(OFFSET($H$3,0,0,'Données projet'!$E$15+1,1))</f>
        <v>293.59366973965774</v>
      </c>
      <c r="EP114" s="62">
        <f t="shared" si="100"/>
        <v>288.13804536120426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>
        <f>EXP(-LN(2)/35)*EV113+(1-EXP(-LN(2)/35))/(LN(2)/35)*ER114*ES114*VLOOKUP('Données projet'!$B$15,Paramètres!$A$1:$I$89,3,0)*0.475*44/12</f>
        <v>55.342697419355027</v>
      </c>
      <c r="EW114" s="23">
        <f>EXP(-LN(2)/25)*EW113+(1-EXP(-LN(2)/25))/(LN(2)/25)*Calculateur!ER114*Calculateur!ET114*VLOOKUP('Données projet'!$B$15,Paramètres!$A$1:$I$89,3,0)*0.475*44/12</f>
        <v>0</v>
      </c>
      <c r="EX114" s="23">
        <f>EXP(-LN(2)/2)*EX113+(1-EXP(-LN(2)/2))/(LN(2)/2)*ER114*EU114*VLOOKUP('Données projet'!$B$15,Paramètres!$A$1:$I$89,3,0)*0.475*44/12</f>
        <v>0</v>
      </c>
      <c r="EY114" s="24">
        <f t="shared" si="75"/>
        <v>55.342697419355027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5.6843418860808015E-14</v>
      </c>
      <c r="FF114" s="18">
        <f>FE114*VLOOKUP('Données projet'!$B$16,Paramètres!$A$1:$I$89,3,0)*VLOOKUP('Données projet'!$B$16,Paramètres!$A$1:$I$89,5,0)</f>
        <v>5.4978954722173515E-14</v>
      </c>
      <c r="FG114" s="14">
        <f t="shared" si="101"/>
        <v>8.8550225887742724E-13</v>
      </c>
      <c r="FH114" s="22">
        <f t="shared" si="76"/>
        <v>1.6380047803526383E-12</v>
      </c>
      <c r="FI114" s="62">
        <f t="shared" si="77"/>
        <v>280.19336229462522</v>
      </c>
      <c r="FJ114" s="62">
        <f ca="1">AVERAGE(OFFSET($FI$3,0,0,'Données projet'!$E$16+1,1))-AVERAGE(OFFSET($H$3,0,0,'Données projet'!$E$16+1,1))</f>
        <v>369.69145521630799</v>
      </c>
      <c r="FK114" s="62">
        <f t="shared" si="102"/>
        <v>360.24112103688719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>
        <f>EXP(-LN(2)/35)*FQ113+(1-EXP(-LN(2)/35))/(LN(2)/35)*FM114*FN114*VLOOKUP('Données projet'!$B$16,Paramètres!$A$1:$I$89,3,0)*0.475*44/12</f>
        <v>73.005260425532171</v>
      </c>
      <c r="FR114" s="23">
        <f>EXP(-LN(2)/25)*FR113+(1-EXP(-LN(2)/25))/(LN(2)/25)*Calculateur!FM114*Calculateur!FO114*VLOOKUP('Données projet'!$B$16,Paramètres!$A$1:$I$89,3,0)*0.475*44/12</f>
        <v>0</v>
      </c>
      <c r="FS114" s="23">
        <f>EXP(-LN(2)/2)*FS113+(1-EXP(-LN(2)/2))/(LN(2)/2)*FM114*FP114*VLOOKUP('Données projet'!$B$16,Paramètres!$A$1:$I$89,3,0)*0.475*44/12</f>
        <v>0</v>
      </c>
      <c r="FT114" s="24">
        <f t="shared" si="78"/>
        <v>73.005260425532171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5.6843418860808015E-14</v>
      </c>
      <c r="GA114" s="18">
        <f>FZ114*VLOOKUP('Données projet'!$B$17,Paramètres!$A$1:$I$89,3,0)*VLOOKUP('Données projet'!$B$17,Paramètres!$A$1:$I$89,5,0)</f>
        <v>6.1186256061773749E-14</v>
      </c>
      <c r="GB114" s="14">
        <f t="shared" si="103"/>
        <v>9.7328366192051127E-13</v>
      </c>
      <c r="GC114" s="22">
        <f t="shared" si="79"/>
        <v>1.8017017738191463E-12</v>
      </c>
      <c r="GD114" s="62">
        <f t="shared" si="80"/>
        <v>280.19336229462539</v>
      </c>
      <c r="GE114" s="62">
        <f ca="1">AVERAGE(OFFSET($GD$3,0,0,'Données projet'!$E$17+1,1))-AVERAGE(OFFSET($H$3,0,0,'Données projet'!$E$17+1,1))</f>
        <v>405.06394904053946</v>
      </c>
      <c r="GF114" s="62">
        <f t="shared" si="104"/>
        <v>393.75247087518198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>
        <f>EXP(-LN(2)/35)*GL113+(1-EXP(-LN(2)/35))/(LN(2)/35)*GH114*GI114*VLOOKUP('Données projet'!$B$17,Paramètres!$A$1:$I$89,3,0)*0.475*44/12</f>
        <v>81.247789828414838</v>
      </c>
      <c r="GM114" s="23">
        <f>EXP(-LN(2)/25)*GM113+(1-EXP(-LN(2)/25))/(LN(2)/25)*Calculateur!GH114*Calculateur!GJ114*VLOOKUP('Données projet'!$B$17,Paramètres!$A$1:$I$89,3,0)*0.475*44/12</f>
        <v>0</v>
      </c>
      <c r="GN114" s="23">
        <f>EXP(-LN(2)/2)*GN113+(1-EXP(-LN(2)/2))/(LN(2)/2)*GH114*GK114*VLOOKUP('Données projet'!$B$17,Paramètres!$A$1:$I$89,3,0)*0.475*44/12</f>
        <v>0</v>
      </c>
      <c r="GO114" s="23">
        <f t="shared" si="81"/>
        <v>81.247789828414838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5.6843418860808015E-14</v>
      </c>
      <c r="GV114" s="18">
        <f>GU114*VLOOKUP('Données projet'!$B$18,Paramètres!$A$1:$I$89,3,0)*VLOOKUP('Données projet'!$B$18,Paramètres!$A$1:$I$89,5,0)</f>
        <v>3.813056537183002E-14</v>
      </c>
      <c r="GW114" s="14">
        <f t="shared" si="105"/>
        <v>6.4086286045526829E-13</v>
      </c>
      <c r="GX114" s="22">
        <f t="shared" si="82"/>
        <v>1.1825802166488628E-12</v>
      </c>
      <c r="GY114" s="62">
        <f t="shared" si="83"/>
        <v>280.19336229462476</v>
      </c>
      <c r="GZ114" s="62">
        <f ca="1">AVERAGE(OFFSET($GY$3,0,0,'Données projet'!$E$18+1,1))-AVERAGE(OFFSET($H$3,0,0,'Données projet'!$E$18+1,1))</f>
        <v>273.21861937609918</v>
      </c>
      <c r="HA114" s="62">
        <f t="shared" si="106"/>
        <v>268.83004886965318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>
        <f>EXP(-LN(2)/35)*HG113+(1-EXP(-LN(2)/35))/(LN(2)/35)*HC114*HD114*VLOOKUP('Données projet'!$B$18,Paramètres!$A$1:$I$89,3,0)*0.475*44/12</f>
        <v>62.407722621825904</v>
      </c>
      <c r="HH114" s="23">
        <f>EXP(-LN(2)/25)*HH113+(1-EXP(-LN(2)/25))/(LN(2)/25)*Calculateur!HC114*Calculateur!HE114*VLOOKUP('Données projet'!$B$18,Paramètres!$A$1:$I$89,3,0)*0.475*44/12</f>
        <v>0</v>
      </c>
      <c r="HI114" s="23">
        <f>EXP(-LN(2)/2)*HI113+(1-EXP(-LN(2)/2))/(LN(2)/2)*HC114*HF114*VLOOKUP('Données projet'!$B$18,Paramètres!$A$1:$I$89,3,0)*0.475*44/12</f>
        <v>0</v>
      </c>
      <c r="HJ114" s="24">
        <f t="shared" si="84"/>
        <v>62.407722621825904</v>
      </c>
    </row>
    <row r="115" spans="1:218" s="5" customFormat="1" x14ac:dyDescent="0.4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5.6</v>
      </c>
      <c r="N115" s="14">
        <f>IF('Données projet'!$A$36&gt;35,N114+M115-V114,IF(A115&lt;'Données projet'!$A$36,$K$205^A115,IF(A115='Données projet'!$A$36,'Données projet'!$B$36,N114+M115-V114)))</f>
        <v>247.39999999999978</v>
      </c>
      <c r="O115" s="14">
        <f>N115*VLOOKUP('Données projet'!$B$9,Paramètres!$A$1:$I$89,3,0)*VLOOKUP('Données projet'!$B$9,Paramètres!$A$1:$I$89,5,0)</f>
        <v>223.84751999999978</v>
      </c>
      <c r="P115" s="14">
        <f t="shared" si="87"/>
        <v>54.950279510257438</v>
      </c>
      <c r="Q115" s="22">
        <f t="shared" si="107"/>
        <v>485.5728341470313</v>
      </c>
      <c r="R115" s="62">
        <f t="shared" si="55"/>
        <v>765.99414556260217</v>
      </c>
      <c r="S115" s="62">
        <f ca="1">AVERAGE(OFFSET($R$3,0,0,'Données projet'!$E$9+1,1))-AVERAGE(OFFSET($H$3,0,0,'Données projet'!$E$9+1,1))</f>
        <v>432.80275651765203</v>
      </c>
      <c r="T115" s="62">
        <f t="shared" si="88"/>
        <v>203.89279893419919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24.267439461933598</v>
      </c>
      <c r="AA115" s="23">
        <f>EXP(-LN(2)/25)*AA114+(1-EXP(-LN(2)/25))/(LN(2)/25)*Calculateur!V115*Calculateur!X115*VLOOKUP('Données projet'!$B$9,Paramètres!$A$1:$I$89,3,0)*0.475*44/12</f>
        <v>16.721440573028982</v>
      </c>
      <c r="AB115" s="23">
        <f>EXP(-LN(2)/2)*AB114+(1-EXP(-LN(2)/2))/(LN(2)/2)*V115*Y115*VLOOKUP('Données projet'!$B$9,Paramètres!$A$1:$I$89,3,0)*0.475*44/12</f>
        <v>0</v>
      </c>
      <c r="AC115" s="24">
        <f t="shared" si="57"/>
        <v>40.988880034962577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54.000000000000341</v>
      </c>
      <c r="AJ115" s="14">
        <f>AI115*VLOOKUP('Données projet'!$B$10,Paramètres!$A$1:$I$89,3,0)*VLOOKUP('Données projet'!$B$10,Paramètres!$A$1:$I$89,5,0)</f>
        <v>23.868000000000151</v>
      </c>
      <c r="AK115" s="14">
        <f t="shared" si="89"/>
        <v>7.6030930962115804</v>
      </c>
      <c r="AL115" s="22">
        <f t="shared" si="58"/>
        <v>54.812153809235433</v>
      </c>
      <c r="AM115" s="62">
        <f t="shared" si="59"/>
        <v>335.23346522480631</v>
      </c>
      <c r="AN115" s="62">
        <f ca="1">AVERAGE(OFFSET($AM$3,0,0,'Données projet'!$E$10+1,1))-AVERAGE(OFFSET($H$3,0,0,'Données projet'!$E$10+1,1))</f>
        <v>413.08876898406481</v>
      </c>
      <c r="AO115" s="62">
        <f t="shared" si="90"/>
        <v>520.31320932826566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98.10692287131414</v>
      </c>
      <c r="AV115" s="23">
        <f>EXP(-LN(2)/25)*AV114+(1-EXP(-LN(2)/25))/(LN(2)/25)*Calculateur!AQ115*Calculateur!AS115*VLOOKUP('Données projet'!$B$10,Paramètres!$A$1:$I$89,3,0)*0.475*44/12</f>
        <v>4.7724265739384482</v>
      </c>
      <c r="AW115" s="23">
        <f>EXP(-LN(2)/2)*AW114+(1-EXP(-LN(2)/2))/(LN(2)/2)*AQ115*AT115*VLOOKUP('Données projet'!$B$10,Paramètres!$A$1:$I$89,3,0)*0.475*44/12</f>
        <v>3.3158700274923301E-10</v>
      </c>
      <c r="AX115" s="23">
        <f t="shared" si="60"/>
        <v>102.87934944558417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54.000000000000341</v>
      </c>
      <c r="BE115" s="14">
        <f>BD115*VLOOKUP('Données projet'!$B$11,Paramètres!$A$1:$I$89,3,0)*VLOOKUP('Données projet'!$B$11,Paramètres!$A$1:$I$89,5,0)</f>
        <v>30.186000000000188</v>
      </c>
      <c r="BF115" s="14">
        <f t="shared" si="91"/>
        <v>9.3563888882899153</v>
      </c>
      <c r="BG115" s="22">
        <f t="shared" si="61"/>
        <v>68.869660647105263</v>
      </c>
      <c r="BH115" s="62">
        <f t="shared" si="62"/>
        <v>349.29097206267613</v>
      </c>
      <c r="BI115" s="62">
        <f ca="1">AVERAGE(OFFSET($BH$3,0,0,'Données projet'!$E$11+1,1))-AVERAGE(OFFSET($H$3,0,0,'Données projet'!$E$11+1,1))</f>
        <v>507.66185230065889</v>
      </c>
      <c r="BJ115" s="62">
        <f t="shared" si="92"/>
        <v>640.14375617778342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124.07640245489721</v>
      </c>
      <c r="BQ115" s="23">
        <f>EXP(-LN(2)/25)*BQ114+(1-EXP(-LN(2)/25))/(LN(2)/25)*Calculateur!BL115*Calculateur!BN115*VLOOKUP('Données projet'!$B$11,Paramètres!$A$1:$I$89,3,0)*0.475*44/12</f>
        <v>6.0357159611574547</v>
      </c>
      <c r="BR115" s="23">
        <f>EXP(-LN(2)/2)*BR114+(1-EXP(-LN(2)/2))/(LN(2)/2)*BL115*BO115*VLOOKUP('Données projet'!$B$11,Paramètres!$A$1:$I$89,3,0)*0.475*44/12</f>
        <v>4.1936003288873614E-10</v>
      </c>
      <c r="BS115" s="24">
        <f t="shared" si="63"/>
        <v>130.11211841647403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417.04879970000007</v>
      </c>
      <c r="BZ115" s="14">
        <f>BY115*VLOOKUP('Données projet'!$B$12,Paramètres!$A$1:$I$89,3,0)*VLOOKUP('Données projet'!$B$12,Paramètres!$A$1:$I$89,5,0)</f>
        <v>195.17883825960004</v>
      </c>
      <c r="CA115" s="14">
        <f t="shared" si="93"/>
        <v>48.683122291673484</v>
      </c>
      <c r="CB115" s="22">
        <f t="shared" si="64"/>
        <v>424.72624796013469</v>
      </c>
      <c r="CC115" s="62">
        <f t="shared" si="65"/>
        <v>705.14755937570555</v>
      </c>
      <c r="CD115" s="62">
        <f ca="1">AVERAGE(OFFSET($CC$3,0,0,'Données projet'!$E$12+1,1))-AVERAGE(OFFSET($H$3,0,0,'Données projet'!$E$12+1,1))</f>
        <v>289.21044803824958</v>
      </c>
      <c r="CE115" s="62">
        <f t="shared" si="94"/>
        <v>196.11836398299445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>
        <f>EXP(-LN(2)/35)*CK114+(1-EXP(-LN(2)/35))/(LN(2)/35)*CG115*CH115*VLOOKUP('Données projet'!$B$12,Paramètres!$A$1:$I$89,3,0)*0.475*44/12</f>
        <v>54.304452449528746</v>
      </c>
      <c r="CL115" s="23">
        <f>EXP(-LN(2)/25)*CL114+(1-EXP(-LN(2)/25))/(LN(2)/25)*Calculateur!CG115*Calculateur!CI115*VLOOKUP('Données projet'!$B$12,Paramètres!$A$1:$I$89,3,0)*0.475*44/12</f>
        <v>22.985642838288747</v>
      </c>
      <c r="CM115" s="23">
        <f>EXP(-LN(2)/2)*CM114+(1-EXP(-LN(2)/2))/(LN(2)/2)*CG115*CJ115*VLOOKUP('Données projet'!$B$12,Paramètres!$A$1:$I$89,3,0)*0.475*44/12</f>
        <v>0</v>
      </c>
      <c r="CN115" s="24">
        <f t="shared" si="66"/>
        <v>77.290095287817493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-5.6843418860808015E-14</v>
      </c>
      <c r="CU115" s="18">
        <f>CT115*VLOOKUP('Données projet'!$B$13,Paramètres!$A$1:$I$89,3,0)*VLOOKUP('Données projet'!$B$13,Paramètres!$A$1:$I$89,5,0)</f>
        <v>-5.1431925385259088E-14</v>
      </c>
      <c r="CV115" s="14" t="e">
        <f t="shared" si="95"/>
        <v>#NUM!</v>
      </c>
      <c r="CW115" s="22" t="e">
        <f t="shared" si="67"/>
        <v>#NUM!</v>
      </c>
      <c r="CX115" s="62" t="e">
        <f t="shared" si="68"/>
        <v>#NUM!</v>
      </c>
      <c r="CY115" s="62">
        <f ca="1">AVERAGE(OFFSET($CX$3,0,0,'Données projet'!$E$13+1,1))-AVERAGE(OFFSET($H$3,0,0,'Données projet'!$E$13+1,1))</f>
        <v>376.68007030857598</v>
      </c>
      <c r="CZ115" s="62">
        <f t="shared" si="96"/>
        <v>532.90758914457626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>
        <f>EXP(-LN(2)/35)*DF114+(1-EXP(-LN(2)/35))/(LN(2)/35)*DB115*DC115*VLOOKUP('Données projet'!$B$13,Paramètres!$A$1:$I$89,3,0)*0.475*44/12</f>
        <v>24.838086246674187</v>
      </c>
      <c r="DG115" s="23">
        <f>EXP(-LN(2)/25)*DG114+(1-EXP(-LN(2)/25))/(LN(2)/25)*Calculateur!DB115*Calculateur!DD115*VLOOKUP('Données projet'!$B$13,Paramètres!$A$1:$I$89,3,0)*0.475*44/12</f>
        <v>1.3486562084640306</v>
      </c>
      <c r="DH115" s="23">
        <f>EXP(-LN(2)/2)*DH114+(1-EXP(-LN(2)/2))/(LN(2)/2)*DB115*DE115*VLOOKUP('Données projet'!$B$13,Paramètres!$A$1:$I$89,3,0)*0.475*44/12</f>
        <v>0</v>
      </c>
      <c r="DI115" s="24">
        <f t="shared" si="69"/>
        <v>26.186742455138219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5.6843418860808015E-14</v>
      </c>
      <c r="DP115" s="18">
        <f>DO115*VLOOKUP('Données projet'!$B$14,Paramètres!$A$1:$I$89,3,0)*VLOOKUP('Données projet'!$B$14,Paramètres!$A$1:$I$89,5,0)</f>
        <v>5.4092197387944907E-14</v>
      </c>
      <c r="DQ115" s="14">
        <f t="shared" si="97"/>
        <v>8.7287050538073676E-13</v>
      </c>
      <c r="DR115" s="22">
        <f t="shared" si="70"/>
        <v>1.6144600406554537E-12</v>
      </c>
      <c r="DS115" s="62">
        <f t="shared" si="71"/>
        <v>280.42131141557246</v>
      </c>
      <c r="DT115" s="62">
        <f ca="1">AVERAGE(OFFSET($DS$3,0,0,'Données projet'!$E$14+1,1))-AVERAGE(OFFSET($H$3,0,0,'Données projet'!$E$14+1,1))</f>
        <v>364.63161066507769</v>
      </c>
      <c r="DU115" s="62">
        <f t="shared" si="98"/>
        <v>355.44729904860708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>
        <f>EXP(-LN(2)/35)*EA114+(1-EXP(-LN(2)/35))/(LN(2)/35)*DW115*DX115*VLOOKUP('Données projet'!$B$14,Paramètres!$A$1:$I$89,3,0)*0.475*44/12</f>
        <v>70.419257736151096</v>
      </c>
      <c r="EB115" s="23">
        <f>EXP(-LN(2)/25)*EB114+(1-EXP(-LN(2)/25))/(LN(2)/25)*Calculateur!DW115*Calculateur!DY115*VLOOKUP('Données projet'!$B$14,Paramètres!$A$1:$I$89,3,0)*0.475*44/12</f>
        <v>0</v>
      </c>
      <c r="EC115" s="23">
        <f>EXP(-LN(2)/2)*EC114+(1-EXP(-LN(2)/2))/(LN(2)/2)*DW115*DZ115*VLOOKUP('Données projet'!$B$14,Paramètres!$A$1:$I$89,3,0)*0.475*44/12</f>
        <v>0</v>
      </c>
      <c r="ED115" s="24">
        <f t="shared" si="72"/>
        <v>70.419257736151096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5.6843418860808015E-14</v>
      </c>
      <c r="EK115" s="18">
        <f>EJ115*VLOOKUP('Données projet'!$B$15,Paramètres!$A$1:$I$89,3,0)*VLOOKUP('Données projet'!$B$15,Paramètres!$A$1:$I$89,5,0)</f>
        <v>4.1677594708744434E-14</v>
      </c>
      <c r="EL115" s="14">
        <f t="shared" si="99"/>
        <v>6.9326303456159188E-13</v>
      </c>
      <c r="EM115" s="22">
        <f t="shared" si="73"/>
        <v>1.2800215959791691E-12</v>
      </c>
      <c r="EN115" s="62">
        <f t="shared" si="74"/>
        <v>280.42131141557218</v>
      </c>
      <c r="EO115" s="62">
        <f ca="1">AVERAGE(OFFSET($EN$3,0,0,'Données projet'!$E$15+1,1))-AVERAGE(OFFSET($H$3,0,0,'Données projet'!$E$15+1,1))</f>
        <v>293.59366973965774</v>
      </c>
      <c r="EP115" s="62">
        <f t="shared" si="100"/>
        <v>288.13804536120426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>
        <f>EXP(-LN(2)/35)*EV114+(1-EXP(-LN(2)/35))/(LN(2)/35)*ER115*ES115*VLOOKUP('Données projet'!$B$15,Paramètres!$A$1:$I$89,3,0)*0.475*44/12</f>
        <v>54.257460878673804</v>
      </c>
      <c r="EW115" s="23">
        <f>EXP(-LN(2)/25)*EW114+(1-EXP(-LN(2)/25))/(LN(2)/25)*Calculateur!ER115*Calculateur!ET115*VLOOKUP('Données projet'!$B$15,Paramètres!$A$1:$I$89,3,0)*0.475*44/12</f>
        <v>0</v>
      </c>
      <c r="EX115" s="23">
        <f>EXP(-LN(2)/2)*EX114+(1-EXP(-LN(2)/2))/(LN(2)/2)*ER115*EU115*VLOOKUP('Données projet'!$B$15,Paramètres!$A$1:$I$89,3,0)*0.475*44/12</f>
        <v>0</v>
      </c>
      <c r="EY115" s="24">
        <f t="shared" si="75"/>
        <v>54.257460878673804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5.6843418860808015E-14</v>
      </c>
      <c r="FF115" s="18">
        <f>FE115*VLOOKUP('Données projet'!$B$16,Paramètres!$A$1:$I$89,3,0)*VLOOKUP('Données projet'!$B$16,Paramètres!$A$1:$I$89,5,0)</f>
        <v>5.4978954722173515E-14</v>
      </c>
      <c r="FG115" s="14">
        <f t="shared" si="101"/>
        <v>8.8550225887742724E-13</v>
      </c>
      <c r="FH115" s="22">
        <f t="shared" si="76"/>
        <v>1.6380047803526383E-12</v>
      </c>
      <c r="FI115" s="62">
        <f t="shared" si="77"/>
        <v>280.42131141557252</v>
      </c>
      <c r="FJ115" s="62">
        <f ca="1">AVERAGE(OFFSET($FI$3,0,0,'Données projet'!$E$16+1,1))-AVERAGE(OFFSET($H$3,0,0,'Données projet'!$E$16+1,1))</f>
        <v>369.69145521630799</v>
      </c>
      <c r="FK115" s="62">
        <f t="shared" si="102"/>
        <v>360.24112103688719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>
        <f>EXP(-LN(2)/35)*FQ114+(1-EXP(-LN(2)/35))/(LN(2)/35)*FM115*FN115*VLOOKUP('Données projet'!$B$16,Paramètres!$A$1:$I$89,3,0)*0.475*44/12</f>
        <v>71.573671797399484</v>
      </c>
      <c r="FR115" s="23">
        <f>EXP(-LN(2)/25)*FR114+(1-EXP(-LN(2)/25))/(LN(2)/25)*Calculateur!FM115*Calculateur!FO115*VLOOKUP('Données projet'!$B$16,Paramètres!$A$1:$I$89,3,0)*0.475*44/12</f>
        <v>0</v>
      </c>
      <c r="FS115" s="23">
        <f>EXP(-LN(2)/2)*FS114+(1-EXP(-LN(2)/2))/(LN(2)/2)*FM115*FP115*VLOOKUP('Données projet'!$B$16,Paramètres!$A$1:$I$89,3,0)*0.475*44/12</f>
        <v>0</v>
      </c>
      <c r="FT115" s="24">
        <f t="shared" si="78"/>
        <v>71.573671797399484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5.6843418860808015E-14</v>
      </c>
      <c r="GA115" s="18">
        <f>FZ115*VLOOKUP('Données projet'!$B$17,Paramètres!$A$1:$I$89,3,0)*VLOOKUP('Données projet'!$B$17,Paramètres!$A$1:$I$89,5,0)</f>
        <v>6.1186256061773749E-14</v>
      </c>
      <c r="GB115" s="14">
        <f t="shared" si="103"/>
        <v>9.7328366192051127E-13</v>
      </c>
      <c r="GC115" s="22">
        <f t="shared" si="79"/>
        <v>1.8017017738191463E-12</v>
      </c>
      <c r="GD115" s="62">
        <f t="shared" si="80"/>
        <v>280.42131141557269</v>
      </c>
      <c r="GE115" s="62">
        <f ca="1">AVERAGE(OFFSET($GD$3,0,0,'Données projet'!$E$17+1,1))-AVERAGE(OFFSET($H$3,0,0,'Données projet'!$E$17+1,1))</f>
        <v>405.06394904053946</v>
      </c>
      <c r="GF115" s="62">
        <f t="shared" si="104"/>
        <v>393.75247087518198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>
        <f>EXP(-LN(2)/35)*GL114+(1-EXP(-LN(2)/35))/(LN(2)/35)*GH115*GI115*VLOOKUP('Données projet'!$B$17,Paramètres!$A$1:$I$89,3,0)*0.475*44/12</f>
        <v>79.654570226138148</v>
      </c>
      <c r="GM115" s="23">
        <f>EXP(-LN(2)/25)*GM114+(1-EXP(-LN(2)/25))/(LN(2)/25)*Calculateur!GH115*Calculateur!GJ115*VLOOKUP('Données projet'!$B$17,Paramètres!$A$1:$I$89,3,0)*0.475*44/12</f>
        <v>0</v>
      </c>
      <c r="GN115" s="23">
        <f>EXP(-LN(2)/2)*GN114+(1-EXP(-LN(2)/2))/(LN(2)/2)*GH115*GK115*VLOOKUP('Données projet'!$B$17,Paramètres!$A$1:$I$89,3,0)*0.475*44/12</f>
        <v>0</v>
      </c>
      <c r="GO115" s="23">
        <f t="shared" si="81"/>
        <v>79.654570226138148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5.6843418860808015E-14</v>
      </c>
      <c r="GV115" s="18">
        <f>GU115*VLOOKUP('Données projet'!$B$18,Paramètres!$A$1:$I$89,3,0)*VLOOKUP('Données projet'!$B$18,Paramètres!$A$1:$I$89,5,0)</f>
        <v>3.813056537183002E-14</v>
      </c>
      <c r="GW115" s="14">
        <f t="shared" si="105"/>
        <v>6.4086286045526829E-13</v>
      </c>
      <c r="GX115" s="22">
        <f t="shared" si="82"/>
        <v>1.1825802166488628E-12</v>
      </c>
      <c r="GY115" s="62">
        <f t="shared" si="83"/>
        <v>280.42131141557206</v>
      </c>
      <c r="GZ115" s="62">
        <f ca="1">AVERAGE(OFFSET($GY$3,0,0,'Données projet'!$E$18+1,1))-AVERAGE(OFFSET($H$3,0,0,'Données projet'!$E$18+1,1))</f>
        <v>273.21861937609918</v>
      </c>
      <c r="HA115" s="62">
        <f t="shared" si="106"/>
        <v>268.83004886965318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>
        <f>EXP(-LN(2)/35)*HG114+(1-EXP(-LN(2)/35))/(LN(2)/35)*HC115*HD115*VLOOKUP('Données projet'!$B$18,Paramètres!$A$1:$I$89,3,0)*0.475*44/12</f>
        <v>61.183945246164093</v>
      </c>
      <c r="HH115" s="23">
        <f>EXP(-LN(2)/25)*HH114+(1-EXP(-LN(2)/25))/(LN(2)/25)*Calculateur!HC115*Calculateur!HE115*VLOOKUP('Données projet'!$B$18,Paramètres!$A$1:$I$89,3,0)*0.475*44/12</f>
        <v>0</v>
      </c>
      <c r="HI115" s="23">
        <f>EXP(-LN(2)/2)*HI114+(1-EXP(-LN(2)/2))/(LN(2)/2)*HC115*HF115*VLOOKUP('Données projet'!$B$18,Paramètres!$A$1:$I$89,3,0)*0.475*44/12</f>
        <v>0</v>
      </c>
      <c r="HJ115" s="24">
        <f t="shared" si="84"/>
        <v>61.183945246164093</v>
      </c>
    </row>
    <row r="116" spans="1:218" s="5" customFormat="1" x14ac:dyDescent="0.4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5.6</v>
      </c>
      <c r="N116" s="14">
        <f>IF('Données projet'!$A$36&gt;35,N115+M116-V115,IF(A116&lt;'Données projet'!$A$36,$K$205^A116,IF(A116='Données projet'!$A$36,'Données projet'!$B$36,N115+M116-V115)))</f>
        <v>252.99999999999977</v>
      </c>
      <c r="O116" s="14">
        <f>N116*VLOOKUP('Données projet'!$B$9,Paramètres!$A$1:$I$89,3,0)*VLOOKUP('Données projet'!$B$9,Paramètres!$A$1:$I$89,5,0)</f>
        <v>228.9143999999998</v>
      </c>
      <c r="P116" s="14">
        <f t="shared" si="87"/>
        <v>56.047884834417424</v>
      </c>
      <c r="Q116" s="22">
        <f t="shared" si="107"/>
        <v>496.30931275327663</v>
      </c>
      <c r="R116" s="62">
        <f t="shared" si="55"/>
        <v>776.95461888216425</v>
      </c>
      <c r="S116" s="62">
        <f ca="1">AVERAGE(OFFSET($R$3,0,0,'Données projet'!$E$9+1,1))-AVERAGE(OFFSET($H$3,0,0,'Données projet'!$E$9+1,1))</f>
        <v>432.80275651765203</v>
      </c>
      <c r="T116" s="62">
        <f t="shared" si="88"/>
        <v>203.89279893419919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23.791569775761609</v>
      </c>
      <c r="AA116" s="23">
        <f>EXP(-LN(2)/25)*AA115+(1-EXP(-LN(2)/25))/(LN(2)/25)*Calculateur!V116*Calculateur!X116*VLOOKUP('Données projet'!$B$9,Paramètres!$A$1:$I$89,3,0)*0.475*44/12</f>
        <v>16.264191901217163</v>
      </c>
      <c r="AB116" s="23">
        <f>EXP(-LN(2)/2)*AB115+(1-EXP(-LN(2)/2))/(LN(2)/2)*V116*Y116*VLOOKUP('Données projet'!$B$9,Paramètres!$A$1:$I$89,3,0)*0.475*44/12</f>
        <v>0</v>
      </c>
      <c r="AC116" s="24">
        <f t="shared" si="57"/>
        <v>40.055761676978776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54.000000000000341</v>
      </c>
      <c r="AJ116" s="14">
        <f>AI116*VLOOKUP('Données projet'!$B$10,Paramètres!$A$1:$I$89,3,0)*VLOOKUP('Données projet'!$B$10,Paramètres!$A$1:$I$89,5,0)</f>
        <v>23.868000000000151</v>
      </c>
      <c r="AK116" s="14">
        <f t="shared" si="89"/>
        <v>7.6030930962115804</v>
      </c>
      <c r="AL116" s="22">
        <f t="shared" si="58"/>
        <v>54.812153809235433</v>
      </c>
      <c r="AM116" s="62">
        <f t="shared" si="59"/>
        <v>335.45745993812307</v>
      </c>
      <c r="AN116" s="62">
        <f ca="1">AVERAGE(OFFSET($AM$3,0,0,'Données projet'!$E$10+1,1))-AVERAGE(OFFSET($H$3,0,0,'Données projet'!$E$10+1,1))</f>
        <v>413.08876898406481</v>
      </c>
      <c r="AO116" s="62">
        <f t="shared" si="90"/>
        <v>520.31320932826566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96.183105953121981</v>
      </c>
      <c r="AV116" s="23">
        <f>EXP(-LN(2)/25)*AV115+(1-EXP(-LN(2)/25))/(LN(2)/25)*Calculateur!AQ116*Calculateur!AS116*VLOOKUP('Données projet'!$B$10,Paramètres!$A$1:$I$89,3,0)*0.475*44/12</f>
        <v>4.6419243183030954</v>
      </c>
      <c r="AW116" s="23">
        <f>EXP(-LN(2)/2)*AW115+(1-EXP(-LN(2)/2))/(LN(2)/2)*AQ116*AT116*VLOOKUP('Données projet'!$B$10,Paramètres!$A$1:$I$89,3,0)*0.475*44/12</f>
        <v>2.3446741819730503E-10</v>
      </c>
      <c r="AX116" s="23">
        <f t="shared" si="60"/>
        <v>100.82503027165954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54.000000000000341</v>
      </c>
      <c r="BE116" s="14">
        <f>BD116*VLOOKUP('Données projet'!$B$11,Paramètres!$A$1:$I$89,3,0)*VLOOKUP('Données projet'!$B$11,Paramètres!$A$1:$I$89,5,0)</f>
        <v>30.186000000000188</v>
      </c>
      <c r="BF116" s="14">
        <f t="shared" si="91"/>
        <v>9.3563888882899153</v>
      </c>
      <c r="BG116" s="22">
        <f t="shared" si="61"/>
        <v>68.869660647105263</v>
      </c>
      <c r="BH116" s="62">
        <f t="shared" si="62"/>
        <v>349.51496677599289</v>
      </c>
      <c r="BI116" s="62">
        <f ca="1">AVERAGE(OFFSET($BH$3,0,0,'Données projet'!$E$11+1,1))-AVERAGE(OFFSET($H$3,0,0,'Données projet'!$E$11+1,1))</f>
        <v>507.66185230065889</v>
      </c>
      <c r="BJ116" s="62">
        <f t="shared" si="92"/>
        <v>640.14375617778342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121.64333988188947</v>
      </c>
      <c r="BQ116" s="23">
        <f>EXP(-LN(2)/25)*BQ115+(1-EXP(-LN(2)/25))/(LN(2)/25)*Calculateur!BL116*Calculateur!BN116*VLOOKUP('Données projet'!$B$11,Paramètres!$A$1:$I$89,3,0)*0.475*44/12</f>
        <v>5.8706689907950969</v>
      </c>
      <c r="BR116" s="23">
        <f>EXP(-LN(2)/2)*BR115+(1-EXP(-LN(2)/2))/(LN(2)/2)*BL116*BO116*VLOOKUP('Données projet'!$B$11,Paramètres!$A$1:$I$89,3,0)*0.475*44/12</f>
        <v>2.9653232301423892E-10</v>
      </c>
      <c r="BS116" s="24">
        <f t="shared" si="63"/>
        <v>127.51400887298111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417.04879970000007</v>
      </c>
      <c r="BZ116" s="14">
        <f>BY116*VLOOKUP('Données projet'!$B$12,Paramètres!$A$1:$I$89,3,0)*VLOOKUP('Données projet'!$B$12,Paramètres!$A$1:$I$89,5,0)</f>
        <v>195.17883825960004</v>
      </c>
      <c r="CA116" s="14">
        <f t="shared" si="93"/>
        <v>48.683122291673484</v>
      </c>
      <c r="CB116" s="22">
        <f t="shared" si="64"/>
        <v>424.72624796013469</v>
      </c>
      <c r="CC116" s="62">
        <f t="shared" si="65"/>
        <v>705.37155408902231</v>
      </c>
      <c r="CD116" s="62">
        <f ca="1">AVERAGE(OFFSET($CC$3,0,0,'Données projet'!$E$12+1,1))-AVERAGE(OFFSET($H$3,0,0,'Données projet'!$E$12+1,1))</f>
        <v>289.21044803824958</v>
      </c>
      <c r="CE116" s="62">
        <f t="shared" si="94"/>
        <v>196.11836398299445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>
        <f>EXP(-LN(2)/35)*CK115+(1-EXP(-LN(2)/35))/(LN(2)/35)*CG116*CH116*VLOOKUP('Données projet'!$B$12,Paramètres!$A$1:$I$89,3,0)*0.475*44/12</f>
        <v>53.239575259438915</v>
      </c>
      <c r="CL116" s="23">
        <f>EXP(-LN(2)/25)*CL115+(1-EXP(-LN(2)/25))/(LN(2)/25)*Calculateur!CG116*Calculateur!CI116*VLOOKUP('Données projet'!$B$12,Paramètres!$A$1:$I$89,3,0)*0.475*44/12</f>
        <v>22.35709922611332</v>
      </c>
      <c r="CM116" s="23">
        <f>EXP(-LN(2)/2)*CM115+(1-EXP(-LN(2)/2))/(LN(2)/2)*CG116*CJ116*VLOOKUP('Données projet'!$B$12,Paramètres!$A$1:$I$89,3,0)*0.475*44/12</f>
        <v>0</v>
      </c>
      <c r="CN116" s="24">
        <f t="shared" si="66"/>
        <v>75.596674485552228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-5.6843418860808015E-14</v>
      </c>
      <c r="CU116" s="18">
        <f>CT116*VLOOKUP('Données projet'!$B$13,Paramètres!$A$1:$I$89,3,0)*VLOOKUP('Données projet'!$B$13,Paramètres!$A$1:$I$89,5,0)</f>
        <v>-5.1431925385259088E-14</v>
      </c>
      <c r="CV116" s="14" t="e">
        <f t="shared" si="95"/>
        <v>#NUM!</v>
      </c>
      <c r="CW116" s="22" t="e">
        <f t="shared" si="67"/>
        <v>#NUM!</v>
      </c>
      <c r="CX116" s="62" t="e">
        <f t="shared" si="68"/>
        <v>#NUM!</v>
      </c>
      <c r="CY116" s="62">
        <f ca="1">AVERAGE(OFFSET($CX$3,0,0,'Données projet'!$E$13+1,1))-AVERAGE(OFFSET($H$3,0,0,'Données projet'!$E$13+1,1))</f>
        <v>376.68007030857598</v>
      </c>
      <c r="CZ116" s="62">
        <f t="shared" si="96"/>
        <v>532.90758914457626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>
        <f>EXP(-LN(2)/35)*DF115+(1-EXP(-LN(2)/35))/(LN(2)/35)*DB116*DC116*VLOOKUP('Données projet'!$B$13,Paramètres!$A$1:$I$89,3,0)*0.475*44/12</f>
        <v>24.351026525113603</v>
      </c>
      <c r="DG116" s="23">
        <f>EXP(-LN(2)/25)*DG115+(1-EXP(-LN(2)/25))/(LN(2)/25)*Calculateur!DB116*Calculateur!DD116*VLOOKUP('Données projet'!$B$13,Paramètres!$A$1:$I$89,3,0)*0.475*44/12</f>
        <v>1.3117771335208341</v>
      </c>
      <c r="DH116" s="23">
        <f>EXP(-LN(2)/2)*DH115+(1-EXP(-LN(2)/2))/(LN(2)/2)*DB116*DE116*VLOOKUP('Données projet'!$B$13,Paramètres!$A$1:$I$89,3,0)*0.475*44/12</f>
        <v>0</v>
      </c>
      <c r="DI116" s="24">
        <f t="shared" si="69"/>
        <v>25.662803658634438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5.6843418860808015E-14</v>
      </c>
      <c r="DP116" s="18">
        <f>DO116*VLOOKUP('Données projet'!$B$14,Paramètres!$A$1:$I$89,3,0)*VLOOKUP('Données projet'!$B$14,Paramètres!$A$1:$I$89,5,0)</f>
        <v>5.4092197387944907E-14</v>
      </c>
      <c r="DQ116" s="14">
        <f t="shared" si="97"/>
        <v>8.7287050538073676E-13</v>
      </c>
      <c r="DR116" s="22">
        <f t="shared" si="70"/>
        <v>1.6144600406554537E-12</v>
      </c>
      <c r="DS116" s="62">
        <f t="shared" si="71"/>
        <v>280.64530612888922</v>
      </c>
      <c r="DT116" s="62">
        <f ca="1">AVERAGE(OFFSET($DS$3,0,0,'Données projet'!$E$14+1,1))-AVERAGE(OFFSET($H$3,0,0,'Données projet'!$E$14+1,1))</f>
        <v>364.63161066507769</v>
      </c>
      <c r="DU116" s="62">
        <f t="shared" si="98"/>
        <v>355.44729904860708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>
        <f>EXP(-LN(2)/35)*EA115+(1-EXP(-LN(2)/35))/(LN(2)/35)*DW116*DX116*VLOOKUP('Données projet'!$B$14,Paramètres!$A$1:$I$89,3,0)*0.475*44/12</f>
        <v>69.038379043451286</v>
      </c>
      <c r="EB116" s="23">
        <f>EXP(-LN(2)/25)*EB115+(1-EXP(-LN(2)/25))/(LN(2)/25)*Calculateur!DW116*Calculateur!DY116*VLOOKUP('Données projet'!$B$14,Paramètres!$A$1:$I$89,3,0)*0.475*44/12</f>
        <v>0</v>
      </c>
      <c r="EC116" s="23">
        <f>EXP(-LN(2)/2)*EC115+(1-EXP(-LN(2)/2))/(LN(2)/2)*DW116*DZ116*VLOOKUP('Données projet'!$B$14,Paramètres!$A$1:$I$89,3,0)*0.475*44/12</f>
        <v>0</v>
      </c>
      <c r="ED116" s="24">
        <f t="shared" si="72"/>
        <v>69.038379043451286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5.6843418860808015E-14</v>
      </c>
      <c r="EK116" s="18">
        <f>EJ116*VLOOKUP('Données projet'!$B$15,Paramètres!$A$1:$I$89,3,0)*VLOOKUP('Données projet'!$B$15,Paramètres!$A$1:$I$89,5,0)</f>
        <v>4.1677594708744434E-14</v>
      </c>
      <c r="EL116" s="14">
        <f t="shared" si="99"/>
        <v>6.9326303456159188E-13</v>
      </c>
      <c r="EM116" s="22">
        <f t="shared" si="73"/>
        <v>1.2800215959791691E-12</v>
      </c>
      <c r="EN116" s="62">
        <f t="shared" si="74"/>
        <v>280.64530612888893</v>
      </c>
      <c r="EO116" s="62">
        <f ca="1">AVERAGE(OFFSET($EN$3,0,0,'Données projet'!$E$15+1,1))-AVERAGE(OFFSET($H$3,0,0,'Données projet'!$E$15+1,1))</f>
        <v>293.59366973965774</v>
      </c>
      <c r="EP116" s="62">
        <f t="shared" si="100"/>
        <v>288.13804536120426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>
        <f>EXP(-LN(2)/35)*EV115+(1-EXP(-LN(2)/35))/(LN(2)/35)*ER116*ES116*VLOOKUP('Données projet'!$B$15,Paramètres!$A$1:$I$89,3,0)*0.475*44/12</f>
        <v>53.193505164626409</v>
      </c>
      <c r="EW116" s="23">
        <f>EXP(-LN(2)/25)*EW115+(1-EXP(-LN(2)/25))/(LN(2)/25)*Calculateur!ER116*Calculateur!ET116*VLOOKUP('Données projet'!$B$15,Paramètres!$A$1:$I$89,3,0)*0.475*44/12</f>
        <v>0</v>
      </c>
      <c r="EX116" s="23">
        <f>EXP(-LN(2)/2)*EX115+(1-EXP(-LN(2)/2))/(LN(2)/2)*ER116*EU116*VLOOKUP('Données projet'!$B$15,Paramètres!$A$1:$I$89,3,0)*0.475*44/12</f>
        <v>0</v>
      </c>
      <c r="EY116" s="24">
        <f t="shared" si="75"/>
        <v>53.193505164626409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5.6843418860808015E-14</v>
      </c>
      <c r="FF116" s="18">
        <f>FE116*VLOOKUP('Données projet'!$B$16,Paramètres!$A$1:$I$89,3,0)*VLOOKUP('Données projet'!$B$16,Paramètres!$A$1:$I$89,5,0)</f>
        <v>5.4978954722173515E-14</v>
      </c>
      <c r="FG116" s="14">
        <f t="shared" si="101"/>
        <v>8.8550225887742724E-13</v>
      </c>
      <c r="FH116" s="22">
        <f t="shared" si="76"/>
        <v>1.6380047803526383E-12</v>
      </c>
      <c r="FI116" s="62">
        <f t="shared" si="77"/>
        <v>280.64530612888927</v>
      </c>
      <c r="FJ116" s="62">
        <f ca="1">AVERAGE(OFFSET($FI$3,0,0,'Données projet'!$E$16+1,1))-AVERAGE(OFFSET($H$3,0,0,'Données projet'!$E$16+1,1))</f>
        <v>369.69145521630799</v>
      </c>
      <c r="FK116" s="62">
        <f t="shared" si="102"/>
        <v>360.24112103688719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>
        <f>EXP(-LN(2)/35)*FQ115+(1-EXP(-LN(2)/35))/(LN(2)/35)*FM116*FN116*VLOOKUP('Données projet'!$B$16,Paramètres!$A$1:$I$89,3,0)*0.475*44/12</f>
        <v>70.170155749081644</v>
      </c>
      <c r="FR116" s="23">
        <f>EXP(-LN(2)/25)*FR115+(1-EXP(-LN(2)/25))/(LN(2)/25)*Calculateur!FM116*Calculateur!FO116*VLOOKUP('Données projet'!$B$16,Paramètres!$A$1:$I$89,3,0)*0.475*44/12</f>
        <v>0</v>
      </c>
      <c r="FS116" s="23">
        <f>EXP(-LN(2)/2)*FS115+(1-EXP(-LN(2)/2))/(LN(2)/2)*FM116*FP116*VLOOKUP('Données projet'!$B$16,Paramètres!$A$1:$I$89,3,0)*0.475*44/12</f>
        <v>0</v>
      </c>
      <c r="FT116" s="24">
        <f t="shared" si="78"/>
        <v>70.170155749081644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5.6843418860808015E-14</v>
      </c>
      <c r="GA116" s="18">
        <f>FZ116*VLOOKUP('Données projet'!$B$17,Paramètres!$A$1:$I$89,3,0)*VLOOKUP('Données projet'!$B$17,Paramètres!$A$1:$I$89,5,0)</f>
        <v>6.1186256061773749E-14</v>
      </c>
      <c r="GB116" s="14">
        <f t="shared" si="103"/>
        <v>9.7328366192051127E-13</v>
      </c>
      <c r="GC116" s="22">
        <f t="shared" si="79"/>
        <v>1.8017017738191463E-12</v>
      </c>
      <c r="GD116" s="62">
        <f t="shared" si="80"/>
        <v>280.64530612888944</v>
      </c>
      <c r="GE116" s="62">
        <f ca="1">AVERAGE(OFFSET($GD$3,0,0,'Données projet'!$E$17+1,1))-AVERAGE(OFFSET($H$3,0,0,'Données projet'!$E$17+1,1))</f>
        <v>405.06394904053946</v>
      </c>
      <c r="GF116" s="62">
        <f t="shared" si="104"/>
        <v>393.75247087518198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>
        <f>EXP(-LN(2)/35)*GL115+(1-EXP(-LN(2)/35))/(LN(2)/35)*GH116*GI116*VLOOKUP('Données projet'!$B$17,Paramètres!$A$1:$I$89,3,0)*0.475*44/12</f>
        <v>78.092592688494094</v>
      </c>
      <c r="GM116" s="23">
        <f>EXP(-LN(2)/25)*GM115+(1-EXP(-LN(2)/25))/(LN(2)/25)*Calculateur!GH116*Calculateur!GJ116*VLOOKUP('Données projet'!$B$17,Paramètres!$A$1:$I$89,3,0)*0.475*44/12</f>
        <v>0</v>
      </c>
      <c r="GN116" s="23">
        <f>EXP(-LN(2)/2)*GN115+(1-EXP(-LN(2)/2))/(LN(2)/2)*GH116*GK116*VLOOKUP('Données projet'!$B$17,Paramètres!$A$1:$I$89,3,0)*0.475*44/12</f>
        <v>0</v>
      </c>
      <c r="GO116" s="23">
        <f t="shared" si="81"/>
        <v>78.092592688494094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5.6843418860808015E-14</v>
      </c>
      <c r="GV116" s="18">
        <f>GU116*VLOOKUP('Données projet'!$B$18,Paramètres!$A$1:$I$89,3,0)*VLOOKUP('Données projet'!$B$18,Paramètres!$A$1:$I$89,5,0)</f>
        <v>3.813056537183002E-14</v>
      </c>
      <c r="GW116" s="14">
        <f t="shared" si="105"/>
        <v>6.4086286045526829E-13</v>
      </c>
      <c r="GX116" s="22">
        <f t="shared" si="82"/>
        <v>1.1825802166488628E-12</v>
      </c>
      <c r="GY116" s="62">
        <f t="shared" si="83"/>
        <v>280.64530612888882</v>
      </c>
      <c r="GZ116" s="62">
        <f ca="1">AVERAGE(OFFSET($GY$3,0,0,'Données projet'!$E$18+1,1))-AVERAGE(OFFSET($H$3,0,0,'Données projet'!$E$18+1,1))</f>
        <v>273.21861937609918</v>
      </c>
      <c r="HA116" s="62">
        <f t="shared" si="106"/>
        <v>268.83004886965318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>
        <f>EXP(-LN(2)/35)*HG115+(1-EXP(-LN(2)/35))/(LN(2)/35)*HC116*HD116*VLOOKUP('Données projet'!$B$18,Paramètres!$A$1:$I$89,3,0)*0.475*44/12</f>
        <v>59.984165398408514</v>
      </c>
      <c r="HH116" s="23">
        <f>EXP(-LN(2)/25)*HH115+(1-EXP(-LN(2)/25))/(LN(2)/25)*Calculateur!HC116*Calculateur!HE116*VLOOKUP('Données projet'!$B$18,Paramètres!$A$1:$I$89,3,0)*0.475*44/12</f>
        <v>0</v>
      </c>
      <c r="HI116" s="23">
        <f>EXP(-LN(2)/2)*HI115+(1-EXP(-LN(2)/2))/(LN(2)/2)*HC116*HF116*VLOOKUP('Données projet'!$B$18,Paramètres!$A$1:$I$89,3,0)*0.475*44/12</f>
        <v>0</v>
      </c>
      <c r="HJ116" s="24">
        <f t="shared" si="84"/>
        <v>59.984165398408514</v>
      </c>
    </row>
    <row r="117" spans="1:218" s="5" customFormat="1" x14ac:dyDescent="0.4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5.6</v>
      </c>
      <c r="N117" s="14">
        <f>IF('Données projet'!$A$36&gt;35,N116+M117-V116,IF(A117&lt;'Données projet'!$A$36,$K$205^A117,IF(A117='Données projet'!$A$36,'Données projet'!$B$36,N116+M117-V116)))</f>
        <v>258.5999999999998</v>
      </c>
      <c r="O117" s="14">
        <f>N117*VLOOKUP('Données projet'!$B$9,Paramètres!$A$1:$I$89,3,0)*VLOOKUP('Données projet'!$B$9,Paramètres!$A$1:$I$89,5,0)</f>
        <v>233.9812799999998</v>
      </c>
      <c r="P117" s="14">
        <f t="shared" si="87"/>
        <v>57.14266563744799</v>
      </c>
      <c r="Q117" s="22">
        <f t="shared" si="107"/>
        <v>507.04087198522149</v>
      </c>
      <c r="R117" s="62">
        <f t="shared" si="55"/>
        <v>787.90628701992694</v>
      </c>
      <c r="S117" s="62">
        <f ca="1">AVERAGE(OFFSET($R$3,0,0,'Données projet'!$E$9+1,1))-AVERAGE(OFFSET($H$3,0,0,'Données projet'!$E$9+1,1))</f>
        <v>432.80275651765203</v>
      </c>
      <c r="T117" s="62">
        <f t="shared" si="88"/>
        <v>203.89279893419919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23.325031603883602</v>
      </c>
      <c r="AA117" s="23">
        <f>EXP(-LN(2)/25)*AA116+(1-EXP(-LN(2)/25))/(LN(2)/25)*Calculateur!V117*Calculateur!X117*VLOOKUP('Données projet'!$B$9,Paramètres!$A$1:$I$89,3,0)*0.475*44/12</f>
        <v>15.8194467183817</v>
      </c>
      <c r="AB117" s="23">
        <f>EXP(-LN(2)/2)*AB116+(1-EXP(-LN(2)/2))/(LN(2)/2)*V117*Y117*VLOOKUP('Données projet'!$B$9,Paramètres!$A$1:$I$89,3,0)*0.475*44/12</f>
        <v>0</v>
      </c>
      <c r="AC117" s="24">
        <f t="shared" si="57"/>
        <v>39.1444783222653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54.000000000000341</v>
      </c>
      <c r="AJ117" s="14">
        <f>AI117*VLOOKUP('Données projet'!$B$10,Paramètres!$A$1:$I$89,3,0)*VLOOKUP('Données projet'!$B$10,Paramètres!$A$1:$I$89,5,0)</f>
        <v>23.868000000000151</v>
      </c>
      <c r="AK117" s="14">
        <f t="shared" si="89"/>
        <v>7.6030930962115804</v>
      </c>
      <c r="AL117" s="22">
        <f t="shared" si="58"/>
        <v>54.812153809235433</v>
      </c>
      <c r="AM117" s="62">
        <f t="shared" si="59"/>
        <v>335.67756884394089</v>
      </c>
      <c r="AN117" s="62">
        <f ca="1">AVERAGE(OFFSET($AM$3,0,0,'Données projet'!$E$10+1,1))-AVERAGE(OFFSET($H$3,0,0,'Données projet'!$E$10+1,1))</f>
        <v>413.08876898406481</v>
      </c>
      <c r="AO117" s="62">
        <f t="shared" si="90"/>
        <v>520.31320932826566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94.297013911283116</v>
      </c>
      <c r="AV117" s="23">
        <f>EXP(-LN(2)/25)*AV116+(1-EXP(-LN(2)/25))/(LN(2)/25)*Calculateur!AQ117*Calculateur!AS117*VLOOKUP('Données projet'!$B$10,Paramètres!$A$1:$I$89,3,0)*0.475*44/12</f>
        <v>4.5149906537109068</v>
      </c>
      <c r="AW117" s="23">
        <f>EXP(-LN(2)/2)*AW116+(1-EXP(-LN(2)/2))/(LN(2)/2)*AQ117*AT117*VLOOKUP('Données projet'!$B$10,Paramètres!$A$1:$I$89,3,0)*0.475*44/12</f>
        <v>1.657935013746165E-10</v>
      </c>
      <c r="AX117" s="23">
        <f t="shared" si="60"/>
        <v>98.812004565159825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54.000000000000341</v>
      </c>
      <c r="BE117" s="14">
        <f>BD117*VLOOKUP('Données projet'!$B$11,Paramètres!$A$1:$I$89,3,0)*VLOOKUP('Données projet'!$B$11,Paramètres!$A$1:$I$89,5,0)</f>
        <v>30.186000000000188</v>
      </c>
      <c r="BF117" s="14">
        <f t="shared" si="91"/>
        <v>9.3563888882899153</v>
      </c>
      <c r="BG117" s="22">
        <f t="shared" si="61"/>
        <v>68.869660647105263</v>
      </c>
      <c r="BH117" s="62">
        <f t="shared" si="62"/>
        <v>349.73507568181071</v>
      </c>
      <c r="BI117" s="62">
        <f ca="1">AVERAGE(OFFSET($BH$3,0,0,'Données projet'!$E$11+1,1))-AVERAGE(OFFSET($H$3,0,0,'Données projet'!$E$11+1,1))</f>
        <v>507.66185230065889</v>
      </c>
      <c r="BJ117" s="62">
        <f t="shared" si="92"/>
        <v>640.14375617778342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119.25798818191679</v>
      </c>
      <c r="BQ117" s="23">
        <f>EXP(-LN(2)/25)*BQ116+(1-EXP(-LN(2)/25))/(LN(2)/25)*Calculateur!BL117*Calculateur!BN117*VLOOKUP('Données projet'!$B$11,Paramètres!$A$1:$I$89,3,0)*0.475*44/12</f>
        <v>5.7101352385167399</v>
      </c>
      <c r="BR117" s="23">
        <f>EXP(-LN(2)/2)*BR116+(1-EXP(-LN(2)/2))/(LN(2)/2)*BL117*BO117*VLOOKUP('Données projet'!$B$11,Paramètres!$A$1:$I$89,3,0)*0.475*44/12</f>
        <v>2.0968001644436807E-10</v>
      </c>
      <c r="BS117" s="24">
        <f t="shared" si="63"/>
        <v>124.96812342064321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417.04879970000007</v>
      </c>
      <c r="BZ117" s="14">
        <f>BY117*VLOOKUP('Données projet'!$B$12,Paramètres!$A$1:$I$89,3,0)*VLOOKUP('Données projet'!$B$12,Paramètres!$A$1:$I$89,5,0)</f>
        <v>195.17883825960004</v>
      </c>
      <c r="CA117" s="14">
        <f t="shared" si="93"/>
        <v>48.683122291673484</v>
      </c>
      <c r="CB117" s="22">
        <f t="shared" si="64"/>
        <v>424.72624796013469</v>
      </c>
      <c r="CC117" s="62">
        <f t="shared" si="65"/>
        <v>705.59166299484014</v>
      </c>
      <c r="CD117" s="62">
        <f ca="1">AVERAGE(OFFSET($CC$3,0,0,'Données projet'!$E$12+1,1))-AVERAGE(OFFSET($H$3,0,0,'Données projet'!$E$12+1,1))</f>
        <v>289.21044803824958</v>
      </c>
      <c r="CE117" s="62">
        <f t="shared" si="94"/>
        <v>196.11836398299445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>
        <f>EXP(-LN(2)/35)*CK116+(1-EXP(-LN(2)/35))/(LN(2)/35)*CG117*CH117*VLOOKUP('Données projet'!$B$12,Paramètres!$A$1:$I$89,3,0)*0.475*44/12</f>
        <v>52.195579661535788</v>
      </c>
      <c r="CL117" s="23">
        <f>EXP(-LN(2)/25)*CL116+(1-EXP(-LN(2)/25))/(LN(2)/25)*Calculateur!CG117*Calculateur!CI117*VLOOKUP('Données projet'!$B$12,Paramètres!$A$1:$I$89,3,0)*0.475*44/12</f>
        <v>21.745743172066501</v>
      </c>
      <c r="CM117" s="23">
        <f>EXP(-LN(2)/2)*CM116+(1-EXP(-LN(2)/2))/(LN(2)/2)*CG117*CJ117*VLOOKUP('Données projet'!$B$12,Paramètres!$A$1:$I$89,3,0)*0.475*44/12</f>
        <v>0</v>
      </c>
      <c r="CN117" s="24">
        <f t="shared" si="66"/>
        <v>73.941322833602285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-5.6843418860808015E-14</v>
      </c>
      <c r="CU117" s="18">
        <f>CT117*VLOOKUP('Données projet'!$B$13,Paramètres!$A$1:$I$89,3,0)*VLOOKUP('Données projet'!$B$13,Paramètres!$A$1:$I$89,5,0)</f>
        <v>-5.1431925385259088E-14</v>
      </c>
      <c r="CV117" s="14" t="e">
        <f t="shared" si="95"/>
        <v>#NUM!</v>
      </c>
      <c r="CW117" s="22" t="e">
        <f t="shared" si="67"/>
        <v>#NUM!</v>
      </c>
      <c r="CX117" s="62" t="e">
        <f t="shared" si="68"/>
        <v>#NUM!</v>
      </c>
      <c r="CY117" s="62">
        <f ca="1">AVERAGE(OFFSET($CX$3,0,0,'Données projet'!$E$13+1,1))-AVERAGE(OFFSET($H$3,0,0,'Données projet'!$E$13+1,1))</f>
        <v>376.68007030857598</v>
      </c>
      <c r="CZ117" s="62">
        <f t="shared" si="96"/>
        <v>532.90758914457626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>
        <f>EXP(-LN(2)/35)*DF116+(1-EXP(-LN(2)/35))/(LN(2)/35)*DB117*DC117*VLOOKUP('Données projet'!$B$13,Paramètres!$A$1:$I$89,3,0)*0.475*44/12</f>
        <v>23.873517747615729</v>
      </c>
      <c r="DG117" s="23">
        <f>EXP(-LN(2)/25)*DG116+(1-EXP(-LN(2)/25))/(LN(2)/25)*Calculateur!DB117*Calculateur!DD117*VLOOKUP('Données projet'!$B$13,Paramètres!$A$1:$I$89,3,0)*0.475*44/12</f>
        <v>1.2759065188213456</v>
      </c>
      <c r="DH117" s="23">
        <f>EXP(-LN(2)/2)*DH116+(1-EXP(-LN(2)/2))/(LN(2)/2)*DB117*DE117*VLOOKUP('Données projet'!$B$13,Paramètres!$A$1:$I$89,3,0)*0.475*44/12</f>
        <v>0</v>
      </c>
      <c r="DI117" s="24">
        <f t="shared" si="69"/>
        <v>25.149424266437073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5.6843418860808015E-14</v>
      </c>
      <c r="DP117" s="18">
        <f>DO117*VLOOKUP('Données projet'!$B$14,Paramètres!$A$1:$I$89,3,0)*VLOOKUP('Données projet'!$B$14,Paramètres!$A$1:$I$89,5,0)</f>
        <v>5.4092197387944907E-14</v>
      </c>
      <c r="DQ117" s="14">
        <f t="shared" si="97"/>
        <v>8.7287050538073676E-13</v>
      </c>
      <c r="DR117" s="22">
        <f t="shared" si="70"/>
        <v>1.6144600406554537E-12</v>
      </c>
      <c r="DS117" s="62">
        <f t="shared" si="71"/>
        <v>280.86541503470704</v>
      </c>
      <c r="DT117" s="62">
        <f ca="1">AVERAGE(OFFSET($DS$3,0,0,'Données projet'!$E$14+1,1))-AVERAGE(OFFSET($H$3,0,0,'Données projet'!$E$14+1,1))</f>
        <v>364.63161066507769</v>
      </c>
      <c r="DU117" s="62">
        <f t="shared" si="98"/>
        <v>355.44729904860708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>
        <f>EXP(-LN(2)/35)*EA116+(1-EXP(-LN(2)/35))/(LN(2)/35)*DW117*DX117*VLOOKUP('Données projet'!$B$14,Paramètres!$A$1:$I$89,3,0)*0.475*44/12</f>
        <v>67.684578539662482</v>
      </c>
      <c r="EB117" s="23">
        <f>EXP(-LN(2)/25)*EB116+(1-EXP(-LN(2)/25))/(LN(2)/25)*Calculateur!DW117*Calculateur!DY117*VLOOKUP('Données projet'!$B$14,Paramètres!$A$1:$I$89,3,0)*0.475*44/12</f>
        <v>0</v>
      </c>
      <c r="EC117" s="23">
        <f>EXP(-LN(2)/2)*EC116+(1-EXP(-LN(2)/2))/(LN(2)/2)*DW117*DZ117*VLOOKUP('Données projet'!$B$14,Paramètres!$A$1:$I$89,3,0)*0.475*44/12</f>
        <v>0</v>
      </c>
      <c r="ED117" s="24">
        <f t="shared" si="72"/>
        <v>67.684578539662482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5.6843418860808015E-14</v>
      </c>
      <c r="EK117" s="18">
        <f>EJ117*VLOOKUP('Données projet'!$B$15,Paramètres!$A$1:$I$89,3,0)*VLOOKUP('Données projet'!$B$15,Paramètres!$A$1:$I$89,5,0)</f>
        <v>4.1677594708744434E-14</v>
      </c>
      <c r="EL117" s="14">
        <f t="shared" si="99"/>
        <v>6.9326303456159188E-13</v>
      </c>
      <c r="EM117" s="22">
        <f t="shared" si="73"/>
        <v>1.2800215959791691E-12</v>
      </c>
      <c r="EN117" s="62">
        <f t="shared" si="74"/>
        <v>280.86541503470676</v>
      </c>
      <c r="EO117" s="62">
        <f ca="1">AVERAGE(OFFSET($EN$3,0,0,'Données projet'!$E$15+1,1))-AVERAGE(OFFSET($H$3,0,0,'Données projet'!$E$15+1,1))</f>
        <v>293.59366973965774</v>
      </c>
      <c r="EP117" s="62">
        <f t="shared" si="100"/>
        <v>288.13804536120426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>
        <f>EXP(-LN(2)/35)*EV116+(1-EXP(-LN(2)/35))/(LN(2)/35)*ER117*ES117*VLOOKUP('Données projet'!$B$15,Paramètres!$A$1:$I$89,3,0)*0.475*44/12</f>
        <v>52.150412973182576</v>
      </c>
      <c r="EW117" s="23">
        <f>EXP(-LN(2)/25)*EW116+(1-EXP(-LN(2)/25))/(LN(2)/25)*Calculateur!ER117*Calculateur!ET117*VLOOKUP('Données projet'!$B$15,Paramètres!$A$1:$I$89,3,0)*0.475*44/12</f>
        <v>0</v>
      </c>
      <c r="EX117" s="23">
        <f>EXP(-LN(2)/2)*EX116+(1-EXP(-LN(2)/2))/(LN(2)/2)*ER117*EU117*VLOOKUP('Données projet'!$B$15,Paramètres!$A$1:$I$89,3,0)*0.475*44/12</f>
        <v>0</v>
      </c>
      <c r="EY117" s="24">
        <f t="shared" si="75"/>
        <v>52.150412973182576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5.6843418860808015E-14</v>
      </c>
      <c r="FF117" s="18">
        <f>FE117*VLOOKUP('Données projet'!$B$16,Paramètres!$A$1:$I$89,3,0)*VLOOKUP('Données projet'!$B$16,Paramètres!$A$1:$I$89,5,0)</f>
        <v>5.4978954722173515E-14</v>
      </c>
      <c r="FG117" s="14">
        <f t="shared" si="101"/>
        <v>8.8550225887742724E-13</v>
      </c>
      <c r="FH117" s="22">
        <f t="shared" si="76"/>
        <v>1.6380047803526383E-12</v>
      </c>
      <c r="FI117" s="62">
        <f t="shared" si="77"/>
        <v>280.8654150347071</v>
      </c>
      <c r="FJ117" s="62">
        <f ca="1">AVERAGE(OFFSET($FI$3,0,0,'Données projet'!$E$16+1,1))-AVERAGE(OFFSET($H$3,0,0,'Données projet'!$E$16+1,1))</f>
        <v>369.69145521630799</v>
      </c>
      <c r="FK117" s="62">
        <f t="shared" si="102"/>
        <v>360.24112103688719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>
        <f>EXP(-LN(2)/35)*FQ116+(1-EXP(-LN(2)/35))/(LN(2)/35)*FM117*FN117*VLOOKUP('Données projet'!$B$16,Paramètres!$A$1:$I$89,3,0)*0.475*44/12</f>
        <v>68.794161794411053</v>
      </c>
      <c r="FR117" s="23">
        <f>EXP(-LN(2)/25)*FR116+(1-EXP(-LN(2)/25))/(LN(2)/25)*Calculateur!FM117*Calculateur!FO117*VLOOKUP('Données projet'!$B$16,Paramètres!$A$1:$I$89,3,0)*0.475*44/12</f>
        <v>0</v>
      </c>
      <c r="FS117" s="23">
        <f>EXP(-LN(2)/2)*FS116+(1-EXP(-LN(2)/2))/(LN(2)/2)*FM117*FP117*VLOOKUP('Données projet'!$B$16,Paramètres!$A$1:$I$89,3,0)*0.475*44/12</f>
        <v>0</v>
      </c>
      <c r="FT117" s="24">
        <f t="shared" si="78"/>
        <v>68.794161794411053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5.6843418860808015E-14</v>
      </c>
      <c r="GA117" s="18">
        <f>FZ117*VLOOKUP('Données projet'!$B$17,Paramètres!$A$1:$I$89,3,0)*VLOOKUP('Données projet'!$B$17,Paramètres!$A$1:$I$89,5,0)</f>
        <v>6.1186256061773749E-14</v>
      </c>
      <c r="GB117" s="14">
        <f t="shared" si="103"/>
        <v>9.7328366192051127E-13</v>
      </c>
      <c r="GC117" s="22">
        <f t="shared" si="79"/>
        <v>1.8017017738191463E-12</v>
      </c>
      <c r="GD117" s="62">
        <f t="shared" si="80"/>
        <v>280.86541503470727</v>
      </c>
      <c r="GE117" s="62">
        <f ca="1">AVERAGE(OFFSET($GD$3,0,0,'Données projet'!$E$17+1,1))-AVERAGE(OFFSET($H$3,0,0,'Données projet'!$E$17+1,1))</f>
        <v>405.06394904053946</v>
      </c>
      <c r="GF117" s="62">
        <f t="shared" si="104"/>
        <v>393.75247087518198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>
        <f>EXP(-LN(2)/35)*GL116+(1-EXP(-LN(2)/35))/(LN(2)/35)*GH117*GI117*VLOOKUP('Données projet'!$B$17,Paramètres!$A$1:$I$89,3,0)*0.475*44/12</f>
        <v>76.56124457765101</v>
      </c>
      <c r="GM117" s="23">
        <f>EXP(-LN(2)/25)*GM116+(1-EXP(-LN(2)/25))/(LN(2)/25)*Calculateur!GH117*Calculateur!GJ117*VLOOKUP('Données projet'!$B$17,Paramètres!$A$1:$I$89,3,0)*0.475*44/12</f>
        <v>0</v>
      </c>
      <c r="GN117" s="23">
        <f>EXP(-LN(2)/2)*GN116+(1-EXP(-LN(2)/2))/(LN(2)/2)*GH117*GK117*VLOOKUP('Données projet'!$B$17,Paramètres!$A$1:$I$89,3,0)*0.475*44/12</f>
        <v>0</v>
      </c>
      <c r="GO117" s="23">
        <f t="shared" si="81"/>
        <v>76.56124457765101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5.6843418860808015E-14</v>
      </c>
      <c r="GV117" s="18">
        <f>GU117*VLOOKUP('Données projet'!$B$18,Paramètres!$A$1:$I$89,3,0)*VLOOKUP('Données projet'!$B$18,Paramètres!$A$1:$I$89,5,0)</f>
        <v>3.813056537183002E-14</v>
      </c>
      <c r="GW117" s="14">
        <f t="shared" si="105"/>
        <v>6.4086286045526829E-13</v>
      </c>
      <c r="GX117" s="22">
        <f t="shared" si="82"/>
        <v>1.1825802166488628E-12</v>
      </c>
      <c r="GY117" s="62">
        <f t="shared" si="83"/>
        <v>280.86541503470664</v>
      </c>
      <c r="GZ117" s="62">
        <f ca="1">AVERAGE(OFFSET($GY$3,0,0,'Données projet'!$E$18+1,1))-AVERAGE(OFFSET($H$3,0,0,'Données projet'!$E$18+1,1))</f>
        <v>273.21861937609918</v>
      </c>
      <c r="HA117" s="62">
        <f t="shared" si="106"/>
        <v>268.83004886965318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>
        <f>EXP(-LN(2)/35)*HG116+(1-EXP(-LN(2)/35))/(LN(2)/35)*HC117*HD117*VLOOKUP('Données projet'!$B$18,Paramètres!$A$1:$I$89,3,0)*0.475*44/12</f>
        <v>58.807912501673975</v>
      </c>
      <c r="HH117" s="23">
        <f>EXP(-LN(2)/25)*HH116+(1-EXP(-LN(2)/25))/(LN(2)/25)*Calculateur!HC117*Calculateur!HE117*VLOOKUP('Données projet'!$B$18,Paramètres!$A$1:$I$89,3,0)*0.475*44/12</f>
        <v>0</v>
      </c>
      <c r="HI117" s="23">
        <f>EXP(-LN(2)/2)*HI116+(1-EXP(-LN(2)/2))/(LN(2)/2)*HC117*HF117*VLOOKUP('Données projet'!$B$18,Paramètres!$A$1:$I$89,3,0)*0.475*44/12</f>
        <v>0</v>
      </c>
      <c r="HJ117" s="24">
        <f t="shared" si="84"/>
        <v>58.807912501673975</v>
      </c>
    </row>
    <row r="118" spans="1:218" s="5" customFormat="1" x14ac:dyDescent="0.4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5.6</v>
      </c>
      <c r="N118" s="14">
        <f>IF('Données projet'!$A$36&gt;35,N117+M118-V117,IF(A118&lt;'Données projet'!$A$36,$K$205^A118,IF(A118='Données projet'!$A$36,'Données projet'!$B$36,N117+M118-V117)))</f>
        <v>264.19999999999982</v>
      </c>
      <c r="O118" s="14">
        <f>N118*VLOOKUP('Données projet'!$B$9,Paramètres!$A$1:$I$89,3,0)*VLOOKUP('Données projet'!$B$9,Paramètres!$A$1:$I$89,5,0)</f>
        <v>239.04815999999983</v>
      </c>
      <c r="P118" s="14">
        <f t="shared" si="87"/>
        <v>58.234690128947292</v>
      </c>
      <c r="Q118" s="22">
        <f t="shared" si="107"/>
        <v>517.76763064124964</v>
      </c>
      <c r="R118" s="62">
        <f t="shared" si="55"/>
        <v>798.84933618434684</v>
      </c>
      <c r="S118" s="62">
        <f ca="1">AVERAGE(OFFSET($R$3,0,0,'Données projet'!$E$9+1,1))-AVERAGE(OFFSET($H$3,0,0,'Données projet'!$E$9+1,1))</f>
        <v>432.80275651765203</v>
      </c>
      <c r="T118" s="62">
        <f t="shared" si="88"/>
        <v>203.89279893419919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22.867641960995936</v>
      </c>
      <c r="AA118" s="23">
        <f>EXP(-LN(2)/25)*AA117+(1-EXP(-LN(2)/25))/(LN(2)/25)*Calculateur!V118*Calculateur!X118*VLOOKUP('Données projet'!$B$9,Paramètres!$A$1:$I$89,3,0)*0.475*44/12</f>
        <v>15.386863115959006</v>
      </c>
      <c r="AB118" s="23">
        <f>EXP(-LN(2)/2)*AB117+(1-EXP(-LN(2)/2))/(LN(2)/2)*V118*Y118*VLOOKUP('Données projet'!$B$9,Paramètres!$A$1:$I$89,3,0)*0.475*44/12</f>
        <v>0</v>
      </c>
      <c r="AC118" s="24">
        <f t="shared" si="57"/>
        <v>38.254505076954942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54.000000000000341</v>
      </c>
      <c r="AJ118" s="14">
        <f>AI118*VLOOKUP('Données projet'!$B$10,Paramètres!$A$1:$I$89,3,0)*VLOOKUP('Données projet'!$B$10,Paramètres!$A$1:$I$89,5,0)</f>
        <v>23.868000000000151</v>
      </c>
      <c r="AK118" s="14">
        <f t="shared" si="89"/>
        <v>7.6030930962115804</v>
      </c>
      <c r="AL118" s="22">
        <f t="shared" si="58"/>
        <v>54.812153809235433</v>
      </c>
      <c r="AM118" s="62">
        <f t="shared" si="59"/>
        <v>335.8938593523327</v>
      </c>
      <c r="AN118" s="62">
        <f ca="1">AVERAGE(OFFSET($AM$3,0,0,'Données projet'!$E$10+1,1))-AVERAGE(OFFSET($H$3,0,0,'Données projet'!$E$10+1,1))</f>
        <v>413.08876898406481</v>
      </c>
      <c r="AO118" s="62">
        <f t="shared" si="90"/>
        <v>520.31320932826566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92.447906983982151</v>
      </c>
      <c r="AV118" s="23">
        <f>EXP(-LN(2)/25)*AV117+(1-EXP(-LN(2)/25))/(LN(2)/25)*Calculateur!AQ118*Calculateur!AS118*VLOOKUP('Données projet'!$B$10,Paramètres!$A$1:$I$89,3,0)*0.475*44/12</f>
        <v>4.391527996852143</v>
      </c>
      <c r="AW118" s="23">
        <f>EXP(-LN(2)/2)*AW117+(1-EXP(-LN(2)/2))/(LN(2)/2)*AQ118*AT118*VLOOKUP('Données projet'!$B$10,Paramètres!$A$1:$I$89,3,0)*0.475*44/12</f>
        <v>1.1723370909865251E-10</v>
      </c>
      <c r="AX118" s="23">
        <f t="shared" si="60"/>
        <v>96.839434980951538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54.000000000000341</v>
      </c>
      <c r="BE118" s="14">
        <f>BD118*VLOOKUP('Données projet'!$B$11,Paramètres!$A$1:$I$89,3,0)*VLOOKUP('Données projet'!$B$11,Paramètres!$A$1:$I$89,5,0)</f>
        <v>30.186000000000188</v>
      </c>
      <c r="BF118" s="14">
        <f t="shared" si="91"/>
        <v>9.3563888882899153</v>
      </c>
      <c r="BG118" s="22">
        <f t="shared" si="61"/>
        <v>68.869660647105263</v>
      </c>
      <c r="BH118" s="62">
        <f t="shared" si="62"/>
        <v>349.95136619020252</v>
      </c>
      <c r="BI118" s="62">
        <f ca="1">AVERAGE(OFFSET($BH$3,0,0,'Données projet'!$E$11+1,1))-AVERAGE(OFFSET($H$3,0,0,'Données projet'!$E$11+1,1))</f>
        <v>507.66185230065889</v>
      </c>
      <c r="BJ118" s="62">
        <f t="shared" si="92"/>
        <v>640.14375617778342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116.91941177385969</v>
      </c>
      <c r="BQ118" s="23">
        <f>EXP(-LN(2)/25)*BQ117+(1-EXP(-LN(2)/25))/(LN(2)/25)*Calculateur!BL118*Calculateur!BN118*VLOOKUP('Données projet'!$B$11,Paramètres!$A$1:$I$89,3,0)*0.475*44/12</f>
        <v>5.5539912901365378</v>
      </c>
      <c r="BR118" s="23">
        <f>EXP(-LN(2)/2)*BR117+(1-EXP(-LN(2)/2))/(LN(2)/2)*BL118*BO118*VLOOKUP('Données projet'!$B$11,Paramètres!$A$1:$I$89,3,0)*0.475*44/12</f>
        <v>1.4826616150711946E-10</v>
      </c>
      <c r="BS118" s="24">
        <f t="shared" si="63"/>
        <v>122.47340306414449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417.04879970000007</v>
      </c>
      <c r="BZ118" s="14">
        <f>BY118*VLOOKUP('Données projet'!$B$12,Paramètres!$A$1:$I$89,3,0)*VLOOKUP('Données projet'!$B$12,Paramètres!$A$1:$I$89,5,0)</f>
        <v>195.17883825960004</v>
      </c>
      <c r="CA118" s="14">
        <f t="shared" si="93"/>
        <v>48.683122291673484</v>
      </c>
      <c r="CB118" s="22">
        <f t="shared" si="64"/>
        <v>424.72624796013469</v>
      </c>
      <c r="CC118" s="62">
        <f t="shared" si="65"/>
        <v>705.80795350323194</v>
      </c>
      <c r="CD118" s="62">
        <f ca="1">AVERAGE(OFFSET($CC$3,0,0,'Données projet'!$E$12+1,1))-AVERAGE(OFFSET($H$3,0,0,'Données projet'!$E$12+1,1))</f>
        <v>289.21044803824958</v>
      </c>
      <c r="CE118" s="62">
        <f t="shared" si="94"/>
        <v>196.11836398299445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>
        <f>EXP(-LN(2)/35)*CK117+(1-EXP(-LN(2)/35))/(LN(2)/35)*CG118*CH118*VLOOKUP('Données projet'!$B$12,Paramètres!$A$1:$I$89,3,0)*0.475*44/12</f>
        <v>51.172056180533104</v>
      </c>
      <c r="CL118" s="23">
        <f>EXP(-LN(2)/25)*CL117+(1-EXP(-LN(2)/25))/(LN(2)/25)*Calculateur!CG118*Calculateur!CI118*VLOOKUP('Données projet'!$B$12,Paramètres!$A$1:$I$89,3,0)*0.475*44/12</f>
        <v>21.151104681467409</v>
      </c>
      <c r="CM118" s="23">
        <f>EXP(-LN(2)/2)*CM117+(1-EXP(-LN(2)/2))/(LN(2)/2)*CG118*CJ118*VLOOKUP('Données projet'!$B$12,Paramètres!$A$1:$I$89,3,0)*0.475*44/12</f>
        <v>0</v>
      </c>
      <c r="CN118" s="24">
        <f t="shared" si="66"/>
        <v>72.32316086200052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-5.6843418860808015E-14</v>
      </c>
      <c r="CU118" s="18">
        <f>CT118*VLOOKUP('Données projet'!$B$13,Paramètres!$A$1:$I$89,3,0)*VLOOKUP('Données projet'!$B$13,Paramètres!$A$1:$I$89,5,0)</f>
        <v>-5.1431925385259088E-14</v>
      </c>
      <c r="CV118" s="14" t="e">
        <f t="shared" si="95"/>
        <v>#NUM!</v>
      </c>
      <c r="CW118" s="22" t="e">
        <f t="shared" si="67"/>
        <v>#NUM!</v>
      </c>
      <c r="CX118" s="62" t="e">
        <f t="shared" si="68"/>
        <v>#NUM!</v>
      </c>
      <c r="CY118" s="62">
        <f ca="1">AVERAGE(OFFSET($CX$3,0,0,'Données projet'!$E$13+1,1))-AVERAGE(OFFSET($H$3,0,0,'Données projet'!$E$13+1,1))</f>
        <v>376.68007030857598</v>
      </c>
      <c r="CZ118" s="62">
        <f t="shared" si="96"/>
        <v>532.90758914457626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>
        <f>EXP(-LN(2)/35)*DF117+(1-EXP(-LN(2)/35))/(LN(2)/35)*DB118*DC118*VLOOKUP('Données projet'!$B$13,Paramètres!$A$1:$I$89,3,0)*0.475*44/12</f>
        <v>23.405372625992992</v>
      </c>
      <c r="DG118" s="23">
        <f>EXP(-LN(2)/25)*DG117+(1-EXP(-LN(2)/25))/(LN(2)/25)*Calculateur!DB118*Calculateur!DD118*VLOOKUP('Données projet'!$B$13,Paramètres!$A$1:$I$89,3,0)*0.475*44/12</f>
        <v>1.2410167879671683</v>
      </c>
      <c r="DH118" s="23">
        <f>EXP(-LN(2)/2)*DH117+(1-EXP(-LN(2)/2))/(LN(2)/2)*DB118*DE118*VLOOKUP('Données projet'!$B$13,Paramètres!$A$1:$I$89,3,0)*0.475*44/12</f>
        <v>0</v>
      </c>
      <c r="DI118" s="24">
        <f t="shared" si="69"/>
        <v>24.646389413960161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5.6843418860808015E-14</v>
      </c>
      <c r="DP118" s="18">
        <f>DO118*VLOOKUP('Données projet'!$B$14,Paramètres!$A$1:$I$89,3,0)*VLOOKUP('Données projet'!$B$14,Paramètres!$A$1:$I$89,5,0)</f>
        <v>5.4092197387944907E-14</v>
      </c>
      <c r="DQ118" s="14">
        <f t="shared" si="97"/>
        <v>8.7287050538073676E-13</v>
      </c>
      <c r="DR118" s="22">
        <f t="shared" si="70"/>
        <v>1.6144600406554537E-12</v>
      </c>
      <c r="DS118" s="62">
        <f t="shared" si="71"/>
        <v>281.08170554309885</v>
      </c>
      <c r="DT118" s="62">
        <f ca="1">AVERAGE(OFFSET($DS$3,0,0,'Données projet'!$E$14+1,1))-AVERAGE(OFFSET($H$3,0,0,'Données projet'!$E$14+1,1))</f>
        <v>364.63161066507769</v>
      </c>
      <c r="DU118" s="62">
        <f t="shared" si="98"/>
        <v>355.44729904860708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>
        <f>EXP(-LN(2)/35)*EA117+(1-EXP(-LN(2)/35))/(LN(2)/35)*DW118*DX118*VLOOKUP('Données projet'!$B$14,Paramètres!$A$1:$I$89,3,0)*0.475*44/12</f>
        <v>66.357325238016202</v>
      </c>
      <c r="EB118" s="23">
        <f>EXP(-LN(2)/25)*EB117+(1-EXP(-LN(2)/25))/(LN(2)/25)*Calculateur!DW118*Calculateur!DY118*VLOOKUP('Données projet'!$B$14,Paramètres!$A$1:$I$89,3,0)*0.475*44/12</f>
        <v>0</v>
      </c>
      <c r="EC118" s="23">
        <f>EXP(-LN(2)/2)*EC117+(1-EXP(-LN(2)/2))/(LN(2)/2)*DW118*DZ118*VLOOKUP('Données projet'!$B$14,Paramètres!$A$1:$I$89,3,0)*0.475*44/12</f>
        <v>0</v>
      </c>
      <c r="ED118" s="24">
        <f t="shared" si="72"/>
        <v>66.357325238016202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5.6843418860808015E-14</v>
      </c>
      <c r="EK118" s="18">
        <f>EJ118*VLOOKUP('Données projet'!$B$15,Paramètres!$A$1:$I$89,3,0)*VLOOKUP('Données projet'!$B$15,Paramètres!$A$1:$I$89,5,0)</f>
        <v>4.1677594708744434E-14</v>
      </c>
      <c r="EL118" s="14">
        <f t="shared" si="99"/>
        <v>6.9326303456159188E-13</v>
      </c>
      <c r="EM118" s="22">
        <f t="shared" si="73"/>
        <v>1.2800215959791691E-12</v>
      </c>
      <c r="EN118" s="62">
        <f t="shared" si="74"/>
        <v>281.08170554309856</v>
      </c>
      <c r="EO118" s="62">
        <f ca="1">AVERAGE(OFFSET($EN$3,0,0,'Données projet'!$E$15+1,1))-AVERAGE(OFFSET($H$3,0,0,'Données projet'!$E$15+1,1))</f>
        <v>293.59366973965774</v>
      </c>
      <c r="EP118" s="62">
        <f t="shared" si="100"/>
        <v>288.13804536120426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>
        <f>EXP(-LN(2)/35)*EV117+(1-EXP(-LN(2)/35))/(LN(2)/35)*ER118*ES118*VLOOKUP('Données projet'!$B$15,Paramètres!$A$1:$I$89,3,0)*0.475*44/12</f>
        <v>51.127775183389538</v>
      </c>
      <c r="EW118" s="23">
        <f>EXP(-LN(2)/25)*EW117+(1-EXP(-LN(2)/25))/(LN(2)/25)*Calculateur!ER118*Calculateur!ET118*VLOOKUP('Données projet'!$B$15,Paramètres!$A$1:$I$89,3,0)*0.475*44/12</f>
        <v>0</v>
      </c>
      <c r="EX118" s="23">
        <f>EXP(-LN(2)/2)*EX117+(1-EXP(-LN(2)/2))/(LN(2)/2)*ER118*EU118*VLOOKUP('Données projet'!$B$15,Paramètres!$A$1:$I$89,3,0)*0.475*44/12</f>
        <v>0</v>
      </c>
      <c r="EY118" s="24">
        <f t="shared" si="75"/>
        <v>51.127775183389538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5.6843418860808015E-14</v>
      </c>
      <c r="FF118" s="18">
        <f>FE118*VLOOKUP('Données projet'!$B$16,Paramètres!$A$1:$I$89,3,0)*VLOOKUP('Données projet'!$B$16,Paramètres!$A$1:$I$89,5,0)</f>
        <v>5.4978954722173515E-14</v>
      </c>
      <c r="FG118" s="14">
        <f t="shared" si="101"/>
        <v>8.8550225887742724E-13</v>
      </c>
      <c r="FH118" s="22">
        <f t="shared" si="76"/>
        <v>1.6380047803526383E-12</v>
      </c>
      <c r="FI118" s="62">
        <f t="shared" si="77"/>
        <v>281.08170554309891</v>
      </c>
      <c r="FJ118" s="62">
        <f ca="1">AVERAGE(OFFSET($FI$3,0,0,'Données projet'!$E$16+1,1))-AVERAGE(OFFSET($H$3,0,0,'Données projet'!$E$16+1,1))</f>
        <v>369.69145521630799</v>
      </c>
      <c r="FK118" s="62">
        <f t="shared" si="102"/>
        <v>360.24112103688719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>
        <f>EXP(-LN(2)/35)*FQ117+(1-EXP(-LN(2)/35))/(LN(2)/35)*FM118*FN118*VLOOKUP('Données projet'!$B$16,Paramètres!$A$1:$I$89,3,0)*0.475*44/12</f>
        <v>67.445150241918114</v>
      </c>
      <c r="FR118" s="23">
        <f>EXP(-LN(2)/25)*FR117+(1-EXP(-LN(2)/25))/(LN(2)/25)*Calculateur!FM118*Calculateur!FO118*VLOOKUP('Données projet'!$B$16,Paramètres!$A$1:$I$89,3,0)*0.475*44/12</f>
        <v>0</v>
      </c>
      <c r="FS118" s="23">
        <f>EXP(-LN(2)/2)*FS117+(1-EXP(-LN(2)/2))/(LN(2)/2)*FM118*FP118*VLOOKUP('Données projet'!$B$16,Paramètres!$A$1:$I$89,3,0)*0.475*44/12</f>
        <v>0</v>
      </c>
      <c r="FT118" s="24">
        <f t="shared" si="78"/>
        <v>67.445150241918114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5.6843418860808015E-14</v>
      </c>
      <c r="GA118" s="18">
        <f>FZ118*VLOOKUP('Données projet'!$B$17,Paramètres!$A$1:$I$89,3,0)*VLOOKUP('Données projet'!$B$17,Paramètres!$A$1:$I$89,5,0)</f>
        <v>6.1186256061773749E-14</v>
      </c>
      <c r="GB118" s="14">
        <f t="shared" si="103"/>
        <v>9.7328366192051127E-13</v>
      </c>
      <c r="GC118" s="22">
        <f t="shared" si="79"/>
        <v>1.8017017738191463E-12</v>
      </c>
      <c r="GD118" s="62">
        <f t="shared" si="80"/>
        <v>281.08170554309908</v>
      </c>
      <c r="GE118" s="62">
        <f ca="1">AVERAGE(OFFSET($GD$3,0,0,'Données projet'!$E$17+1,1))-AVERAGE(OFFSET($H$3,0,0,'Données projet'!$E$17+1,1))</f>
        <v>405.06394904053946</v>
      </c>
      <c r="GF118" s="62">
        <f t="shared" si="104"/>
        <v>393.75247087518198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>
        <f>EXP(-LN(2)/35)*GL117+(1-EXP(-LN(2)/35))/(LN(2)/35)*GH118*GI118*VLOOKUP('Données projet'!$B$17,Paramètres!$A$1:$I$89,3,0)*0.475*44/12</f>
        <v>75.059925269231442</v>
      </c>
      <c r="GM118" s="23">
        <f>EXP(-LN(2)/25)*GM117+(1-EXP(-LN(2)/25))/(LN(2)/25)*Calculateur!GH118*Calculateur!GJ118*VLOOKUP('Données projet'!$B$17,Paramètres!$A$1:$I$89,3,0)*0.475*44/12</f>
        <v>0</v>
      </c>
      <c r="GN118" s="23">
        <f>EXP(-LN(2)/2)*GN117+(1-EXP(-LN(2)/2))/(LN(2)/2)*GH118*GK118*VLOOKUP('Données projet'!$B$17,Paramètres!$A$1:$I$89,3,0)*0.475*44/12</f>
        <v>0</v>
      </c>
      <c r="GO118" s="23">
        <f t="shared" si="81"/>
        <v>75.059925269231442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5.6843418860808015E-14</v>
      </c>
      <c r="GV118" s="18">
        <f>GU118*VLOOKUP('Données projet'!$B$18,Paramètres!$A$1:$I$89,3,0)*VLOOKUP('Données projet'!$B$18,Paramètres!$A$1:$I$89,5,0)</f>
        <v>3.813056537183002E-14</v>
      </c>
      <c r="GW118" s="14">
        <f t="shared" si="105"/>
        <v>6.4086286045526829E-13</v>
      </c>
      <c r="GX118" s="22">
        <f t="shared" si="82"/>
        <v>1.1825802166488628E-12</v>
      </c>
      <c r="GY118" s="62">
        <f t="shared" si="83"/>
        <v>281.08170554309845</v>
      </c>
      <c r="GZ118" s="62">
        <f ca="1">AVERAGE(OFFSET($GY$3,0,0,'Données projet'!$E$18+1,1))-AVERAGE(OFFSET($H$3,0,0,'Données projet'!$E$18+1,1))</f>
        <v>273.21861937609918</v>
      </c>
      <c r="HA118" s="62">
        <f t="shared" si="106"/>
        <v>268.83004886965318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>
        <f>EXP(-LN(2)/35)*HG117+(1-EXP(-LN(2)/35))/(LN(2)/35)*HC118*HD118*VLOOKUP('Données projet'!$B$18,Paramètres!$A$1:$I$89,3,0)*0.475*44/12</f>
        <v>57.654725206800975</v>
      </c>
      <c r="HH118" s="23">
        <f>EXP(-LN(2)/25)*HH117+(1-EXP(-LN(2)/25))/(LN(2)/25)*Calculateur!HC118*Calculateur!HE118*VLOOKUP('Données projet'!$B$18,Paramètres!$A$1:$I$89,3,0)*0.475*44/12</f>
        <v>0</v>
      </c>
      <c r="HI118" s="23">
        <f>EXP(-LN(2)/2)*HI117+(1-EXP(-LN(2)/2))/(LN(2)/2)*HC118*HF118*VLOOKUP('Données projet'!$B$18,Paramètres!$A$1:$I$89,3,0)*0.475*44/12</f>
        <v>0</v>
      </c>
      <c r="HJ118" s="24">
        <f t="shared" si="84"/>
        <v>57.654725206800975</v>
      </c>
    </row>
    <row r="119" spans="1:218" s="5" customFormat="1" x14ac:dyDescent="0.4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5.6</v>
      </c>
      <c r="N119" s="14">
        <f>IF('Données projet'!$A$36&gt;35,N118+M119-V118,IF(A119&lt;'Données projet'!$A$36,$K$205^A119,IF(A119='Données projet'!$A$36,'Données projet'!$B$36,N118+M119-V118)))</f>
        <v>269.79999999999984</v>
      </c>
      <c r="O119" s="14">
        <f>N119*VLOOKUP('Données projet'!$B$9,Paramètres!$A$1:$I$89,3,0)*VLOOKUP('Données projet'!$B$9,Paramètres!$A$1:$I$89,5,0)</f>
        <v>244.11503999999985</v>
      </c>
      <c r="P119" s="14">
        <f t="shared" si="87"/>
        <v>59.324023461759012</v>
      </c>
      <c r="Q119" s="22">
        <f t="shared" si="107"/>
        <v>528.48970219589671</v>
      </c>
      <c r="R119" s="62">
        <f t="shared" si="55"/>
        <v>809.7839460906182</v>
      </c>
      <c r="S119" s="62">
        <f ca="1">AVERAGE(OFFSET($R$3,0,0,'Données projet'!$E$9+1,1))-AVERAGE(OFFSET($H$3,0,0,'Données projet'!$E$9+1,1))</f>
        <v>432.80275651765203</v>
      </c>
      <c r="T119" s="62">
        <f t="shared" si="88"/>
        <v>203.89279893419919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22.419221450025162</v>
      </c>
      <c r="AA119" s="23">
        <f>EXP(-LN(2)/25)*AA118+(1-EXP(-LN(2)/25))/(LN(2)/25)*Calculateur!V119*Calculateur!X119*VLOOKUP('Données projet'!$B$9,Paramètres!$A$1:$I$89,3,0)*0.475*44/12</f>
        <v>14.966108534893143</v>
      </c>
      <c r="AB119" s="23">
        <f>EXP(-LN(2)/2)*AB118+(1-EXP(-LN(2)/2))/(LN(2)/2)*V119*Y119*VLOOKUP('Données projet'!$B$9,Paramètres!$A$1:$I$89,3,0)*0.475*44/12</f>
        <v>0</v>
      </c>
      <c r="AC119" s="24">
        <f t="shared" si="57"/>
        <v>37.385329984918307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54.000000000000341</v>
      </c>
      <c r="AJ119" s="14">
        <f>AI119*VLOOKUP('Données projet'!$B$10,Paramètres!$A$1:$I$89,3,0)*VLOOKUP('Données projet'!$B$10,Paramètres!$A$1:$I$89,5,0)</f>
        <v>23.868000000000151</v>
      </c>
      <c r="AK119" s="14">
        <f t="shared" si="89"/>
        <v>7.6030930962115804</v>
      </c>
      <c r="AL119" s="22">
        <f t="shared" si="58"/>
        <v>54.812153809235433</v>
      </c>
      <c r="AM119" s="62">
        <f t="shared" si="59"/>
        <v>336.10639770395693</v>
      </c>
      <c r="AN119" s="62">
        <f ca="1">AVERAGE(OFFSET($AM$3,0,0,'Données projet'!$E$10+1,1))-AVERAGE(OFFSET($H$3,0,0,'Données projet'!$E$10+1,1))</f>
        <v>413.08876898406481</v>
      </c>
      <c r="AO119" s="62">
        <f t="shared" si="90"/>
        <v>520.31320932826566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90.635059915681708</v>
      </c>
      <c r="AV119" s="23">
        <f>EXP(-LN(2)/25)*AV118+(1-EXP(-LN(2)/25))/(LN(2)/25)*Calculateur!AQ119*Calculateur!AS119*VLOOKUP('Données projet'!$B$10,Paramètres!$A$1:$I$89,3,0)*0.475*44/12</f>
        <v>4.2714414328378005</v>
      </c>
      <c r="AW119" s="23">
        <f>EXP(-LN(2)/2)*AW118+(1-EXP(-LN(2)/2))/(LN(2)/2)*AQ119*AT119*VLOOKUP('Données projet'!$B$10,Paramètres!$A$1:$I$89,3,0)*0.475*44/12</f>
        <v>8.2896750687308252E-11</v>
      </c>
      <c r="AX119" s="23">
        <f t="shared" si="60"/>
        <v>94.906501348602404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54.000000000000341</v>
      </c>
      <c r="BE119" s="14">
        <f>BD119*VLOOKUP('Données projet'!$B$11,Paramètres!$A$1:$I$89,3,0)*VLOOKUP('Données projet'!$B$11,Paramètres!$A$1:$I$89,5,0)</f>
        <v>30.186000000000188</v>
      </c>
      <c r="BF119" s="14">
        <f t="shared" si="91"/>
        <v>9.3563888882899153</v>
      </c>
      <c r="BG119" s="22">
        <f t="shared" si="61"/>
        <v>68.869660647105263</v>
      </c>
      <c r="BH119" s="62">
        <f t="shared" si="62"/>
        <v>350.16390454182675</v>
      </c>
      <c r="BI119" s="62">
        <f ca="1">AVERAGE(OFFSET($BH$3,0,0,'Données projet'!$E$11+1,1))-AVERAGE(OFFSET($H$3,0,0,'Données projet'!$E$11+1,1))</f>
        <v>507.66185230065889</v>
      </c>
      <c r="BJ119" s="62">
        <f t="shared" si="92"/>
        <v>640.14375617778342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114.62669342277384</v>
      </c>
      <c r="BQ119" s="23">
        <f>EXP(-LN(2)/25)*BQ118+(1-EXP(-LN(2)/25))/(LN(2)/25)*Calculateur!BL119*Calculateur!BN119*VLOOKUP('Données projet'!$B$11,Paramètres!$A$1:$I$89,3,0)*0.475*44/12</f>
        <v>5.4021171062360462</v>
      </c>
      <c r="BR119" s="23">
        <f>EXP(-LN(2)/2)*BR118+(1-EXP(-LN(2)/2))/(LN(2)/2)*BL119*BO119*VLOOKUP('Données projet'!$B$11,Paramètres!$A$1:$I$89,3,0)*0.475*44/12</f>
        <v>1.0484000822218404E-10</v>
      </c>
      <c r="BS119" s="24">
        <f t="shared" si="63"/>
        <v>120.02881052911472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417.04879970000007</v>
      </c>
      <c r="BZ119" s="14">
        <f>BY119*VLOOKUP('Données projet'!$B$12,Paramètres!$A$1:$I$89,3,0)*VLOOKUP('Données projet'!$B$12,Paramètres!$A$1:$I$89,5,0)</f>
        <v>195.17883825960004</v>
      </c>
      <c r="CA119" s="14">
        <f t="shared" si="93"/>
        <v>48.683122291673484</v>
      </c>
      <c r="CB119" s="22">
        <f t="shared" si="64"/>
        <v>424.72624796013469</v>
      </c>
      <c r="CC119" s="62">
        <f t="shared" si="65"/>
        <v>706.02049185485612</v>
      </c>
      <c r="CD119" s="62">
        <f ca="1">AVERAGE(OFFSET($CC$3,0,0,'Données projet'!$E$12+1,1))-AVERAGE(OFFSET($H$3,0,0,'Données projet'!$E$12+1,1))</f>
        <v>289.21044803824958</v>
      </c>
      <c r="CE119" s="62">
        <f t="shared" si="94"/>
        <v>196.11836398299445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>
        <f>EXP(-LN(2)/35)*CK118+(1-EXP(-LN(2)/35))/(LN(2)/35)*CG119*CH119*VLOOKUP('Données projet'!$B$12,Paramètres!$A$1:$I$89,3,0)*0.475*44/12</f>
        <v>50.168603370705206</v>
      </c>
      <c r="CL119" s="23">
        <f>EXP(-LN(2)/25)*CL118+(1-EXP(-LN(2)/25))/(LN(2)/25)*Calculateur!CG119*Calculateur!CI119*VLOOKUP('Données projet'!$B$12,Paramètres!$A$1:$I$89,3,0)*0.475*44/12</f>
        <v>20.572726611664429</v>
      </c>
      <c r="CM119" s="23">
        <f>EXP(-LN(2)/2)*CM118+(1-EXP(-LN(2)/2))/(LN(2)/2)*CG119*CJ119*VLOOKUP('Données projet'!$B$12,Paramètres!$A$1:$I$89,3,0)*0.475*44/12</f>
        <v>0</v>
      </c>
      <c r="CN119" s="24">
        <f t="shared" si="66"/>
        <v>70.741329982369635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-5.6843418860808015E-14</v>
      </c>
      <c r="CU119" s="18">
        <f>CT119*VLOOKUP('Données projet'!$B$13,Paramètres!$A$1:$I$89,3,0)*VLOOKUP('Données projet'!$B$13,Paramètres!$A$1:$I$89,5,0)</f>
        <v>-5.1431925385259088E-14</v>
      </c>
      <c r="CV119" s="14" t="e">
        <f t="shared" si="95"/>
        <v>#NUM!</v>
      </c>
      <c r="CW119" s="22" t="e">
        <f t="shared" si="67"/>
        <v>#NUM!</v>
      </c>
      <c r="CX119" s="62" t="e">
        <f t="shared" si="68"/>
        <v>#NUM!</v>
      </c>
      <c r="CY119" s="62">
        <f ca="1">AVERAGE(OFFSET($CX$3,0,0,'Données projet'!$E$13+1,1))-AVERAGE(OFFSET($H$3,0,0,'Données projet'!$E$13+1,1))</f>
        <v>376.68007030857598</v>
      </c>
      <c r="CZ119" s="62">
        <f t="shared" si="96"/>
        <v>532.90758914457626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>
        <f>EXP(-LN(2)/35)*DF118+(1-EXP(-LN(2)/35))/(LN(2)/35)*DB119*DC119*VLOOKUP('Données projet'!$B$13,Paramètres!$A$1:$I$89,3,0)*0.475*44/12</f>
        <v>22.946407544664947</v>
      </c>
      <c r="DG119" s="23">
        <f>EXP(-LN(2)/25)*DG118+(1-EXP(-LN(2)/25))/(LN(2)/25)*Calculateur!DB119*Calculateur!DD119*VLOOKUP('Données projet'!$B$13,Paramètres!$A$1:$I$89,3,0)*0.475*44/12</f>
        <v>1.2070811186379695</v>
      </c>
      <c r="DH119" s="23">
        <f>EXP(-LN(2)/2)*DH118+(1-EXP(-LN(2)/2))/(LN(2)/2)*DB119*DE119*VLOOKUP('Données projet'!$B$13,Paramètres!$A$1:$I$89,3,0)*0.475*44/12</f>
        <v>0</v>
      </c>
      <c r="DI119" s="24">
        <f t="shared" si="69"/>
        <v>24.153488663302916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5.6843418860808015E-14</v>
      </c>
      <c r="DP119" s="18">
        <f>DO119*VLOOKUP('Données projet'!$B$14,Paramètres!$A$1:$I$89,3,0)*VLOOKUP('Données projet'!$B$14,Paramètres!$A$1:$I$89,5,0)</f>
        <v>5.4092197387944907E-14</v>
      </c>
      <c r="DQ119" s="14">
        <f t="shared" si="97"/>
        <v>8.7287050538073676E-13</v>
      </c>
      <c r="DR119" s="22">
        <f t="shared" si="70"/>
        <v>1.6144600406554537E-12</v>
      </c>
      <c r="DS119" s="62">
        <f t="shared" si="71"/>
        <v>281.29424389472308</v>
      </c>
      <c r="DT119" s="62">
        <f ca="1">AVERAGE(OFFSET($DS$3,0,0,'Données projet'!$E$14+1,1))-AVERAGE(OFFSET($H$3,0,0,'Données projet'!$E$14+1,1))</f>
        <v>364.63161066507769</v>
      </c>
      <c r="DU119" s="62">
        <f t="shared" si="98"/>
        <v>355.44729904860708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>
        <f>EXP(-LN(2)/35)*EA118+(1-EXP(-LN(2)/35))/(LN(2)/35)*DW119*DX119*VLOOKUP('Données projet'!$B$14,Paramètres!$A$1:$I$89,3,0)*0.475*44/12</f>
        <v>65.056098564070624</v>
      </c>
      <c r="EB119" s="23">
        <f>EXP(-LN(2)/25)*EB118+(1-EXP(-LN(2)/25))/(LN(2)/25)*Calculateur!DW119*Calculateur!DY119*VLOOKUP('Données projet'!$B$14,Paramètres!$A$1:$I$89,3,0)*0.475*44/12</f>
        <v>0</v>
      </c>
      <c r="EC119" s="23">
        <f>EXP(-LN(2)/2)*EC118+(1-EXP(-LN(2)/2))/(LN(2)/2)*DW119*DZ119*VLOOKUP('Données projet'!$B$14,Paramètres!$A$1:$I$89,3,0)*0.475*44/12</f>
        <v>0</v>
      </c>
      <c r="ED119" s="24">
        <f t="shared" si="72"/>
        <v>65.056098564070624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5.6843418860808015E-14</v>
      </c>
      <c r="EK119" s="18">
        <f>EJ119*VLOOKUP('Données projet'!$B$15,Paramètres!$A$1:$I$89,3,0)*VLOOKUP('Données projet'!$B$15,Paramètres!$A$1:$I$89,5,0)</f>
        <v>4.1677594708744434E-14</v>
      </c>
      <c r="EL119" s="14">
        <f t="shared" si="99"/>
        <v>6.9326303456159188E-13</v>
      </c>
      <c r="EM119" s="22">
        <f t="shared" si="73"/>
        <v>1.2800215959791691E-12</v>
      </c>
      <c r="EN119" s="62">
        <f t="shared" si="74"/>
        <v>281.2942438947228</v>
      </c>
      <c r="EO119" s="62">
        <f ca="1">AVERAGE(OFFSET($EN$3,0,0,'Données projet'!$E$15+1,1))-AVERAGE(OFFSET($H$3,0,0,'Données projet'!$E$15+1,1))</f>
        <v>293.59366973965774</v>
      </c>
      <c r="EP119" s="62">
        <f t="shared" si="100"/>
        <v>288.13804536120426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>
        <f>EXP(-LN(2)/35)*EV118+(1-EXP(-LN(2)/35))/(LN(2)/35)*ER119*ES119*VLOOKUP('Données projet'!$B$15,Paramètres!$A$1:$I$89,3,0)*0.475*44/12</f>
        <v>50.125190696906884</v>
      </c>
      <c r="EW119" s="23">
        <f>EXP(-LN(2)/25)*EW118+(1-EXP(-LN(2)/25))/(LN(2)/25)*Calculateur!ER119*Calculateur!ET119*VLOOKUP('Données projet'!$B$15,Paramètres!$A$1:$I$89,3,0)*0.475*44/12</f>
        <v>0</v>
      </c>
      <c r="EX119" s="23">
        <f>EXP(-LN(2)/2)*EX118+(1-EXP(-LN(2)/2))/(LN(2)/2)*ER119*EU119*VLOOKUP('Données projet'!$B$15,Paramètres!$A$1:$I$89,3,0)*0.475*44/12</f>
        <v>0</v>
      </c>
      <c r="EY119" s="24">
        <f t="shared" si="75"/>
        <v>50.125190696906884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5.6843418860808015E-14</v>
      </c>
      <c r="FF119" s="18">
        <f>FE119*VLOOKUP('Données projet'!$B$16,Paramètres!$A$1:$I$89,3,0)*VLOOKUP('Données projet'!$B$16,Paramètres!$A$1:$I$89,5,0)</f>
        <v>5.4978954722173515E-14</v>
      </c>
      <c r="FG119" s="14">
        <f t="shared" si="101"/>
        <v>8.8550225887742724E-13</v>
      </c>
      <c r="FH119" s="22">
        <f t="shared" si="76"/>
        <v>1.6380047803526383E-12</v>
      </c>
      <c r="FI119" s="62">
        <f t="shared" si="77"/>
        <v>281.29424389472314</v>
      </c>
      <c r="FJ119" s="62">
        <f ca="1">AVERAGE(OFFSET($FI$3,0,0,'Données projet'!$E$16+1,1))-AVERAGE(OFFSET($H$3,0,0,'Données projet'!$E$16+1,1))</f>
        <v>369.69145521630799</v>
      </c>
      <c r="FK119" s="62">
        <f t="shared" si="102"/>
        <v>360.24112103688719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>
        <f>EXP(-LN(2)/35)*FQ118+(1-EXP(-LN(2)/35))/(LN(2)/35)*FM119*FN119*VLOOKUP('Données projet'!$B$16,Paramètres!$A$1:$I$89,3,0)*0.475*44/12</f>
        <v>66.122591983153754</v>
      </c>
      <c r="FR119" s="23">
        <f>EXP(-LN(2)/25)*FR118+(1-EXP(-LN(2)/25))/(LN(2)/25)*Calculateur!FM119*Calculateur!FO119*VLOOKUP('Données projet'!$B$16,Paramètres!$A$1:$I$89,3,0)*0.475*44/12</f>
        <v>0</v>
      </c>
      <c r="FS119" s="23">
        <f>EXP(-LN(2)/2)*FS118+(1-EXP(-LN(2)/2))/(LN(2)/2)*FM119*FP119*VLOOKUP('Données projet'!$B$16,Paramètres!$A$1:$I$89,3,0)*0.475*44/12</f>
        <v>0</v>
      </c>
      <c r="FT119" s="24">
        <f t="shared" si="78"/>
        <v>66.122591983153754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5.6843418860808015E-14</v>
      </c>
      <c r="GA119" s="18">
        <f>FZ119*VLOOKUP('Données projet'!$B$17,Paramètres!$A$1:$I$89,3,0)*VLOOKUP('Données projet'!$B$17,Paramètres!$A$1:$I$89,5,0)</f>
        <v>6.1186256061773749E-14</v>
      </c>
      <c r="GB119" s="14">
        <f t="shared" si="103"/>
        <v>9.7328366192051127E-13</v>
      </c>
      <c r="GC119" s="22">
        <f t="shared" si="79"/>
        <v>1.8017017738191463E-12</v>
      </c>
      <c r="GD119" s="62">
        <f t="shared" si="80"/>
        <v>281.29424389472331</v>
      </c>
      <c r="GE119" s="62">
        <f ca="1">AVERAGE(OFFSET($GD$3,0,0,'Données projet'!$E$17+1,1))-AVERAGE(OFFSET($H$3,0,0,'Données projet'!$E$17+1,1))</f>
        <v>405.06394904053946</v>
      </c>
      <c r="GF119" s="62">
        <f t="shared" si="104"/>
        <v>393.75247087518198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>
        <f>EXP(-LN(2)/35)*GL118+(1-EXP(-LN(2)/35))/(LN(2)/35)*GH119*GI119*VLOOKUP('Données projet'!$B$17,Paramètres!$A$1:$I$89,3,0)*0.475*44/12</f>
        <v>73.588045916735624</v>
      </c>
      <c r="GM119" s="23">
        <f>EXP(-LN(2)/25)*GM118+(1-EXP(-LN(2)/25))/(LN(2)/25)*Calculateur!GH119*Calculateur!GJ119*VLOOKUP('Données projet'!$B$17,Paramètres!$A$1:$I$89,3,0)*0.475*44/12</f>
        <v>0</v>
      </c>
      <c r="GN119" s="23">
        <f>EXP(-LN(2)/2)*GN118+(1-EXP(-LN(2)/2))/(LN(2)/2)*GH119*GK119*VLOOKUP('Données projet'!$B$17,Paramètres!$A$1:$I$89,3,0)*0.475*44/12</f>
        <v>0</v>
      </c>
      <c r="GO119" s="23">
        <f t="shared" si="81"/>
        <v>73.588045916735624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5.6843418860808015E-14</v>
      </c>
      <c r="GV119" s="18">
        <f>GU119*VLOOKUP('Données projet'!$B$18,Paramètres!$A$1:$I$89,3,0)*VLOOKUP('Données projet'!$B$18,Paramètres!$A$1:$I$89,5,0)</f>
        <v>3.813056537183002E-14</v>
      </c>
      <c r="GW119" s="14">
        <f t="shared" si="105"/>
        <v>6.4086286045526829E-13</v>
      </c>
      <c r="GX119" s="22">
        <f t="shared" si="82"/>
        <v>1.1825802166488628E-12</v>
      </c>
      <c r="GY119" s="62">
        <f t="shared" si="83"/>
        <v>281.29424389472268</v>
      </c>
      <c r="GZ119" s="62">
        <f ca="1">AVERAGE(OFFSET($GY$3,0,0,'Données projet'!$E$18+1,1))-AVERAGE(OFFSET($H$3,0,0,'Données projet'!$E$18+1,1))</f>
        <v>273.21861937609918</v>
      </c>
      <c r="HA119" s="62">
        <f t="shared" si="106"/>
        <v>268.83004886965318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>
        <f>EXP(-LN(2)/35)*HG118+(1-EXP(-LN(2)/35))/(LN(2)/35)*HC119*HD119*VLOOKUP('Données projet'!$B$18,Paramètres!$A$1:$I$89,3,0)*0.475*44/12</f>
        <v>56.524151211405638</v>
      </c>
      <c r="HH119" s="23">
        <f>EXP(-LN(2)/25)*HH118+(1-EXP(-LN(2)/25))/(LN(2)/25)*Calculateur!HC119*Calculateur!HE119*VLOOKUP('Données projet'!$B$18,Paramètres!$A$1:$I$89,3,0)*0.475*44/12</f>
        <v>0</v>
      </c>
      <c r="HI119" s="23">
        <f>EXP(-LN(2)/2)*HI118+(1-EXP(-LN(2)/2))/(LN(2)/2)*HC119*HF119*VLOOKUP('Données projet'!$B$18,Paramètres!$A$1:$I$89,3,0)*0.475*44/12</f>
        <v>0</v>
      </c>
      <c r="HJ119" s="24">
        <f t="shared" si="84"/>
        <v>56.524151211405638</v>
      </c>
    </row>
    <row r="120" spans="1:218" s="5" customFormat="1" x14ac:dyDescent="0.4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5.6</v>
      </c>
      <c r="N120" s="14">
        <f>IF('Données projet'!$A$36&gt;35,N119+M120-V119,IF(A120&lt;'Données projet'!$A$36,$K$205^A120,IF(A120='Données projet'!$A$36,'Données projet'!$B$36,N119+M120-V119)))</f>
        <v>275.39999999999986</v>
      </c>
      <c r="O120" s="14">
        <f>N120*VLOOKUP('Données projet'!$B$9,Paramètres!$A$1:$I$89,3,0)*VLOOKUP('Données projet'!$B$9,Paramètres!$A$1:$I$89,5,0)</f>
        <v>249.18191999999988</v>
      </c>
      <c r="P120" s="14">
        <f t="shared" si="87"/>
        <v>60.410727929515545</v>
      </c>
      <c r="Q120" s="22">
        <f t="shared" si="107"/>
        <v>539.20719514390601</v>
      </c>
      <c r="R120" s="62">
        <f t="shared" si="55"/>
        <v>820.71029032501565</v>
      </c>
      <c r="S120" s="62">
        <f ca="1">AVERAGE(OFFSET($R$3,0,0,'Données projet'!$E$9+1,1))-AVERAGE(OFFSET($H$3,0,0,'Données projet'!$E$9+1,1))</f>
        <v>432.80275651765203</v>
      </c>
      <c r="T120" s="62">
        <f t="shared" si="88"/>
        <v>203.89279893419919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21.97959419176502</v>
      </c>
      <c r="AA120" s="23">
        <f>EXP(-LN(2)/25)*AA119+(1-EXP(-LN(2)/25))/(LN(2)/25)*Calculateur!V120*Calculateur!X120*VLOOKUP('Données projet'!$B$9,Paramètres!$A$1:$I$89,3,0)*0.475*44/12</f>
        <v>14.556859509973048</v>
      </c>
      <c r="AB120" s="23">
        <f>EXP(-LN(2)/2)*AB119+(1-EXP(-LN(2)/2))/(LN(2)/2)*V120*Y120*VLOOKUP('Données projet'!$B$9,Paramètres!$A$1:$I$89,3,0)*0.475*44/12</f>
        <v>0</v>
      </c>
      <c r="AC120" s="24">
        <f t="shared" si="57"/>
        <v>36.536453701738068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54.000000000000341</v>
      </c>
      <c r="AJ120" s="14">
        <f>AI120*VLOOKUP('Données projet'!$B$10,Paramètres!$A$1:$I$89,3,0)*VLOOKUP('Données projet'!$B$10,Paramètres!$A$1:$I$89,5,0)</f>
        <v>23.868000000000151</v>
      </c>
      <c r="AK120" s="14">
        <f t="shared" si="89"/>
        <v>7.6030930962115804</v>
      </c>
      <c r="AL120" s="22">
        <f t="shared" si="58"/>
        <v>54.812153809235433</v>
      </c>
      <c r="AM120" s="62">
        <f t="shared" si="59"/>
        <v>336.31524899034508</v>
      </c>
      <c r="AN120" s="62">
        <f ca="1">AVERAGE(OFFSET($AM$3,0,0,'Données projet'!$E$10+1,1))-AVERAGE(OFFSET($H$3,0,0,'Données projet'!$E$10+1,1))</f>
        <v>413.08876898406481</v>
      </c>
      <c r="AO120" s="62">
        <f t="shared" si="90"/>
        <v>520.31320932826566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88.857761672663102</v>
      </c>
      <c r="AV120" s="23">
        <f>EXP(-LN(2)/25)*AV119+(1-EXP(-LN(2)/25))/(LN(2)/25)*Calculateur!AQ120*Calculateur!AS120*VLOOKUP('Données projet'!$B$10,Paramètres!$A$1:$I$89,3,0)*0.475*44/12</f>
        <v>4.1546386422315082</v>
      </c>
      <c r="AW120" s="23">
        <f>EXP(-LN(2)/2)*AW119+(1-EXP(-LN(2)/2))/(LN(2)/2)*AQ120*AT120*VLOOKUP('Données projet'!$B$10,Paramètres!$A$1:$I$89,3,0)*0.475*44/12</f>
        <v>5.8616854549326257E-11</v>
      </c>
      <c r="AX120" s="23">
        <f t="shared" si="60"/>
        <v>93.012400314953226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54.000000000000341</v>
      </c>
      <c r="BE120" s="14">
        <f>BD120*VLOOKUP('Données projet'!$B$11,Paramètres!$A$1:$I$89,3,0)*VLOOKUP('Données projet'!$B$11,Paramètres!$A$1:$I$89,5,0)</f>
        <v>30.186000000000188</v>
      </c>
      <c r="BF120" s="14">
        <f t="shared" si="91"/>
        <v>9.3563888882899153</v>
      </c>
      <c r="BG120" s="22">
        <f t="shared" si="61"/>
        <v>68.869660647105263</v>
      </c>
      <c r="BH120" s="62">
        <f t="shared" si="62"/>
        <v>350.37275582821491</v>
      </c>
      <c r="BI120" s="62">
        <f ca="1">AVERAGE(OFFSET($BH$3,0,0,'Données projet'!$E$11+1,1))-AVERAGE(OFFSET($H$3,0,0,'Données projet'!$E$11+1,1))</f>
        <v>507.66185230065889</v>
      </c>
      <c r="BJ120" s="62">
        <f t="shared" si="92"/>
        <v>640.14375617778342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112.37893388013266</v>
      </c>
      <c r="BQ120" s="23">
        <f>EXP(-LN(2)/25)*BQ119+(1-EXP(-LN(2)/25))/(LN(2)/25)*Calculateur!BL120*Calculateur!BN120*VLOOKUP('Données projet'!$B$11,Paramètres!$A$1:$I$89,3,0)*0.475*44/12</f>
        <v>5.2543959298810297</v>
      </c>
      <c r="BR120" s="23">
        <f>EXP(-LN(2)/2)*BR119+(1-EXP(-LN(2)/2))/(LN(2)/2)*BL120*BO120*VLOOKUP('Données projet'!$B$11,Paramètres!$A$1:$I$89,3,0)*0.475*44/12</f>
        <v>7.413308075355973E-11</v>
      </c>
      <c r="BS120" s="24">
        <f t="shared" si="63"/>
        <v>117.63332981008783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417.04879970000007</v>
      </c>
      <c r="BZ120" s="14">
        <f>BY120*VLOOKUP('Données projet'!$B$12,Paramètres!$A$1:$I$89,3,0)*VLOOKUP('Données projet'!$B$12,Paramètres!$A$1:$I$89,5,0)</f>
        <v>195.17883825960004</v>
      </c>
      <c r="CA120" s="14">
        <f t="shared" si="93"/>
        <v>48.683122291673484</v>
      </c>
      <c r="CB120" s="22">
        <f t="shared" si="64"/>
        <v>424.72624796013469</v>
      </c>
      <c r="CC120" s="62">
        <f t="shared" si="65"/>
        <v>706.22934314124427</v>
      </c>
      <c r="CD120" s="62">
        <f ca="1">AVERAGE(OFFSET($CC$3,0,0,'Données projet'!$E$12+1,1))-AVERAGE(OFFSET($H$3,0,0,'Données projet'!$E$12+1,1))</f>
        <v>289.21044803824958</v>
      </c>
      <c r="CE120" s="62">
        <f t="shared" si="94"/>
        <v>196.11836398299445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>
        <f>EXP(-LN(2)/35)*CK119+(1-EXP(-LN(2)/35))/(LN(2)/35)*CG120*CH120*VLOOKUP('Données projet'!$B$12,Paramètres!$A$1:$I$89,3,0)*0.475*44/12</f>
        <v>49.184827658432255</v>
      </c>
      <c r="CL120" s="23">
        <f>EXP(-LN(2)/25)*CL119+(1-EXP(-LN(2)/25))/(LN(2)/25)*Calculateur!CG120*Calculateur!CI120*VLOOKUP('Données projet'!$B$12,Paramètres!$A$1:$I$89,3,0)*0.475*44/12</f>
        <v>20.010164320595791</v>
      </c>
      <c r="CM120" s="23">
        <f>EXP(-LN(2)/2)*CM119+(1-EXP(-LN(2)/2))/(LN(2)/2)*CG120*CJ120*VLOOKUP('Données projet'!$B$12,Paramètres!$A$1:$I$89,3,0)*0.475*44/12</f>
        <v>0</v>
      </c>
      <c r="CN120" s="24">
        <f t="shared" si="66"/>
        <v>69.194991979028046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-5.6843418860808015E-14</v>
      </c>
      <c r="CU120" s="18">
        <f>CT120*VLOOKUP('Données projet'!$B$13,Paramètres!$A$1:$I$89,3,0)*VLOOKUP('Données projet'!$B$13,Paramètres!$A$1:$I$89,5,0)</f>
        <v>-5.1431925385259088E-14</v>
      </c>
      <c r="CV120" s="14" t="e">
        <f t="shared" si="95"/>
        <v>#NUM!</v>
      </c>
      <c r="CW120" s="22" t="e">
        <f t="shared" si="67"/>
        <v>#NUM!</v>
      </c>
      <c r="CX120" s="62" t="e">
        <f t="shared" si="68"/>
        <v>#NUM!</v>
      </c>
      <c r="CY120" s="62">
        <f ca="1">AVERAGE(OFFSET($CX$3,0,0,'Données projet'!$E$13+1,1))-AVERAGE(OFFSET($H$3,0,0,'Données projet'!$E$13+1,1))</f>
        <v>376.68007030857598</v>
      </c>
      <c r="CZ120" s="62">
        <f t="shared" si="96"/>
        <v>532.90758914457626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>
        <f>EXP(-LN(2)/35)*DF119+(1-EXP(-LN(2)/35))/(LN(2)/35)*DB120*DC120*VLOOKUP('Données projet'!$B$13,Paramètres!$A$1:$I$89,3,0)*0.475*44/12</f>
        <v>22.496442488640685</v>
      </c>
      <c r="DG120" s="23">
        <f>EXP(-LN(2)/25)*DG119+(1-EXP(-LN(2)/25))/(LN(2)/25)*Calculateur!DB120*Calculateur!DD120*VLOOKUP('Données projet'!$B$13,Paramètres!$A$1:$I$89,3,0)*0.475*44/12</f>
        <v>1.174073421971177</v>
      </c>
      <c r="DH120" s="23">
        <f>EXP(-LN(2)/2)*DH119+(1-EXP(-LN(2)/2))/(LN(2)/2)*DB120*DE120*VLOOKUP('Données projet'!$B$13,Paramètres!$A$1:$I$89,3,0)*0.475*44/12</f>
        <v>0</v>
      </c>
      <c r="DI120" s="24">
        <f t="shared" si="69"/>
        <v>23.670515910611861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5.6843418860808015E-14</v>
      </c>
      <c r="DP120" s="18">
        <f>DO120*VLOOKUP('Données projet'!$B$14,Paramètres!$A$1:$I$89,3,0)*VLOOKUP('Données projet'!$B$14,Paramètres!$A$1:$I$89,5,0)</f>
        <v>5.4092197387944907E-14</v>
      </c>
      <c r="DQ120" s="14">
        <f t="shared" si="97"/>
        <v>8.7287050538073676E-13</v>
      </c>
      <c r="DR120" s="22">
        <f t="shared" si="70"/>
        <v>1.6144600406554537E-12</v>
      </c>
      <c r="DS120" s="62">
        <f t="shared" si="71"/>
        <v>281.50309518111123</v>
      </c>
      <c r="DT120" s="62">
        <f ca="1">AVERAGE(OFFSET($DS$3,0,0,'Données projet'!$E$14+1,1))-AVERAGE(OFFSET($H$3,0,0,'Données projet'!$E$14+1,1))</f>
        <v>364.63161066507769</v>
      </c>
      <c r="DU120" s="62">
        <f t="shared" si="98"/>
        <v>355.44729904860708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>
        <f>EXP(-LN(2)/35)*EA119+(1-EXP(-LN(2)/35))/(LN(2)/35)*DW120*DX120*VLOOKUP('Données projet'!$B$14,Paramètres!$A$1:$I$89,3,0)*0.475*44/12</f>
        <v>63.78038815153122</v>
      </c>
      <c r="EB120" s="23">
        <f>EXP(-LN(2)/25)*EB119+(1-EXP(-LN(2)/25))/(LN(2)/25)*Calculateur!DW120*Calculateur!DY120*VLOOKUP('Données projet'!$B$14,Paramètres!$A$1:$I$89,3,0)*0.475*44/12</f>
        <v>0</v>
      </c>
      <c r="EC120" s="23">
        <f>EXP(-LN(2)/2)*EC119+(1-EXP(-LN(2)/2))/(LN(2)/2)*DW120*DZ120*VLOOKUP('Données projet'!$B$14,Paramètres!$A$1:$I$89,3,0)*0.475*44/12</f>
        <v>0</v>
      </c>
      <c r="ED120" s="24">
        <f t="shared" si="72"/>
        <v>63.78038815153122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5.6843418860808015E-14</v>
      </c>
      <c r="EK120" s="18">
        <f>EJ120*VLOOKUP('Données projet'!$B$15,Paramètres!$A$1:$I$89,3,0)*VLOOKUP('Données projet'!$B$15,Paramètres!$A$1:$I$89,5,0)</f>
        <v>4.1677594708744434E-14</v>
      </c>
      <c r="EL120" s="14">
        <f t="shared" si="99"/>
        <v>6.9326303456159188E-13</v>
      </c>
      <c r="EM120" s="22">
        <f t="shared" si="73"/>
        <v>1.2800215959791691E-12</v>
      </c>
      <c r="EN120" s="62">
        <f t="shared" si="74"/>
        <v>281.50309518111095</v>
      </c>
      <c r="EO120" s="62">
        <f ca="1">AVERAGE(OFFSET($EN$3,0,0,'Données projet'!$E$15+1,1))-AVERAGE(OFFSET($H$3,0,0,'Données projet'!$E$15+1,1))</f>
        <v>293.59366973965774</v>
      </c>
      <c r="EP120" s="62">
        <f t="shared" si="100"/>
        <v>288.13804536120426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>
        <f>EXP(-LN(2)/35)*EV119+(1-EXP(-LN(2)/35))/(LN(2)/35)*ER120*ES120*VLOOKUP('Données projet'!$B$15,Paramètres!$A$1:$I$89,3,0)*0.475*44/12</f>
        <v>49.142266280687998</v>
      </c>
      <c r="EW120" s="23">
        <f>EXP(-LN(2)/25)*EW119+(1-EXP(-LN(2)/25))/(LN(2)/25)*Calculateur!ER120*Calculateur!ET120*VLOOKUP('Données projet'!$B$15,Paramètres!$A$1:$I$89,3,0)*0.475*44/12</f>
        <v>0</v>
      </c>
      <c r="EX120" s="23">
        <f>EXP(-LN(2)/2)*EX119+(1-EXP(-LN(2)/2))/(LN(2)/2)*ER120*EU120*VLOOKUP('Données projet'!$B$15,Paramètres!$A$1:$I$89,3,0)*0.475*44/12</f>
        <v>0</v>
      </c>
      <c r="EY120" s="24">
        <f t="shared" si="75"/>
        <v>49.142266280687998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5.6843418860808015E-14</v>
      </c>
      <c r="FF120" s="18">
        <f>FE120*VLOOKUP('Données projet'!$B$16,Paramètres!$A$1:$I$89,3,0)*VLOOKUP('Données projet'!$B$16,Paramètres!$A$1:$I$89,5,0)</f>
        <v>5.4978954722173515E-14</v>
      </c>
      <c r="FG120" s="14">
        <f t="shared" si="101"/>
        <v>8.8550225887742724E-13</v>
      </c>
      <c r="FH120" s="22">
        <f t="shared" si="76"/>
        <v>1.6380047803526383E-12</v>
      </c>
      <c r="FI120" s="62">
        <f t="shared" si="77"/>
        <v>281.50309518111129</v>
      </c>
      <c r="FJ120" s="62">
        <f ca="1">AVERAGE(OFFSET($FI$3,0,0,'Données projet'!$E$16+1,1))-AVERAGE(OFFSET($H$3,0,0,'Données projet'!$E$16+1,1))</f>
        <v>369.69145521630799</v>
      </c>
      <c r="FK120" s="62">
        <f t="shared" si="102"/>
        <v>360.24112103688719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>
        <f>EXP(-LN(2)/35)*FQ119+(1-EXP(-LN(2)/35))/(LN(2)/35)*FM120*FN120*VLOOKUP('Données projet'!$B$16,Paramètres!$A$1:$I$89,3,0)*0.475*44/12</f>
        <v>64.825968285162887</v>
      </c>
      <c r="FR120" s="23">
        <f>EXP(-LN(2)/25)*FR119+(1-EXP(-LN(2)/25))/(LN(2)/25)*Calculateur!FM120*Calculateur!FO120*VLOOKUP('Données projet'!$B$16,Paramètres!$A$1:$I$89,3,0)*0.475*44/12</f>
        <v>0</v>
      </c>
      <c r="FS120" s="23">
        <f>EXP(-LN(2)/2)*FS119+(1-EXP(-LN(2)/2))/(LN(2)/2)*FM120*FP120*VLOOKUP('Données projet'!$B$16,Paramètres!$A$1:$I$89,3,0)*0.475*44/12</f>
        <v>0</v>
      </c>
      <c r="FT120" s="24">
        <f t="shared" si="78"/>
        <v>64.825968285162887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5.6843418860808015E-14</v>
      </c>
      <c r="GA120" s="18">
        <f>FZ120*VLOOKUP('Données projet'!$B$17,Paramètres!$A$1:$I$89,3,0)*VLOOKUP('Données projet'!$B$17,Paramètres!$A$1:$I$89,5,0)</f>
        <v>6.1186256061773749E-14</v>
      </c>
      <c r="GB120" s="14">
        <f t="shared" si="103"/>
        <v>9.7328366192051127E-13</v>
      </c>
      <c r="GC120" s="22">
        <f t="shared" si="79"/>
        <v>1.8017017738191463E-12</v>
      </c>
      <c r="GD120" s="62">
        <f t="shared" si="80"/>
        <v>281.50309518111146</v>
      </c>
      <c r="GE120" s="62">
        <f ca="1">AVERAGE(OFFSET($GD$3,0,0,'Données projet'!$E$17+1,1))-AVERAGE(OFFSET($H$3,0,0,'Données projet'!$E$17+1,1))</f>
        <v>405.06394904053946</v>
      </c>
      <c r="GF120" s="62">
        <f t="shared" si="104"/>
        <v>393.75247087518198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>
        <f>EXP(-LN(2)/35)*GL119+(1-EXP(-LN(2)/35))/(LN(2)/35)*GH120*GI120*VLOOKUP('Données projet'!$B$17,Paramètres!$A$1:$I$89,3,0)*0.475*44/12</f>
        <v>72.14502922058449</v>
      </c>
      <c r="GM120" s="23">
        <f>EXP(-LN(2)/25)*GM119+(1-EXP(-LN(2)/25))/(LN(2)/25)*Calculateur!GH120*Calculateur!GJ120*VLOOKUP('Données projet'!$B$17,Paramètres!$A$1:$I$89,3,0)*0.475*44/12</f>
        <v>0</v>
      </c>
      <c r="GN120" s="23">
        <f>EXP(-LN(2)/2)*GN119+(1-EXP(-LN(2)/2))/(LN(2)/2)*GH120*GK120*VLOOKUP('Données projet'!$B$17,Paramètres!$A$1:$I$89,3,0)*0.475*44/12</f>
        <v>0</v>
      </c>
      <c r="GO120" s="23">
        <f t="shared" si="81"/>
        <v>72.14502922058449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5.6843418860808015E-14</v>
      </c>
      <c r="GV120" s="18">
        <f>GU120*VLOOKUP('Données projet'!$B$18,Paramètres!$A$1:$I$89,3,0)*VLOOKUP('Données projet'!$B$18,Paramètres!$A$1:$I$89,5,0)</f>
        <v>3.813056537183002E-14</v>
      </c>
      <c r="GW120" s="14">
        <f t="shared" si="105"/>
        <v>6.4086286045526829E-13</v>
      </c>
      <c r="GX120" s="22">
        <f t="shared" si="82"/>
        <v>1.1825802166488628E-12</v>
      </c>
      <c r="GY120" s="62">
        <f t="shared" si="83"/>
        <v>281.50309518111084</v>
      </c>
      <c r="GZ120" s="62">
        <f ca="1">AVERAGE(OFFSET($GY$3,0,0,'Données projet'!$E$18+1,1))-AVERAGE(OFFSET($H$3,0,0,'Données projet'!$E$18+1,1))</f>
        <v>273.21861937609918</v>
      </c>
      <c r="HA120" s="62">
        <f t="shared" si="106"/>
        <v>268.83004886965318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>
        <f>EXP(-LN(2)/35)*HG119+(1-EXP(-LN(2)/35))/(LN(2)/35)*HC120*HD120*VLOOKUP('Données projet'!$B$18,Paramètres!$A$1:$I$89,3,0)*0.475*44/12</f>
        <v>55.415747082477957</v>
      </c>
      <c r="HH120" s="23">
        <f>EXP(-LN(2)/25)*HH119+(1-EXP(-LN(2)/25))/(LN(2)/25)*Calculateur!HC120*Calculateur!HE120*VLOOKUP('Données projet'!$B$18,Paramètres!$A$1:$I$89,3,0)*0.475*44/12</f>
        <v>0</v>
      </c>
      <c r="HI120" s="23">
        <f>EXP(-LN(2)/2)*HI119+(1-EXP(-LN(2)/2))/(LN(2)/2)*HC120*HF120*VLOOKUP('Données projet'!$B$18,Paramètres!$A$1:$I$89,3,0)*0.475*44/12</f>
        <v>0</v>
      </c>
      <c r="HJ120" s="24">
        <f t="shared" si="84"/>
        <v>55.415747082477957</v>
      </c>
    </row>
    <row r="121" spans="1:218" s="5" customFormat="1" x14ac:dyDescent="0.4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>
        <f>VLOOKUP(A121,'Données projet'!$A$35:$I$55,2,0)</f>
        <v>281</v>
      </c>
      <c r="L121" s="13">
        <f>VLOOKUP(A121,'Données projet'!$A$35:$I$55,9,0)</f>
        <v>5.6</v>
      </c>
      <c r="M121" s="13">
        <f t="array" ref="M121">INDEX(L:L,MIN(IF(ISNUMBER(L121:L317),ROW(L121:L317),"")))</f>
        <v>5.6</v>
      </c>
      <c r="N121" s="14">
        <f>IF('Données projet'!$A$36&gt;35,N120+M121-V120,IF(A121&lt;'Données projet'!$A$36,$K$205^A121,IF(A121='Données projet'!$A$36,'Données projet'!$B$36,N120+M121-V120)))</f>
        <v>280.99999999999989</v>
      </c>
      <c r="O121" s="14">
        <f>N121*VLOOKUP('Données projet'!$B$9,Paramètres!$A$1:$I$89,3,0)*VLOOKUP('Données projet'!$B$9,Paramètres!$A$1:$I$89,5,0)</f>
        <v>254.2487999999999</v>
      </c>
      <c r="P121" s="14">
        <f t="shared" si="87"/>
        <v>61.494863147658862</v>
      </c>
      <c r="Q121" s="22">
        <f t="shared" si="107"/>
        <v>549.92021331550563</v>
      </c>
      <c r="R121" s="62">
        <f t="shared" si="55"/>
        <v>831.62853668010598</v>
      </c>
      <c r="S121" s="62">
        <f ca="1">AVERAGE(OFFSET($R$3,0,0,'Données projet'!$E$9+1,1))-AVERAGE(OFFSET($H$3,0,0,'Données projet'!$E$9+1,1))</f>
        <v>432.80275651765203</v>
      </c>
      <c r="T121" s="62">
        <f t="shared" si="88"/>
        <v>203.89279893419919</v>
      </c>
      <c r="U121" s="16">
        <f>IF(ISNA(VLOOKUP(A121,'Données projet'!$A$35:$I$55,3,0)),0,VLOOKUP(A121,'Données projet'!$A$35:$I$55,3,0))</f>
        <v>8</v>
      </c>
      <c r="V121" s="16">
        <f>IF(ISNA(VLOOKUP(A121,'Données projet'!$A$35:$I$55,4,0)),0,VLOOKUP(A121,'Données projet'!$A$35:$I$55,4,0))</f>
        <v>40</v>
      </c>
      <c r="W121" s="17">
        <f>IF(ISNA(VLOOKUP(A121,'Données projet'!$A$35:$I$55,5,0)),0%,VLOOKUP(A121,'Données projet'!$A$35:$I$55,5,0)*VLOOKUP('Données projet'!$B$9,Paramètres!$A$1:$I$89,7,0))</f>
        <v>0.215</v>
      </c>
      <c r="X121" s="17">
        <f>IF(ISNA(VLOOKUP(A121,'Données projet'!$A$35:$I$55,6,0)),0%,VLOOKUP(A121,'Données projet'!$A$35:$I$55,6,0)*VLOOKUP('Données projet'!$B$9,Paramètres!$A$1:$I$89,7,0))</f>
        <v>0.17200000000000001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30.150562310745361</v>
      </c>
      <c r="AA121" s="23">
        <f>EXP(-LN(2)/25)*AA120+(1-EXP(-LN(2)/25))/(LN(2)/25)*Calculateur!V121*Calculateur!X121*VLOOKUP('Données projet'!$B$9,Paramètres!$A$1:$I$89,3,0)*0.475*44/12</f>
        <v>21.013285663897211</v>
      </c>
      <c r="AB121" s="23">
        <f>EXP(-LN(2)/2)*AB120+(1-EXP(-LN(2)/2))/(LN(2)/2)*V121*Y121*VLOOKUP('Données projet'!$B$9,Paramètres!$A$1:$I$89,3,0)*0.475*44/12</f>
        <v>0</v>
      </c>
      <c r="AC121" s="24">
        <f t="shared" si="57"/>
        <v>51.163847974642572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54.000000000000341</v>
      </c>
      <c r="AJ121" s="14">
        <f>AI121*VLOOKUP('Données projet'!$B$10,Paramètres!$A$1:$I$89,3,0)*VLOOKUP('Données projet'!$B$10,Paramètres!$A$1:$I$89,5,0)</f>
        <v>23.868000000000151</v>
      </c>
      <c r="AK121" s="14">
        <f t="shared" si="89"/>
        <v>7.6030930962115804</v>
      </c>
      <c r="AL121" s="22">
        <f t="shared" si="58"/>
        <v>54.812153809235433</v>
      </c>
      <c r="AM121" s="62">
        <f t="shared" si="59"/>
        <v>336.52047717383584</v>
      </c>
      <c r="AN121" s="62">
        <f ca="1">AVERAGE(OFFSET($AM$3,0,0,'Données projet'!$E$10+1,1))-AVERAGE(OFFSET($H$3,0,0,'Données projet'!$E$10+1,1))</f>
        <v>413.08876898406481</v>
      </c>
      <c r="AO121" s="62">
        <f t="shared" si="90"/>
        <v>520.31320932826566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87.115315164145201</v>
      </c>
      <c r="AV121" s="23">
        <f>EXP(-LN(2)/25)*AV120+(1-EXP(-LN(2)/25))/(LN(2)/25)*Calculateur!AQ121*Calculateur!AS121*VLOOKUP('Données projet'!$B$10,Paramètres!$A$1:$I$89,3,0)*0.475*44/12</f>
        <v>4.0410298300767371</v>
      </c>
      <c r="AW121" s="23">
        <f>EXP(-LN(2)/2)*AW120+(1-EXP(-LN(2)/2))/(LN(2)/2)*AQ121*AT121*VLOOKUP('Données projet'!$B$10,Paramètres!$A$1:$I$89,3,0)*0.475*44/12</f>
        <v>4.1448375343654126E-11</v>
      </c>
      <c r="AX121" s="23">
        <f t="shared" si="60"/>
        <v>91.156344994263392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54.000000000000341</v>
      </c>
      <c r="BE121" s="14">
        <f>BD121*VLOOKUP('Données projet'!$B$11,Paramètres!$A$1:$I$89,3,0)*VLOOKUP('Données projet'!$B$11,Paramètres!$A$1:$I$89,5,0)</f>
        <v>30.186000000000188</v>
      </c>
      <c r="BF121" s="14">
        <f t="shared" si="91"/>
        <v>9.3563888882899153</v>
      </c>
      <c r="BG121" s="22">
        <f t="shared" si="61"/>
        <v>68.869660647105263</v>
      </c>
      <c r="BH121" s="62">
        <f t="shared" si="62"/>
        <v>350.57798401170567</v>
      </c>
      <c r="BI121" s="62">
        <f ca="1">AVERAGE(OFFSET($BH$3,0,0,'Données projet'!$E$11+1,1))-AVERAGE(OFFSET($H$3,0,0,'Données projet'!$E$11+1,1))</f>
        <v>507.66185230065889</v>
      </c>
      <c r="BJ121" s="62">
        <f t="shared" si="92"/>
        <v>640.14375617778342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110.17525153112473</v>
      </c>
      <c r="BQ121" s="23">
        <f>EXP(-LN(2)/25)*BQ120+(1-EXP(-LN(2)/25))/(LN(2)/25)*Calculateur!BL121*Calculateur!BN121*VLOOKUP('Données projet'!$B$11,Paramètres!$A$1:$I$89,3,0)*0.475*44/12</f>
        <v>5.1107141968617604</v>
      </c>
      <c r="BR121" s="23">
        <f>EXP(-LN(2)/2)*BR120+(1-EXP(-LN(2)/2))/(LN(2)/2)*BL121*BO121*VLOOKUP('Données projet'!$B$11,Paramètres!$A$1:$I$89,3,0)*0.475*44/12</f>
        <v>5.2420004111092018E-11</v>
      </c>
      <c r="BS121" s="24">
        <f t="shared" si="63"/>
        <v>115.28596572803892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417.04879970000007</v>
      </c>
      <c r="BZ121" s="14">
        <f>BY121*VLOOKUP('Données projet'!$B$12,Paramètres!$A$1:$I$89,3,0)*VLOOKUP('Données projet'!$B$12,Paramètres!$A$1:$I$89,5,0)</f>
        <v>195.17883825960004</v>
      </c>
      <c r="CA121" s="14">
        <f t="shared" si="93"/>
        <v>48.683122291673484</v>
      </c>
      <c r="CB121" s="22">
        <f t="shared" si="64"/>
        <v>424.72624796013469</v>
      </c>
      <c r="CC121" s="62">
        <f t="shared" si="65"/>
        <v>706.43457132473509</v>
      </c>
      <c r="CD121" s="62">
        <f ca="1">AVERAGE(OFFSET($CC$3,0,0,'Données projet'!$E$12+1,1))-AVERAGE(OFFSET($H$3,0,0,'Données projet'!$E$12+1,1))</f>
        <v>289.21044803824958</v>
      </c>
      <c r="CE121" s="62">
        <f t="shared" si="94"/>
        <v>196.11836398299445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>
        <f>EXP(-LN(2)/35)*CK120+(1-EXP(-LN(2)/35))/(LN(2)/35)*CG121*CH121*VLOOKUP('Données projet'!$B$12,Paramètres!$A$1:$I$89,3,0)*0.475*44/12</f>
        <v>48.220343187833038</v>
      </c>
      <c r="CL121" s="23">
        <f>EXP(-LN(2)/25)*CL120+(1-EXP(-LN(2)/25))/(LN(2)/25)*Calculateur!CG121*Calculateur!CI121*VLOOKUP('Données projet'!$B$12,Paramètres!$A$1:$I$89,3,0)*0.475*44/12</f>
        <v>19.462985324960293</v>
      </c>
      <c r="CM121" s="23">
        <f>EXP(-LN(2)/2)*CM120+(1-EXP(-LN(2)/2))/(LN(2)/2)*CG121*CJ121*VLOOKUP('Données projet'!$B$12,Paramètres!$A$1:$I$89,3,0)*0.475*44/12</f>
        <v>0</v>
      </c>
      <c r="CN121" s="24">
        <f t="shared" si="66"/>
        <v>67.683328512793338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-5.6843418860808015E-14</v>
      </c>
      <c r="CU121" s="18">
        <f>CT121*VLOOKUP('Données projet'!$B$13,Paramètres!$A$1:$I$89,3,0)*VLOOKUP('Données projet'!$B$13,Paramètres!$A$1:$I$89,5,0)</f>
        <v>-5.1431925385259088E-14</v>
      </c>
      <c r="CV121" s="14" t="e">
        <f t="shared" si="95"/>
        <v>#NUM!</v>
      </c>
      <c r="CW121" s="22" t="e">
        <f t="shared" si="67"/>
        <v>#NUM!</v>
      </c>
      <c r="CX121" s="62" t="e">
        <f t="shared" si="68"/>
        <v>#NUM!</v>
      </c>
      <c r="CY121" s="62">
        <f ca="1">AVERAGE(OFFSET($CX$3,0,0,'Données projet'!$E$13+1,1))-AVERAGE(OFFSET($H$3,0,0,'Données projet'!$E$13+1,1))</f>
        <v>376.68007030857598</v>
      </c>
      <c r="CZ121" s="62">
        <f t="shared" si="96"/>
        <v>532.90758914457626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>
        <f>EXP(-LN(2)/35)*DF120+(1-EXP(-LN(2)/35))/(LN(2)/35)*DB121*DC121*VLOOKUP('Données projet'!$B$13,Paramètres!$A$1:$I$89,3,0)*0.475*44/12</f>
        <v>22.055300972913475</v>
      </c>
      <c r="DG121" s="23">
        <f>EXP(-LN(2)/25)*DG120+(1-EXP(-LN(2)/25))/(LN(2)/25)*Calculateur!DB121*Calculateur!DD121*VLOOKUP('Données projet'!$B$13,Paramètres!$A$1:$I$89,3,0)*0.475*44/12</f>
        <v>1.1419683225055373</v>
      </c>
      <c r="DH121" s="23">
        <f>EXP(-LN(2)/2)*DH120+(1-EXP(-LN(2)/2))/(LN(2)/2)*DB121*DE121*VLOOKUP('Données projet'!$B$13,Paramètres!$A$1:$I$89,3,0)*0.475*44/12</f>
        <v>0</v>
      </c>
      <c r="DI121" s="24">
        <f t="shared" si="69"/>
        <v>23.197269295419012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5.6843418860808015E-14</v>
      </c>
      <c r="DP121" s="18">
        <f>DO121*VLOOKUP('Données projet'!$B$14,Paramètres!$A$1:$I$89,3,0)*VLOOKUP('Données projet'!$B$14,Paramètres!$A$1:$I$89,5,0)</f>
        <v>5.4092197387944907E-14</v>
      </c>
      <c r="DQ121" s="14">
        <f t="shared" si="97"/>
        <v>8.7287050538073676E-13</v>
      </c>
      <c r="DR121" s="22">
        <f t="shared" si="70"/>
        <v>1.6144600406554537E-12</v>
      </c>
      <c r="DS121" s="62">
        <f t="shared" si="71"/>
        <v>281.70832336460199</v>
      </c>
      <c r="DT121" s="62">
        <f ca="1">AVERAGE(OFFSET($DS$3,0,0,'Données projet'!$E$14+1,1))-AVERAGE(OFFSET($H$3,0,0,'Données projet'!$E$14+1,1))</f>
        <v>364.63161066507769</v>
      </c>
      <c r="DU121" s="62">
        <f t="shared" si="98"/>
        <v>355.44729904860708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>
        <f>EXP(-LN(2)/35)*EA120+(1-EXP(-LN(2)/35))/(LN(2)/35)*DW121*DX121*VLOOKUP('Données projet'!$B$14,Paramètres!$A$1:$I$89,3,0)*0.475*44/12</f>
        <v>62.529693642075195</v>
      </c>
      <c r="EB121" s="23">
        <f>EXP(-LN(2)/25)*EB120+(1-EXP(-LN(2)/25))/(LN(2)/25)*Calculateur!DW121*Calculateur!DY121*VLOOKUP('Données projet'!$B$14,Paramètres!$A$1:$I$89,3,0)*0.475*44/12</f>
        <v>0</v>
      </c>
      <c r="EC121" s="23">
        <f>EXP(-LN(2)/2)*EC120+(1-EXP(-LN(2)/2))/(LN(2)/2)*DW121*DZ121*VLOOKUP('Données projet'!$B$14,Paramètres!$A$1:$I$89,3,0)*0.475*44/12</f>
        <v>0</v>
      </c>
      <c r="ED121" s="24">
        <f t="shared" si="72"/>
        <v>62.529693642075195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5.6843418860808015E-14</v>
      </c>
      <c r="EK121" s="18">
        <f>EJ121*VLOOKUP('Données projet'!$B$15,Paramètres!$A$1:$I$89,3,0)*VLOOKUP('Données projet'!$B$15,Paramètres!$A$1:$I$89,5,0)</f>
        <v>4.1677594708744434E-14</v>
      </c>
      <c r="EL121" s="14">
        <f t="shared" si="99"/>
        <v>6.9326303456159188E-13</v>
      </c>
      <c r="EM121" s="22">
        <f t="shared" si="73"/>
        <v>1.2800215959791691E-12</v>
      </c>
      <c r="EN121" s="62">
        <f t="shared" si="74"/>
        <v>281.70832336460171</v>
      </c>
      <c r="EO121" s="62">
        <f ca="1">AVERAGE(OFFSET($EN$3,0,0,'Données projet'!$E$15+1,1))-AVERAGE(OFFSET($H$3,0,0,'Données projet'!$E$15+1,1))</f>
        <v>293.59366973965774</v>
      </c>
      <c r="EP121" s="62">
        <f t="shared" si="100"/>
        <v>288.13804536120426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>
        <f>EXP(-LN(2)/35)*EV120+(1-EXP(-LN(2)/35))/(LN(2)/35)*ER121*ES121*VLOOKUP('Données projet'!$B$15,Paramètres!$A$1:$I$89,3,0)*0.475*44/12</f>
        <v>48.178616412746472</v>
      </c>
      <c r="EW121" s="23">
        <f>EXP(-LN(2)/25)*EW120+(1-EXP(-LN(2)/25))/(LN(2)/25)*Calculateur!ER121*Calculateur!ET121*VLOOKUP('Données projet'!$B$15,Paramètres!$A$1:$I$89,3,0)*0.475*44/12</f>
        <v>0</v>
      </c>
      <c r="EX121" s="23">
        <f>EXP(-LN(2)/2)*EX120+(1-EXP(-LN(2)/2))/(LN(2)/2)*ER121*EU121*VLOOKUP('Données projet'!$B$15,Paramètres!$A$1:$I$89,3,0)*0.475*44/12</f>
        <v>0</v>
      </c>
      <c r="EY121" s="24">
        <f t="shared" si="75"/>
        <v>48.178616412746472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5.6843418860808015E-14</v>
      </c>
      <c r="FF121" s="18">
        <f>FE121*VLOOKUP('Données projet'!$B$16,Paramètres!$A$1:$I$89,3,0)*VLOOKUP('Données projet'!$B$16,Paramètres!$A$1:$I$89,5,0)</f>
        <v>5.4978954722173515E-14</v>
      </c>
      <c r="FG121" s="14">
        <f t="shared" si="101"/>
        <v>8.8550225887742724E-13</v>
      </c>
      <c r="FH121" s="22">
        <f t="shared" si="76"/>
        <v>1.6380047803526383E-12</v>
      </c>
      <c r="FI121" s="62">
        <f t="shared" si="77"/>
        <v>281.70832336460205</v>
      </c>
      <c r="FJ121" s="62">
        <f ca="1">AVERAGE(OFFSET($FI$3,0,0,'Données projet'!$E$16+1,1))-AVERAGE(OFFSET($H$3,0,0,'Données projet'!$E$16+1,1))</f>
        <v>369.69145521630799</v>
      </c>
      <c r="FK121" s="62">
        <f t="shared" si="102"/>
        <v>360.24112103688719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>
        <f>EXP(-LN(2)/35)*FQ120+(1-EXP(-LN(2)/35))/(LN(2)/35)*FM121*FN121*VLOOKUP('Données projet'!$B$16,Paramètres!$A$1:$I$89,3,0)*0.475*44/12</f>
        <v>63.554770587027249</v>
      </c>
      <c r="FR121" s="23">
        <f>EXP(-LN(2)/25)*FR120+(1-EXP(-LN(2)/25))/(LN(2)/25)*Calculateur!FM121*Calculateur!FO121*VLOOKUP('Données projet'!$B$16,Paramètres!$A$1:$I$89,3,0)*0.475*44/12</f>
        <v>0</v>
      </c>
      <c r="FS121" s="23">
        <f>EXP(-LN(2)/2)*FS120+(1-EXP(-LN(2)/2))/(LN(2)/2)*FM121*FP121*VLOOKUP('Données projet'!$B$16,Paramètres!$A$1:$I$89,3,0)*0.475*44/12</f>
        <v>0</v>
      </c>
      <c r="FT121" s="24">
        <f t="shared" si="78"/>
        <v>63.554770587027249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5.6843418860808015E-14</v>
      </c>
      <c r="GA121" s="18">
        <f>FZ121*VLOOKUP('Données projet'!$B$17,Paramètres!$A$1:$I$89,3,0)*VLOOKUP('Données projet'!$B$17,Paramètres!$A$1:$I$89,5,0)</f>
        <v>6.1186256061773749E-14</v>
      </c>
      <c r="GB121" s="14">
        <f t="shared" si="103"/>
        <v>9.7328366192051127E-13</v>
      </c>
      <c r="GC121" s="22">
        <f t="shared" si="79"/>
        <v>1.8017017738191463E-12</v>
      </c>
      <c r="GD121" s="62">
        <f t="shared" si="80"/>
        <v>281.70832336460222</v>
      </c>
      <c r="GE121" s="62">
        <f ca="1">AVERAGE(OFFSET($GD$3,0,0,'Données projet'!$E$17+1,1))-AVERAGE(OFFSET($H$3,0,0,'Données projet'!$E$17+1,1))</f>
        <v>405.06394904053946</v>
      </c>
      <c r="GF121" s="62">
        <f t="shared" si="104"/>
        <v>393.75247087518198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>
        <f>EXP(-LN(2)/35)*GL120+(1-EXP(-LN(2)/35))/(LN(2)/35)*GH121*GI121*VLOOKUP('Données projet'!$B$17,Paramètres!$A$1:$I$89,3,0)*0.475*44/12</f>
        <v>70.730309201691611</v>
      </c>
      <c r="GM121" s="23">
        <f>EXP(-LN(2)/25)*GM120+(1-EXP(-LN(2)/25))/(LN(2)/25)*Calculateur!GH121*Calculateur!GJ121*VLOOKUP('Données projet'!$B$17,Paramètres!$A$1:$I$89,3,0)*0.475*44/12</f>
        <v>0</v>
      </c>
      <c r="GN121" s="23">
        <f>EXP(-LN(2)/2)*GN120+(1-EXP(-LN(2)/2))/(LN(2)/2)*GH121*GK121*VLOOKUP('Données projet'!$B$17,Paramètres!$A$1:$I$89,3,0)*0.475*44/12</f>
        <v>0</v>
      </c>
      <c r="GO121" s="23">
        <f t="shared" si="81"/>
        <v>70.730309201691611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5.6843418860808015E-14</v>
      </c>
      <c r="GV121" s="18">
        <f>GU121*VLOOKUP('Données projet'!$B$18,Paramètres!$A$1:$I$89,3,0)*VLOOKUP('Données projet'!$B$18,Paramètres!$A$1:$I$89,5,0)</f>
        <v>3.813056537183002E-14</v>
      </c>
      <c r="GW121" s="14">
        <f t="shared" si="105"/>
        <v>6.4086286045526829E-13</v>
      </c>
      <c r="GX121" s="22">
        <f t="shared" si="82"/>
        <v>1.1825802166488628E-12</v>
      </c>
      <c r="GY121" s="62">
        <f t="shared" si="83"/>
        <v>281.7083233646016</v>
      </c>
      <c r="GZ121" s="62">
        <f ca="1">AVERAGE(OFFSET($GY$3,0,0,'Données projet'!$E$18+1,1))-AVERAGE(OFFSET($H$3,0,0,'Données projet'!$E$18+1,1))</f>
        <v>273.21861937609918</v>
      </c>
      <c r="HA121" s="62">
        <f t="shared" si="106"/>
        <v>268.83004886965318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>
        <f>EXP(-LN(2)/35)*HG120+(1-EXP(-LN(2)/35))/(LN(2)/35)*HC121*HD121*VLOOKUP('Données projet'!$B$18,Paramètres!$A$1:$I$89,3,0)*0.475*44/12</f>
        <v>54.329078082458786</v>
      </c>
      <c r="HH121" s="23">
        <f>EXP(-LN(2)/25)*HH120+(1-EXP(-LN(2)/25))/(LN(2)/25)*Calculateur!HC121*Calculateur!HE121*VLOOKUP('Données projet'!$B$18,Paramètres!$A$1:$I$89,3,0)*0.475*44/12</f>
        <v>0</v>
      </c>
      <c r="HI121" s="23">
        <f>EXP(-LN(2)/2)*HI120+(1-EXP(-LN(2)/2))/(LN(2)/2)*HC121*HF121*VLOOKUP('Données projet'!$B$18,Paramètres!$A$1:$I$89,3,0)*0.475*44/12</f>
        <v>0</v>
      </c>
      <c r="HJ121" s="24">
        <f t="shared" si="84"/>
        <v>54.329078082458786</v>
      </c>
    </row>
    <row r="122" spans="1:218" s="5" customFormat="1" x14ac:dyDescent="0.4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5.6</v>
      </c>
      <c r="N122" s="14">
        <f>IF('Données projet'!$A$36&gt;35,N121+M122-V121,IF(A122&lt;'Données projet'!$A$36,$K$205^A122,IF(A122='Données projet'!$A$36,'Données projet'!$B$36,N121+M122-V121)))</f>
        <v>246.59999999999991</v>
      </c>
      <c r="O122" s="14">
        <f>N122*VLOOKUP('Données projet'!$B$9,Paramètres!$A$1:$I$89,3,0)*VLOOKUP('Données projet'!$B$9,Paramètres!$A$1:$I$89,5,0)</f>
        <v>223.12367999999989</v>
      </c>
      <c r="P122" s="14">
        <f t="shared" si="87"/>
        <v>54.793244051140597</v>
      </c>
      <c r="Q122" s="22">
        <f t="shared" si="107"/>
        <v>484.03864272240298</v>
      </c>
      <c r="R122" s="62">
        <f t="shared" si="55"/>
        <v>765.94863402033207</v>
      </c>
      <c r="S122" s="62">
        <f ca="1">AVERAGE(OFFSET($R$3,0,0,'Données projet'!$E$9+1,1))-AVERAGE(OFFSET($H$3,0,0,'Données projet'!$E$9+1,1))</f>
        <v>432.80275651765203</v>
      </c>
      <c r="T122" s="62">
        <f t="shared" si="88"/>
        <v>203.89279893419919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29.559328173858791</v>
      </c>
      <c r="AA122" s="23">
        <f>EXP(-LN(2)/25)*AA121+(1-EXP(-LN(2)/25))/(LN(2)/25)*Calculateur!V122*Calculateur!X122*VLOOKUP('Données projet'!$B$9,Paramètres!$A$1:$I$89,3,0)*0.475*44/12</f>
        <v>20.438676262377275</v>
      </c>
      <c r="AB122" s="23">
        <f>EXP(-LN(2)/2)*AB121+(1-EXP(-LN(2)/2))/(LN(2)/2)*V122*Y122*VLOOKUP('Données projet'!$B$9,Paramètres!$A$1:$I$89,3,0)*0.475*44/12</f>
        <v>0</v>
      </c>
      <c r="AC122" s="24">
        <f t="shared" si="57"/>
        <v>49.998004436236066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54.000000000000341</v>
      </c>
      <c r="AJ122" s="14">
        <f>AI122*VLOOKUP('Données projet'!$B$10,Paramètres!$A$1:$I$89,3,0)*VLOOKUP('Données projet'!$B$10,Paramètres!$A$1:$I$89,5,0)</f>
        <v>23.868000000000151</v>
      </c>
      <c r="AK122" s="14">
        <f t="shared" si="89"/>
        <v>7.6030930962115804</v>
      </c>
      <c r="AL122" s="22">
        <f t="shared" si="58"/>
        <v>54.812153809235433</v>
      </c>
      <c r="AM122" s="62">
        <f t="shared" si="59"/>
        <v>336.72214510716458</v>
      </c>
      <c r="AN122" s="62">
        <f ca="1">AVERAGE(OFFSET($AM$3,0,0,'Données projet'!$E$10+1,1))-AVERAGE(OFFSET($H$3,0,0,'Données projet'!$E$10+1,1))</f>
        <v>413.08876898406481</v>
      </c>
      <c r="AO122" s="62">
        <f t="shared" si="90"/>
        <v>520.31320932826566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85.407036968871907</v>
      </c>
      <c r="AV122" s="23">
        <f>EXP(-LN(2)/25)*AV121+(1-EXP(-LN(2)/25))/(LN(2)/25)*Calculateur!AQ122*Calculateur!AS122*VLOOKUP('Données projet'!$B$10,Paramètres!$A$1:$I$89,3,0)*0.475*44/12</f>
        <v>3.9305276568647658</v>
      </c>
      <c r="AW122" s="23">
        <f>EXP(-LN(2)/2)*AW121+(1-EXP(-LN(2)/2))/(LN(2)/2)*AQ122*AT122*VLOOKUP('Données projet'!$B$10,Paramètres!$A$1:$I$89,3,0)*0.475*44/12</f>
        <v>2.9308427274663128E-11</v>
      </c>
      <c r="AX122" s="23">
        <f t="shared" si="60"/>
        <v>89.337564625765978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54.000000000000341</v>
      </c>
      <c r="BE122" s="14">
        <f>BD122*VLOOKUP('Données projet'!$B$11,Paramètres!$A$1:$I$89,3,0)*VLOOKUP('Données projet'!$B$11,Paramètres!$A$1:$I$89,5,0)</f>
        <v>30.186000000000188</v>
      </c>
      <c r="BF122" s="14">
        <f t="shared" si="91"/>
        <v>9.3563888882899153</v>
      </c>
      <c r="BG122" s="22">
        <f t="shared" si="61"/>
        <v>68.869660647105263</v>
      </c>
      <c r="BH122" s="62">
        <f t="shared" si="62"/>
        <v>350.7796519450344</v>
      </c>
      <c r="BI122" s="62">
        <f ca="1">AVERAGE(OFFSET($BH$3,0,0,'Données projet'!$E$11+1,1))-AVERAGE(OFFSET($H$3,0,0,'Données projet'!$E$11+1,1))</f>
        <v>507.66185230065889</v>
      </c>
      <c r="BJ122" s="62">
        <f t="shared" si="92"/>
        <v>640.14375617778342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108.01478204886733</v>
      </c>
      <c r="BQ122" s="23">
        <f>EXP(-LN(2)/25)*BQ121+(1-EXP(-LN(2)/25))/(LN(2)/25)*Calculateur!BL122*Calculateur!BN122*VLOOKUP('Données projet'!$B$11,Paramètres!$A$1:$I$89,3,0)*0.475*44/12</f>
        <v>4.9709614483877971</v>
      </c>
      <c r="BR122" s="23">
        <f>EXP(-LN(2)/2)*BR121+(1-EXP(-LN(2)/2))/(LN(2)/2)*BL122*BO122*VLOOKUP('Données projet'!$B$11,Paramètres!$A$1:$I$89,3,0)*0.475*44/12</f>
        <v>3.7066540376779865E-11</v>
      </c>
      <c r="BS122" s="24">
        <f t="shared" si="63"/>
        <v>112.98574349729219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417.04879970000007</v>
      </c>
      <c r="BZ122" s="14">
        <f>BY122*VLOOKUP('Données projet'!$B$12,Paramètres!$A$1:$I$89,3,0)*VLOOKUP('Données projet'!$B$12,Paramètres!$A$1:$I$89,5,0)</f>
        <v>195.17883825960004</v>
      </c>
      <c r="CA122" s="14">
        <f t="shared" si="93"/>
        <v>48.683122291673484</v>
      </c>
      <c r="CB122" s="22">
        <f t="shared" si="64"/>
        <v>424.72624796013469</v>
      </c>
      <c r="CC122" s="62">
        <f t="shared" si="65"/>
        <v>706.63623925806382</v>
      </c>
      <c r="CD122" s="62">
        <f ca="1">AVERAGE(OFFSET($CC$3,0,0,'Données projet'!$E$12+1,1))-AVERAGE(OFFSET($H$3,0,0,'Données projet'!$E$12+1,1))</f>
        <v>289.21044803824958</v>
      </c>
      <c r="CE122" s="62">
        <f t="shared" si="94"/>
        <v>196.11836398299445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>
        <f>EXP(-LN(2)/35)*CK121+(1-EXP(-LN(2)/35))/(LN(2)/35)*CG122*CH122*VLOOKUP('Données projet'!$B$12,Paramètres!$A$1:$I$89,3,0)*0.475*44/12</f>
        <v>47.27477166942483</v>
      </c>
      <c r="CL122" s="23">
        <f>EXP(-LN(2)/25)*CL121+(1-EXP(-LN(2)/25))/(LN(2)/25)*Calculateur!CG122*Calculateur!CI122*VLOOKUP('Données projet'!$B$12,Paramètres!$A$1:$I$89,3,0)*0.475*44/12</f>
        <v>18.930768967735339</v>
      </c>
      <c r="CM122" s="23">
        <f>EXP(-LN(2)/2)*CM121+(1-EXP(-LN(2)/2))/(LN(2)/2)*CG122*CJ122*VLOOKUP('Données projet'!$B$12,Paramètres!$A$1:$I$89,3,0)*0.475*44/12</f>
        <v>0</v>
      </c>
      <c r="CN122" s="24">
        <f t="shared" si="66"/>
        <v>66.205540637160169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-5.6843418860808015E-14</v>
      </c>
      <c r="CU122" s="18">
        <f>CT122*VLOOKUP('Données projet'!$B$13,Paramètres!$A$1:$I$89,3,0)*VLOOKUP('Données projet'!$B$13,Paramètres!$A$1:$I$89,5,0)</f>
        <v>-5.1431925385259088E-14</v>
      </c>
      <c r="CV122" s="14" t="e">
        <f t="shared" si="95"/>
        <v>#NUM!</v>
      </c>
      <c r="CW122" s="22" t="e">
        <f t="shared" si="67"/>
        <v>#NUM!</v>
      </c>
      <c r="CX122" s="62" t="e">
        <f t="shared" si="68"/>
        <v>#NUM!</v>
      </c>
      <c r="CY122" s="62">
        <f ca="1">AVERAGE(OFFSET($CX$3,0,0,'Données projet'!$E$13+1,1))-AVERAGE(OFFSET($H$3,0,0,'Données projet'!$E$13+1,1))</f>
        <v>376.68007030857598</v>
      </c>
      <c r="CZ122" s="62">
        <f t="shared" si="96"/>
        <v>532.90758914457626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>
        <f>EXP(-LN(2)/35)*DF121+(1-EXP(-LN(2)/35))/(LN(2)/35)*DB122*DC122*VLOOKUP('Données projet'!$B$13,Paramètres!$A$1:$I$89,3,0)*0.475*44/12</f>
        <v>21.622809973239921</v>
      </c>
      <c r="DG122" s="23">
        <f>EXP(-LN(2)/25)*DG121+(1-EXP(-LN(2)/25))/(LN(2)/25)*Calculateur!DB122*Calculateur!DD122*VLOOKUP('Données projet'!$B$13,Paramètres!$A$1:$I$89,3,0)*0.475*44/12</f>
        <v>1.1107411386731192</v>
      </c>
      <c r="DH122" s="23">
        <f>EXP(-LN(2)/2)*DH121+(1-EXP(-LN(2)/2))/(LN(2)/2)*DB122*DE122*VLOOKUP('Données projet'!$B$13,Paramètres!$A$1:$I$89,3,0)*0.475*44/12</f>
        <v>0</v>
      </c>
      <c r="DI122" s="24">
        <f t="shared" si="69"/>
        <v>22.733551111913041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5.6843418860808015E-14</v>
      </c>
      <c r="DP122" s="18">
        <f>DO122*VLOOKUP('Données projet'!$B$14,Paramètres!$A$1:$I$89,3,0)*VLOOKUP('Données projet'!$B$14,Paramètres!$A$1:$I$89,5,0)</f>
        <v>5.4092197387944907E-14</v>
      </c>
      <c r="DQ122" s="14">
        <f t="shared" si="97"/>
        <v>8.7287050538073676E-13</v>
      </c>
      <c r="DR122" s="22">
        <f t="shared" si="70"/>
        <v>1.6144600406554537E-12</v>
      </c>
      <c r="DS122" s="62">
        <f t="shared" si="71"/>
        <v>281.90999129793073</v>
      </c>
      <c r="DT122" s="62">
        <f ca="1">AVERAGE(OFFSET($DS$3,0,0,'Données projet'!$E$14+1,1))-AVERAGE(OFFSET($H$3,0,0,'Données projet'!$E$14+1,1))</f>
        <v>364.63161066507769</v>
      </c>
      <c r="DU122" s="62">
        <f t="shared" si="98"/>
        <v>355.44729904860708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>
        <f>EXP(-LN(2)/35)*EA121+(1-EXP(-LN(2)/35))/(LN(2)/35)*DW122*DX122*VLOOKUP('Données projet'!$B$14,Paramètres!$A$1:$I$89,3,0)*0.475*44/12</f>
        <v>61.303524489101271</v>
      </c>
      <c r="EB122" s="23">
        <f>EXP(-LN(2)/25)*EB121+(1-EXP(-LN(2)/25))/(LN(2)/25)*Calculateur!DW122*Calculateur!DY122*VLOOKUP('Données projet'!$B$14,Paramètres!$A$1:$I$89,3,0)*0.475*44/12</f>
        <v>0</v>
      </c>
      <c r="EC122" s="23">
        <f>EXP(-LN(2)/2)*EC121+(1-EXP(-LN(2)/2))/(LN(2)/2)*DW122*DZ122*VLOOKUP('Données projet'!$B$14,Paramètres!$A$1:$I$89,3,0)*0.475*44/12</f>
        <v>0</v>
      </c>
      <c r="ED122" s="24">
        <f t="shared" si="72"/>
        <v>61.303524489101271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5.6843418860808015E-14</v>
      </c>
      <c r="EK122" s="18">
        <f>EJ122*VLOOKUP('Données projet'!$B$15,Paramètres!$A$1:$I$89,3,0)*VLOOKUP('Données projet'!$B$15,Paramètres!$A$1:$I$89,5,0)</f>
        <v>4.1677594708744434E-14</v>
      </c>
      <c r="EL122" s="14">
        <f t="shared" si="99"/>
        <v>6.9326303456159188E-13</v>
      </c>
      <c r="EM122" s="22">
        <f t="shared" si="73"/>
        <v>1.2800215959791691E-12</v>
      </c>
      <c r="EN122" s="62">
        <f t="shared" si="74"/>
        <v>281.90999129793045</v>
      </c>
      <c r="EO122" s="62">
        <f ca="1">AVERAGE(OFFSET($EN$3,0,0,'Données projet'!$E$15+1,1))-AVERAGE(OFFSET($H$3,0,0,'Données projet'!$E$15+1,1))</f>
        <v>293.59366973965774</v>
      </c>
      <c r="EP122" s="62">
        <f t="shared" si="100"/>
        <v>288.13804536120426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>
        <f>EXP(-LN(2)/35)*EV121+(1-EXP(-LN(2)/35))/(LN(2)/35)*ER122*ES122*VLOOKUP('Données projet'!$B$15,Paramètres!$A$1:$I$89,3,0)*0.475*44/12</f>
        <v>47.233863130946894</v>
      </c>
      <c r="EW122" s="23">
        <f>EXP(-LN(2)/25)*EW121+(1-EXP(-LN(2)/25))/(LN(2)/25)*Calculateur!ER122*Calculateur!ET122*VLOOKUP('Données projet'!$B$15,Paramètres!$A$1:$I$89,3,0)*0.475*44/12</f>
        <v>0</v>
      </c>
      <c r="EX122" s="23">
        <f>EXP(-LN(2)/2)*EX121+(1-EXP(-LN(2)/2))/(LN(2)/2)*ER122*EU122*VLOOKUP('Données projet'!$B$15,Paramètres!$A$1:$I$89,3,0)*0.475*44/12</f>
        <v>0</v>
      </c>
      <c r="EY122" s="24">
        <f t="shared" si="75"/>
        <v>47.233863130946894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5.6843418860808015E-14</v>
      </c>
      <c r="FF122" s="18">
        <f>FE122*VLOOKUP('Données projet'!$B$16,Paramètres!$A$1:$I$89,3,0)*VLOOKUP('Données projet'!$B$16,Paramètres!$A$1:$I$89,5,0)</f>
        <v>5.4978954722173515E-14</v>
      </c>
      <c r="FG122" s="14">
        <f t="shared" si="101"/>
        <v>8.8550225887742724E-13</v>
      </c>
      <c r="FH122" s="22">
        <f t="shared" si="76"/>
        <v>1.6380047803526383E-12</v>
      </c>
      <c r="FI122" s="62">
        <f t="shared" si="77"/>
        <v>281.90999129793079</v>
      </c>
      <c r="FJ122" s="62">
        <f ca="1">AVERAGE(OFFSET($FI$3,0,0,'Données projet'!$E$16+1,1))-AVERAGE(OFFSET($H$3,0,0,'Données projet'!$E$16+1,1))</f>
        <v>369.69145521630799</v>
      </c>
      <c r="FK122" s="62">
        <f t="shared" si="102"/>
        <v>360.24112103688719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>
        <f>EXP(-LN(2)/35)*FQ121+(1-EXP(-LN(2)/35))/(LN(2)/35)*FM122*FN122*VLOOKUP('Données projet'!$B$16,Paramètres!$A$1:$I$89,3,0)*0.475*44/12</f>
        <v>62.308500300398016</v>
      </c>
      <c r="FR122" s="23">
        <f>EXP(-LN(2)/25)*FR121+(1-EXP(-LN(2)/25))/(LN(2)/25)*Calculateur!FM122*Calculateur!FO122*VLOOKUP('Données projet'!$B$16,Paramètres!$A$1:$I$89,3,0)*0.475*44/12</f>
        <v>0</v>
      </c>
      <c r="FS122" s="23">
        <f>EXP(-LN(2)/2)*FS121+(1-EXP(-LN(2)/2))/(LN(2)/2)*FM122*FP122*VLOOKUP('Données projet'!$B$16,Paramètres!$A$1:$I$89,3,0)*0.475*44/12</f>
        <v>0</v>
      </c>
      <c r="FT122" s="24">
        <f t="shared" si="78"/>
        <v>62.308500300398016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5.6843418860808015E-14</v>
      </c>
      <c r="GA122" s="18">
        <f>FZ122*VLOOKUP('Données projet'!$B$17,Paramètres!$A$1:$I$89,3,0)*VLOOKUP('Données projet'!$B$17,Paramètres!$A$1:$I$89,5,0)</f>
        <v>6.1186256061773749E-14</v>
      </c>
      <c r="GB122" s="14">
        <f t="shared" si="103"/>
        <v>9.7328366192051127E-13</v>
      </c>
      <c r="GC122" s="22">
        <f t="shared" si="79"/>
        <v>1.8017017738191463E-12</v>
      </c>
      <c r="GD122" s="62">
        <f t="shared" si="80"/>
        <v>281.90999129793096</v>
      </c>
      <c r="GE122" s="62">
        <f ca="1">AVERAGE(OFFSET($GD$3,0,0,'Données projet'!$E$17+1,1))-AVERAGE(OFFSET($H$3,0,0,'Données projet'!$E$17+1,1))</f>
        <v>405.06394904053946</v>
      </c>
      <c r="GF122" s="62">
        <f t="shared" si="104"/>
        <v>393.75247087518198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>
        <f>EXP(-LN(2)/35)*GL121+(1-EXP(-LN(2)/35))/(LN(2)/35)*GH122*GI122*VLOOKUP('Données projet'!$B$17,Paramètres!$A$1:$I$89,3,0)*0.475*44/12</f>
        <v>69.343330979475212</v>
      </c>
      <c r="GM122" s="23">
        <f>EXP(-LN(2)/25)*GM121+(1-EXP(-LN(2)/25))/(LN(2)/25)*Calculateur!GH122*Calculateur!GJ122*VLOOKUP('Données projet'!$B$17,Paramètres!$A$1:$I$89,3,0)*0.475*44/12</f>
        <v>0</v>
      </c>
      <c r="GN122" s="23">
        <f>EXP(-LN(2)/2)*GN121+(1-EXP(-LN(2)/2))/(LN(2)/2)*GH122*GK122*VLOOKUP('Données projet'!$B$17,Paramètres!$A$1:$I$89,3,0)*0.475*44/12</f>
        <v>0</v>
      </c>
      <c r="GO122" s="23">
        <f t="shared" si="81"/>
        <v>69.343330979475212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5.6843418860808015E-14</v>
      </c>
      <c r="GV122" s="18">
        <f>GU122*VLOOKUP('Données projet'!$B$18,Paramètres!$A$1:$I$89,3,0)*VLOOKUP('Données projet'!$B$18,Paramètres!$A$1:$I$89,5,0)</f>
        <v>3.813056537183002E-14</v>
      </c>
      <c r="GW122" s="14">
        <f t="shared" si="105"/>
        <v>6.4086286045526829E-13</v>
      </c>
      <c r="GX122" s="22">
        <f t="shared" si="82"/>
        <v>1.1825802166488628E-12</v>
      </c>
      <c r="GY122" s="62">
        <f t="shared" si="83"/>
        <v>281.90999129793033</v>
      </c>
      <c r="GZ122" s="62">
        <f ca="1">AVERAGE(OFFSET($GY$3,0,0,'Données projet'!$E$18+1,1))-AVERAGE(OFFSET($H$3,0,0,'Données projet'!$E$18+1,1))</f>
        <v>273.21861937609918</v>
      </c>
      <c r="HA122" s="62">
        <f t="shared" si="106"/>
        <v>268.83004886965318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>
        <f>EXP(-LN(2)/35)*HG121+(1-EXP(-LN(2)/35))/(LN(2)/35)*HC122*HD122*VLOOKUP('Données projet'!$B$18,Paramètres!$A$1:$I$89,3,0)*0.475*44/12</f>
        <v>53.263717998727344</v>
      </c>
      <c r="HH122" s="23">
        <f>EXP(-LN(2)/25)*HH121+(1-EXP(-LN(2)/25))/(LN(2)/25)*Calculateur!HC122*Calculateur!HE122*VLOOKUP('Données projet'!$B$18,Paramètres!$A$1:$I$89,3,0)*0.475*44/12</f>
        <v>0</v>
      </c>
      <c r="HI122" s="23">
        <f>EXP(-LN(2)/2)*HI121+(1-EXP(-LN(2)/2))/(LN(2)/2)*HC122*HF122*VLOOKUP('Données projet'!$B$18,Paramètres!$A$1:$I$89,3,0)*0.475*44/12</f>
        <v>0</v>
      </c>
      <c r="HJ122" s="24">
        <f t="shared" si="84"/>
        <v>53.263717998727344</v>
      </c>
    </row>
    <row r="123" spans="1:218" s="5" customFormat="1" x14ac:dyDescent="0.4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5.6</v>
      </c>
      <c r="N123" s="14">
        <f>IF('Données projet'!$A$36&gt;35,N122+M123-V122,IF(A123&lt;'Données projet'!$A$36,$K$205^A123,IF(A123='Données projet'!$A$36,'Données projet'!$B$36,N122+M123-V122)))</f>
        <v>252.1999999999999</v>
      </c>
      <c r="O123" s="14">
        <f>N123*VLOOKUP('Données projet'!$B$9,Paramètres!$A$1:$I$89,3,0)*VLOOKUP('Données projet'!$B$9,Paramètres!$A$1:$I$89,5,0)</f>
        <v>228.19055999999989</v>
      </c>
      <c r="P123" s="14">
        <f t="shared" si="87"/>
        <v>55.89125863442456</v>
      </c>
      <c r="Q123" s="22">
        <f t="shared" si="107"/>
        <v>494.77583412162261</v>
      </c>
      <c r="R123" s="62">
        <f t="shared" si="55"/>
        <v>776.88399486509923</v>
      </c>
      <c r="S123" s="62">
        <f ca="1">AVERAGE(OFFSET($R$3,0,0,'Données projet'!$E$9+1,1))-AVERAGE(OFFSET($H$3,0,0,'Données projet'!$E$9+1,1))</f>
        <v>432.80275651765203</v>
      </c>
      <c r="T123" s="62">
        <f t="shared" si="88"/>
        <v>203.89279893419919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28.97968777777935</v>
      </c>
      <c r="AA123" s="23">
        <f>EXP(-LN(2)/25)*AA122+(1-EXP(-LN(2)/25))/(LN(2)/25)*Calculateur!V123*Calculateur!X123*VLOOKUP('Données projet'!$B$9,Paramètres!$A$1:$I$89,3,0)*0.475*44/12</f>
        <v>19.879779585159298</v>
      </c>
      <c r="AB123" s="23">
        <f>EXP(-LN(2)/2)*AB122+(1-EXP(-LN(2)/2))/(LN(2)/2)*V123*Y123*VLOOKUP('Données projet'!$B$9,Paramètres!$A$1:$I$89,3,0)*0.475*44/12</f>
        <v>0</v>
      </c>
      <c r="AC123" s="24">
        <f t="shared" si="57"/>
        <v>48.859467362938645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54.000000000000341</v>
      </c>
      <c r="AJ123" s="14">
        <f>AI123*VLOOKUP('Données projet'!$B$10,Paramètres!$A$1:$I$89,3,0)*VLOOKUP('Données projet'!$B$10,Paramètres!$A$1:$I$89,5,0)</f>
        <v>23.868000000000151</v>
      </c>
      <c r="AK123" s="14">
        <f t="shared" si="89"/>
        <v>7.6030930962115804</v>
      </c>
      <c r="AL123" s="22">
        <f t="shared" si="58"/>
        <v>54.812153809235433</v>
      </c>
      <c r="AM123" s="62">
        <f t="shared" si="59"/>
        <v>336.92031455271206</v>
      </c>
      <c r="AN123" s="62">
        <f ca="1">AVERAGE(OFFSET($AM$3,0,0,'Données projet'!$E$10+1,1))-AVERAGE(OFFSET($H$3,0,0,'Données projet'!$E$10+1,1))</f>
        <v>413.08876898406481</v>
      </c>
      <c r="AO123" s="62">
        <f t="shared" si="90"/>
        <v>520.31320932826566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83.732257067061113</v>
      </c>
      <c r="AV123" s="23">
        <f>EXP(-LN(2)/25)*AV122+(1-EXP(-LN(2)/25))/(LN(2)/25)*Calculateur!AQ123*Calculateur!AS123*VLOOKUP('Données projet'!$B$10,Paramètres!$A$1:$I$89,3,0)*0.475*44/12</f>
        <v>3.8230471713903325</v>
      </c>
      <c r="AW123" s="23">
        <f>EXP(-LN(2)/2)*AW122+(1-EXP(-LN(2)/2))/(LN(2)/2)*AQ123*AT123*VLOOKUP('Données projet'!$B$10,Paramètres!$A$1:$I$89,3,0)*0.475*44/12</f>
        <v>2.0724187671827063E-11</v>
      </c>
      <c r="AX123" s="23">
        <f t="shared" si="60"/>
        <v>87.555304238472161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54.000000000000341</v>
      </c>
      <c r="BE123" s="14">
        <f>BD123*VLOOKUP('Données projet'!$B$11,Paramètres!$A$1:$I$89,3,0)*VLOOKUP('Données projet'!$B$11,Paramètres!$A$1:$I$89,5,0)</f>
        <v>30.186000000000188</v>
      </c>
      <c r="BF123" s="14">
        <f t="shared" si="91"/>
        <v>9.3563888882899153</v>
      </c>
      <c r="BG123" s="22">
        <f t="shared" si="61"/>
        <v>68.869660647105263</v>
      </c>
      <c r="BH123" s="62">
        <f t="shared" si="62"/>
        <v>350.97782139058188</v>
      </c>
      <c r="BI123" s="62">
        <f ca="1">AVERAGE(OFFSET($BH$3,0,0,'Données projet'!$E$11+1,1))-AVERAGE(OFFSET($H$3,0,0,'Données projet'!$E$11+1,1))</f>
        <v>507.66185230065889</v>
      </c>
      <c r="BJ123" s="62">
        <f t="shared" si="92"/>
        <v>640.14375617778342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105.89667805540074</v>
      </c>
      <c r="BQ123" s="23">
        <f>EXP(-LN(2)/25)*BQ122+(1-EXP(-LN(2)/25))/(LN(2)/25)*Calculateur!BL123*Calculateur!BN123*VLOOKUP('Données projet'!$B$11,Paramètres!$A$1:$I$89,3,0)*0.475*44/12</f>
        <v>4.8350302461701311</v>
      </c>
      <c r="BR123" s="23">
        <f>EXP(-LN(2)/2)*BR122+(1-EXP(-LN(2)/2))/(LN(2)/2)*BL123*BO123*VLOOKUP('Données projet'!$B$11,Paramètres!$A$1:$I$89,3,0)*0.475*44/12</f>
        <v>2.6210002055546009E-11</v>
      </c>
      <c r="BS123" s="24">
        <f t="shared" si="63"/>
        <v>110.73170830159708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417.04879970000007</v>
      </c>
      <c r="BZ123" s="14">
        <f>BY123*VLOOKUP('Données projet'!$B$12,Paramètres!$A$1:$I$89,3,0)*VLOOKUP('Données projet'!$B$12,Paramètres!$A$1:$I$89,5,0)</f>
        <v>195.17883825960004</v>
      </c>
      <c r="CA123" s="14">
        <f t="shared" si="93"/>
        <v>48.683122291673484</v>
      </c>
      <c r="CB123" s="22">
        <f t="shared" si="64"/>
        <v>424.72624796013469</v>
      </c>
      <c r="CC123" s="62">
        <f t="shared" si="65"/>
        <v>706.8344087036113</v>
      </c>
      <c r="CD123" s="62">
        <f ca="1">AVERAGE(OFFSET($CC$3,0,0,'Données projet'!$E$12+1,1))-AVERAGE(OFFSET($H$3,0,0,'Données projet'!$E$12+1,1))</f>
        <v>289.21044803824958</v>
      </c>
      <c r="CE123" s="62">
        <f t="shared" si="94"/>
        <v>196.11836398299445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>
        <f>EXP(-LN(2)/35)*CK122+(1-EXP(-LN(2)/35))/(LN(2)/35)*CG123*CH123*VLOOKUP('Données projet'!$B$12,Paramètres!$A$1:$I$89,3,0)*0.475*44/12</f>
        <v>46.347742231750928</v>
      </c>
      <c r="CL123" s="23">
        <f>EXP(-LN(2)/25)*CL122+(1-EXP(-LN(2)/25))/(LN(2)/25)*Calculateur!CG123*Calculateur!CI123*VLOOKUP('Données projet'!$B$12,Paramètres!$A$1:$I$89,3,0)*0.475*44/12</f>
        <v>18.413106094786745</v>
      </c>
      <c r="CM123" s="23">
        <f>EXP(-LN(2)/2)*CM122+(1-EXP(-LN(2)/2))/(LN(2)/2)*CG123*CJ123*VLOOKUP('Données projet'!$B$12,Paramètres!$A$1:$I$89,3,0)*0.475*44/12</f>
        <v>0</v>
      </c>
      <c r="CN123" s="24">
        <f t="shared" si="66"/>
        <v>64.760848326537669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-5.6843418860808015E-14</v>
      </c>
      <c r="CU123" s="18">
        <f>CT123*VLOOKUP('Données projet'!$B$13,Paramètres!$A$1:$I$89,3,0)*VLOOKUP('Données projet'!$B$13,Paramètres!$A$1:$I$89,5,0)</f>
        <v>-5.1431925385259088E-14</v>
      </c>
      <c r="CV123" s="14" t="e">
        <f t="shared" si="95"/>
        <v>#NUM!</v>
      </c>
      <c r="CW123" s="22" t="e">
        <f t="shared" si="67"/>
        <v>#NUM!</v>
      </c>
      <c r="CX123" s="62" t="e">
        <f t="shared" si="68"/>
        <v>#NUM!</v>
      </c>
      <c r="CY123" s="62">
        <f ca="1">AVERAGE(OFFSET($CX$3,0,0,'Données projet'!$E$13+1,1))-AVERAGE(OFFSET($H$3,0,0,'Données projet'!$E$13+1,1))</f>
        <v>376.68007030857598</v>
      </c>
      <c r="CZ123" s="62">
        <f t="shared" si="96"/>
        <v>532.90758914457626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>
        <f>EXP(-LN(2)/35)*DF122+(1-EXP(-LN(2)/35))/(LN(2)/35)*DB123*DC123*VLOOKUP('Données projet'!$B$13,Paramètres!$A$1:$I$89,3,0)*0.475*44/12</f>
        <v>21.198799858276502</v>
      </c>
      <c r="DG123" s="23">
        <f>EXP(-LN(2)/25)*DG122+(1-EXP(-LN(2)/25))/(LN(2)/25)*Calculateur!DB123*Calculateur!DD123*VLOOKUP('Données projet'!$B$13,Paramètres!$A$1:$I$89,3,0)*0.475*44/12</f>
        <v>1.0803678638247649</v>
      </c>
      <c r="DH123" s="23">
        <f>EXP(-LN(2)/2)*DH122+(1-EXP(-LN(2)/2))/(LN(2)/2)*DB123*DE123*VLOOKUP('Données projet'!$B$13,Paramètres!$A$1:$I$89,3,0)*0.475*44/12</f>
        <v>0</v>
      </c>
      <c r="DI123" s="24">
        <f t="shared" si="69"/>
        <v>22.279167722101267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5.6843418860808015E-14</v>
      </c>
      <c r="DP123" s="18">
        <f>DO123*VLOOKUP('Données projet'!$B$14,Paramètres!$A$1:$I$89,3,0)*VLOOKUP('Données projet'!$B$14,Paramètres!$A$1:$I$89,5,0)</f>
        <v>5.4092197387944907E-14</v>
      </c>
      <c r="DQ123" s="14">
        <f t="shared" si="97"/>
        <v>8.7287050538073676E-13</v>
      </c>
      <c r="DR123" s="22">
        <f t="shared" si="70"/>
        <v>1.6144600406554537E-12</v>
      </c>
      <c r="DS123" s="62">
        <f t="shared" si="71"/>
        <v>282.10816074347821</v>
      </c>
      <c r="DT123" s="62">
        <f ca="1">AVERAGE(OFFSET($DS$3,0,0,'Données projet'!$E$14+1,1))-AVERAGE(OFFSET($H$3,0,0,'Données projet'!$E$14+1,1))</f>
        <v>364.63161066507769</v>
      </c>
      <c r="DU123" s="62">
        <f t="shared" si="98"/>
        <v>355.44729904860708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>
        <f>EXP(-LN(2)/35)*EA122+(1-EXP(-LN(2)/35))/(LN(2)/35)*DW123*DX123*VLOOKUP('Données projet'!$B$14,Paramètres!$A$1:$I$89,3,0)*0.475*44/12</f>
        <v>60.101399765327834</v>
      </c>
      <c r="EB123" s="23">
        <f>EXP(-LN(2)/25)*EB122+(1-EXP(-LN(2)/25))/(LN(2)/25)*Calculateur!DW123*Calculateur!DY123*VLOOKUP('Données projet'!$B$14,Paramètres!$A$1:$I$89,3,0)*0.475*44/12</f>
        <v>0</v>
      </c>
      <c r="EC123" s="23">
        <f>EXP(-LN(2)/2)*EC122+(1-EXP(-LN(2)/2))/(LN(2)/2)*DW123*DZ123*VLOOKUP('Données projet'!$B$14,Paramètres!$A$1:$I$89,3,0)*0.475*44/12</f>
        <v>0</v>
      </c>
      <c r="ED123" s="24">
        <f t="shared" si="72"/>
        <v>60.101399765327834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5.6843418860808015E-14</v>
      </c>
      <c r="EK123" s="18">
        <f>EJ123*VLOOKUP('Données projet'!$B$15,Paramètres!$A$1:$I$89,3,0)*VLOOKUP('Données projet'!$B$15,Paramètres!$A$1:$I$89,5,0)</f>
        <v>4.1677594708744434E-14</v>
      </c>
      <c r="EL123" s="14">
        <f t="shared" si="99"/>
        <v>6.9326303456159188E-13</v>
      </c>
      <c r="EM123" s="22">
        <f t="shared" si="73"/>
        <v>1.2800215959791691E-12</v>
      </c>
      <c r="EN123" s="62">
        <f t="shared" si="74"/>
        <v>282.10816074347792</v>
      </c>
      <c r="EO123" s="62">
        <f ca="1">AVERAGE(OFFSET($EN$3,0,0,'Données projet'!$E$15+1,1))-AVERAGE(OFFSET($H$3,0,0,'Données projet'!$E$15+1,1))</f>
        <v>293.59366973965774</v>
      </c>
      <c r="EP123" s="62">
        <f t="shared" si="100"/>
        <v>288.13804536120426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>
        <f>EXP(-LN(2)/35)*EV122+(1-EXP(-LN(2)/35))/(LN(2)/35)*ER123*ES123*VLOOKUP('Données projet'!$B$15,Paramètres!$A$1:$I$89,3,0)*0.475*44/12</f>
        <v>46.307635884760799</v>
      </c>
      <c r="EW123" s="23">
        <f>EXP(-LN(2)/25)*EW122+(1-EXP(-LN(2)/25))/(LN(2)/25)*Calculateur!ER123*Calculateur!ET123*VLOOKUP('Données projet'!$B$15,Paramètres!$A$1:$I$89,3,0)*0.475*44/12</f>
        <v>0</v>
      </c>
      <c r="EX123" s="23">
        <f>EXP(-LN(2)/2)*EX122+(1-EXP(-LN(2)/2))/(LN(2)/2)*ER123*EU123*VLOOKUP('Données projet'!$B$15,Paramètres!$A$1:$I$89,3,0)*0.475*44/12</f>
        <v>0</v>
      </c>
      <c r="EY123" s="24">
        <f t="shared" si="75"/>
        <v>46.307635884760799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5.6843418860808015E-14</v>
      </c>
      <c r="FF123" s="18">
        <f>FE123*VLOOKUP('Données projet'!$B$16,Paramètres!$A$1:$I$89,3,0)*VLOOKUP('Données projet'!$B$16,Paramètres!$A$1:$I$89,5,0)</f>
        <v>5.4978954722173515E-14</v>
      </c>
      <c r="FG123" s="14">
        <f t="shared" si="101"/>
        <v>8.8550225887742724E-13</v>
      </c>
      <c r="FH123" s="22">
        <f t="shared" si="76"/>
        <v>1.6380047803526383E-12</v>
      </c>
      <c r="FI123" s="62">
        <f t="shared" si="77"/>
        <v>282.10816074347827</v>
      </c>
      <c r="FJ123" s="62">
        <f ca="1">AVERAGE(OFFSET($FI$3,0,0,'Données projet'!$E$16+1,1))-AVERAGE(OFFSET($H$3,0,0,'Données projet'!$E$16+1,1))</f>
        <v>369.69145521630799</v>
      </c>
      <c r="FK123" s="62">
        <f t="shared" si="102"/>
        <v>360.24112103688719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>
        <f>EXP(-LN(2)/35)*FQ122+(1-EXP(-LN(2)/35))/(LN(2)/35)*FM123*FN123*VLOOKUP('Données projet'!$B$16,Paramètres!$A$1:$I$89,3,0)*0.475*44/12</f>
        <v>61.086668613939771</v>
      </c>
      <c r="FR123" s="23">
        <f>EXP(-LN(2)/25)*FR122+(1-EXP(-LN(2)/25))/(LN(2)/25)*Calculateur!FM123*Calculateur!FO123*VLOOKUP('Données projet'!$B$16,Paramètres!$A$1:$I$89,3,0)*0.475*44/12</f>
        <v>0</v>
      </c>
      <c r="FS123" s="23">
        <f>EXP(-LN(2)/2)*FS122+(1-EXP(-LN(2)/2))/(LN(2)/2)*FM123*FP123*VLOOKUP('Données projet'!$B$16,Paramètres!$A$1:$I$89,3,0)*0.475*44/12</f>
        <v>0</v>
      </c>
      <c r="FT123" s="24">
        <f t="shared" si="78"/>
        <v>61.086668613939771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5.6843418860808015E-14</v>
      </c>
      <c r="GA123" s="18">
        <f>FZ123*VLOOKUP('Données projet'!$B$17,Paramètres!$A$1:$I$89,3,0)*VLOOKUP('Données projet'!$B$17,Paramètres!$A$1:$I$89,5,0)</f>
        <v>6.1186256061773749E-14</v>
      </c>
      <c r="GB123" s="14">
        <f t="shared" si="103"/>
        <v>9.7328366192051127E-13</v>
      </c>
      <c r="GC123" s="22">
        <f t="shared" si="79"/>
        <v>1.8017017738191463E-12</v>
      </c>
      <c r="GD123" s="62">
        <f t="shared" si="80"/>
        <v>282.10816074347844</v>
      </c>
      <c r="GE123" s="62">
        <f ca="1">AVERAGE(OFFSET($GD$3,0,0,'Données projet'!$E$17+1,1))-AVERAGE(OFFSET($H$3,0,0,'Données projet'!$E$17+1,1))</f>
        <v>405.06394904053946</v>
      </c>
      <c r="GF123" s="62">
        <f t="shared" si="104"/>
        <v>393.75247087518198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>
        <f>EXP(-LN(2)/35)*GL122+(1-EXP(-LN(2)/35))/(LN(2)/35)*GH123*GI123*VLOOKUP('Données projet'!$B$17,Paramètres!$A$1:$I$89,3,0)*0.475*44/12</f>
        <v>67.983550554223285</v>
      </c>
      <c r="GM123" s="23">
        <f>EXP(-LN(2)/25)*GM122+(1-EXP(-LN(2)/25))/(LN(2)/25)*Calculateur!GH123*Calculateur!GJ123*VLOOKUP('Données projet'!$B$17,Paramètres!$A$1:$I$89,3,0)*0.475*44/12</f>
        <v>0</v>
      </c>
      <c r="GN123" s="23">
        <f>EXP(-LN(2)/2)*GN122+(1-EXP(-LN(2)/2))/(LN(2)/2)*GH123*GK123*VLOOKUP('Données projet'!$B$17,Paramètres!$A$1:$I$89,3,0)*0.475*44/12</f>
        <v>0</v>
      </c>
      <c r="GO123" s="23">
        <f t="shared" si="81"/>
        <v>67.983550554223285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5.6843418860808015E-14</v>
      </c>
      <c r="GV123" s="18">
        <f>GU123*VLOOKUP('Données projet'!$B$18,Paramètres!$A$1:$I$89,3,0)*VLOOKUP('Données projet'!$B$18,Paramètres!$A$1:$I$89,5,0)</f>
        <v>3.813056537183002E-14</v>
      </c>
      <c r="GW123" s="14">
        <f t="shared" si="105"/>
        <v>6.4086286045526829E-13</v>
      </c>
      <c r="GX123" s="22">
        <f t="shared" si="82"/>
        <v>1.1825802166488628E-12</v>
      </c>
      <c r="GY123" s="62">
        <f t="shared" si="83"/>
        <v>282.10816074347781</v>
      </c>
      <c r="GZ123" s="62">
        <f ca="1">AVERAGE(OFFSET($GY$3,0,0,'Données projet'!$E$18+1,1))-AVERAGE(OFFSET($H$3,0,0,'Données projet'!$E$18+1,1))</f>
        <v>273.21861937609918</v>
      </c>
      <c r="HA123" s="62">
        <f t="shared" si="106"/>
        <v>268.83004886965318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>
        <f>EXP(-LN(2)/35)*HG122+(1-EXP(-LN(2)/35))/(LN(2)/35)*HC123*HD123*VLOOKUP('Données projet'!$B$18,Paramètres!$A$1:$I$89,3,0)*0.475*44/12</f>
        <v>52.219248976432389</v>
      </c>
      <c r="HH123" s="23">
        <f>EXP(-LN(2)/25)*HH122+(1-EXP(-LN(2)/25))/(LN(2)/25)*Calculateur!HC123*Calculateur!HE123*VLOOKUP('Données projet'!$B$18,Paramètres!$A$1:$I$89,3,0)*0.475*44/12</f>
        <v>0</v>
      </c>
      <c r="HI123" s="23">
        <f>EXP(-LN(2)/2)*HI122+(1-EXP(-LN(2)/2))/(LN(2)/2)*HC123*HF123*VLOOKUP('Données projet'!$B$18,Paramètres!$A$1:$I$89,3,0)*0.475*44/12</f>
        <v>0</v>
      </c>
      <c r="HJ123" s="24">
        <f t="shared" si="84"/>
        <v>52.219248976432389</v>
      </c>
    </row>
    <row r="124" spans="1:218" s="5" customFormat="1" x14ac:dyDescent="0.4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5.6</v>
      </c>
      <c r="N124" s="14">
        <f>IF('Données projet'!$A$36&gt;35,N123+M124-V123,IF(A124&lt;'Données projet'!$A$36,$K$205^A124,IF(A124='Données projet'!$A$36,'Données projet'!$B$36,N123+M124-V123)))</f>
        <v>257.7999999999999</v>
      </c>
      <c r="O124" s="14">
        <f>N124*VLOOKUP('Données projet'!$B$9,Paramètres!$A$1:$I$89,3,0)*VLOOKUP('Données projet'!$B$9,Paramètres!$A$1:$I$89,5,0)</f>
        <v>233.25743999999992</v>
      </c>
      <c r="P124" s="14">
        <f t="shared" si="87"/>
        <v>56.98643869047325</v>
      </c>
      <c r="Q124" s="22">
        <f t="shared" si="107"/>
        <v>505.50808871924067</v>
      </c>
      <c r="R124" s="62">
        <f t="shared" si="55"/>
        <v>787.81098111142501</v>
      </c>
      <c r="S124" s="62">
        <f ca="1">AVERAGE(OFFSET($R$3,0,0,'Données projet'!$E$9+1,1))-AVERAGE(OFFSET($H$3,0,0,'Données projet'!$E$9+1,1))</f>
        <v>432.80275651765203</v>
      </c>
      <c r="T124" s="62">
        <f t="shared" si="88"/>
        <v>203.89279893419919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28.411413776321297</v>
      </c>
      <c r="AA124" s="23">
        <f>EXP(-LN(2)/25)*AA123+(1-EXP(-LN(2)/25))/(LN(2)/25)*Calculateur!V124*Calculateur!X124*VLOOKUP('Données projet'!$B$9,Paramètres!$A$1:$I$89,3,0)*0.475*44/12</f>
        <v>19.336165966970945</v>
      </c>
      <c r="AB124" s="23">
        <f>EXP(-LN(2)/2)*AB123+(1-EXP(-LN(2)/2))/(LN(2)/2)*V124*Y124*VLOOKUP('Données projet'!$B$9,Paramètres!$A$1:$I$89,3,0)*0.475*44/12</f>
        <v>0</v>
      </c>
      <c r="AC124" s="24">
        <f t="shared" si="57"/>
        <v>47.747579743292242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54.000000000000341</v>
      </c>
      <c r="AJ124" s="14">
        <f>AI124*VLOOKUP('Données projet'!$B$10,Paramètres!$A$1:$I$89,3,0)*VLOOKUP('Données projet'!$B$10,Paramètres!$A$1:$I$89,5,0)</f>
        <v>23.868000000000151</v>
      </c>
      <c r="AK124" s="14">
        <f t="shared" si="89"/>
        <v>7.6030930962115804</v>
      </c>
      <c r="AL124" s="22">
        <f t="shared" si="58"/>
        <v>54.812153809235433</v>
      </c>
      <c r="AM124" s="62">
        <f t="shared" si="59"/>
        <v>337.11504620141983</v>
      </c>
      <c r="AN124" s="62">
        <f ca="1">AVERAGE(OFFSET($AM$3,0,0,'Données projet'!$E$10+1,1))-AVERAGE(OFFSET($H$3,0,0,'Données projet'!$E$10+1,1))</f>
        <v>413.08876898406481</v>
      </c>
      <c r="AO124" s="62">
        <f t="shared" si="90"/>
        <v>520.31320932826566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82.090318577609949</v>
      </c>
      <c r="AV124" s="23">
        <f>EXP(-LN(2)/25)*AV123+(1-EXP(-LN(2)/25))/(LN(2)/25)*Calculateur!AQ124*Calculateur!AS124*VLOOKUP('Données projet'!$B$10,Paramètres!$A$1:$I$89,3,0)*0.475*44/12</f>
        <v>3.7185057454433506</v>
      </c>
      <c r="AW124" s="23">
        <f>EXP(-LN(2)/2)*AW123+(1-EXP(-LN(2)/2))/(LN(2)/2)*AQ124*AT124*VLOOKUP('Données projet'!$B$10,Paramètres!$A$1:$I$89,3,0)*0.475*44/12</f>
        <v>1.4654213637331564E-11</v>
      </c>
      <c r="AX124" s="23">
        <f t="shared" si="60"/>
        <v>85.808824323067952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54.000000000000341</v>
      </c>
      <c r="BE124" s="14">
        <f>BD124*VLOOKUP('Données projet'!$B$11,Paramètres!$A$1:$I$89,3,0)*VLOOKUP('Données projet'!$B$11,Paramètres!$A$1:$I$89,5,0)</f>
        <v>30.186000000000188</v>
      </c>
      <c r="BF124" s="14">
        <f t="shared" si="91"/>
        <v>9.3563888882899153</v>
      </c>
      <c r="BG124" s="22">
        <f t="shared" si="61"/>
        <v>68.869660647105263</v>
      </c>
      <c r="BH124" s="62">
        <f t="shared" si="62"/>
        <v>351.17255303928965</v>
      </c>
      <c r="BI124" s="62">
        <f ca="1">AVERAGE(OFFSET($BH$3,0,0,'Données projet'!$E$11+1,1))-AVERAGE(OFFSET($H$3,0,0,'Données projet'!$E$11+1,1))</f>
        <v>507.66185230065889</v>
      </c>
      <c r="BJ124" s="62">
        <f t="shared" si="92"/>
        <v>640.14375617778342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103.82010878933015</v>
      </c>
      <c r="BQ124" s="23">
        <f>EXP(-LN(2)/25)*BQ123+(1-EXP(-LN(2)/25))/(LN(2)/25)*Calculateur!BL124*Calculateur!BN124*VLOOKUP('Données projet'!$B$11,Paramètres!$A$1:$I$89,3,0)*0.475*44/12</f>
        <v>4.7028160898254185</v>
      </c>
      <c r="BR124" s="23">
        <f>EXP(-LN(2)/2)*BR123+(1-EXP(-LN(2)/2))/(LN(2)/2)*BL124*BO124*VLOOKUP('Données projet'!$B$11,Paramètres!$A$1:$I$89,3,0)*0.475*44/12</f>
        <v>1.8533270188389932E-11</v>
      </c>
      <c r="BS124" s="24">
        <f t="shared" si="63"/>
        <v>108.5229248791741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417.04879970000007</v>
      </c>
      <c r="BZ124" s="14">
        <f>BY124*VLOOKUP('Données projet'!$B$12,Paramètres!$A$1:$I$89,3,0)*VLOOKUP('Données projet'!$B$12,Paramètres!$A$1:$I$89,5,0)</f>
        <v>195.17883825960004</v>
      </c>
      <c r="CA124" s="14">
        <f t="shared" si="93"/>
        <v>48.683122291673484</v>
      </c>
      <c r="CB124" s="22">
        <f t="shared" si="64"/>
        <v>424.72624796013469</v>
      </c>
      <c r="CC124" s="62">
        <f t="shared" si="65"/>
        <v>707.02914035231902</v>
      </c>
      <c r="CD124" s="62">
        <f ca="1">AVERAGE(OFFSET($CC$3,0,0,'Données projet'!$E$12+1,1))-AVERAGE(OFFSET($H$3,0,0,'Données projet'!$E$12+1,1))</f>
        <v>289.21044803824958</v>
      </c>
      <c r="CE124" s="62">
        <f t="shared" si="94"/>
        <v>196.11836398299445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>
        <f>EXP(-LN(2)/35)*CK123+(1-EXP(-LN(2)/35))/(LN(2)/35)*CG124*CH124*VLOOKUP('Données projet'!$B$12,Paramètres!$A$1:$I$89,3,0)*0.475*44/12</f>
        <v>45.43889127591769</v>
      </c>
      <c r="CL124" s="23">
        <f>EXP(-LN(2)/25)*CL123+(1-EXP(-LN(2)/25))/(LN(2)/25)*Calculateur!CG124*Calculateur!CI124*VLOOKUP('Données projet'!$B$12,Paramètres!$A$1:$I$89,3,0)*0.475*44/12</f>
        <v>17.909598740321634</v>
      </c>
      <c r="CM124" s="23">
        <f>EXP(-LN(2)/2)*CM123+(1-EXP(-LN(2)/2))/(LN(2)/2)*CG124*CJ124*VLOOKUP('Données projet'!$B$12,Paramètres!$A$1:$I$89,3,0)*0.475*44/12</f>
        <v>0</v>
      </c>
      <c r="CN124" s="24">
        <f t="shared" si="66"/>
        <v>63.348490016239325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-5.6843418860808015E-14</v>
      </c>
      <c r="CU124" s="18">
        <f>CT124*VLOOKUP('Données projet'!$B$13,Paramètres!$A$1:$I$89,3,0)*VLOOKUP('Données projet'!$B$13,Paramètres!$A$1:$I$89,5,0)</f>
        <v>-5.1431925385259088E-14</v>
      </c>
      <c r="CV124" s="14" t="e">
        <f t="shared" si="95"/>
        <v>#NUM!</v>
      </c>
      <c r="CW124" s="22" t="e">
        <f t="shared" si="67"/>
        <v>#NUM!</v>
      </c>
      <c r="CX124" s="62" t="e">
        <f t="shared" si="68"/>
        <v>#NUM!</v>
      </c>
      <c r="CY124" s="62">
        <f ca="1">AVERAGE(OFFSET($CX$3,0,0,'Données projet'!$E$13+1,1))-AVERAGE(OFFSET($H$3,0,0,'Données projet'!$E$13+1,1))</f>
        <v>376.68007030857598</v>
      </c>
      <c r="CZ124" s="62">
        <f t="shared" si="96"/>
        <v>532.90758914457626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>
        <f>EXP(-LN(2)/35)*DF123+(1-EXP(-LN(2)/35))/(LN(2)/35)*DB124*DC124*VLOOKUP('Données projet'!$B$13,Paramètres!$A$1:$I$89,3,0)*0.475*44/12</f>
        <v>20.783104323046881</v>
      </c>
      <c r="DG124" s="23">
        <f>EXP(-LN(2)/25)*DG123+(1-EXP(-LN(2)/25))/(LN(2)/25)*Calculateur!DB124*Calculateur!DD124*VLOOKUP('Données projet'!$B$13,Paramètres!$A$1:$I$89,3,0)*0.475*44/12</f>
        <v>1.0508251477743999</v>
      </c>
      <c r="DH124" s="23">
        <f>EXP(-LN(2)/2)*DH123+(1-EXP(-LN(2)/2))/(LN(2)/2)*DB124*DE124*VLOOKUP('Données projet'!$B$13,Paramètres!$A$1:$I$89,3,0)*0.475*44/12</f>
        <v>0</v>
      </c>
      <c r="DI124" s="24">
        <f t="shared" si="69"/>
        <v>21.833929470821282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5.6843418860808015E-14</v>
      </c>
      <c r="DP124" s="18">
        <f>DO124*VLOOKUP('Données projet'!$B$14,Paramètres!$A$1:$I$89,3,0)*VLOOKUP('Données projet'!$B$14,Paramètres!$A$1:$I$89,5,0)</f>
        <v>5.4092197387944907E-14</v>
      </c>
      <c r="DQ124" s="14">
        <f t="shared" si="97"/>
        <v>8.7287050538073676E-13</v>
      </c>
      <c r="DR124" s="22">
        <f t="shared" si="70"/>
        <v>1.6144600406554537E-12</v>
      </c>
      <c r="DS124" s="62">
        <f t="shared" si="71"/>
        <v>282.30289239218598</v>
      </c>
      <c r="DT124" s="62">
        <f ca="1">AVERAGE(OFFSET($DS$3,0,0,'Données projet'!$E$14+1,1))-AVERAGE(OFFSET($H$3,0,0,'Données projet'!$E$14+1,1))</f>
        <v>364.63161066507769</v>
      </c>
      <c r="DU124" s="62">
        <f t="shared" si="98"/>
        <v>355.44729904860708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>
        <f>EXP(-LN(2)/35)*EA123+(1-EXP(-LN(2)/35))/(LN(2)/35)*DW124*DX124*VLOOKUP('Données projet'!$B$14,Paramètres!$A$1:$I$89,3,0)*0.475*44/12</f>
        <v>58.922847974163915</v>
      </c>
      <c r="EB124" s="23">
        <f>EXP(-LN(2)/25)*EB123+(1-EXP(-LN(2)/25))/(LN(2)/25)*Calculateur!DW124*Calculateur!DY124*VLOOKUP('Données projet'!$B$14,Paramètres!$A$1:$I$89,3,0)*0.475*44/12</f>
        <v>0</v>
      </c>
      <c r="EC124" s="23">
        <f>EXP(-LN(2)/2)*EC123+(1-EXP(-LN(2)/2))/(LN(2)/2)*DW124*DZ124*VLOOKUP('Données projet'!$B$14,Paramètres!$A$1:$I$89,3,0)*0.475*44/12</f>
        <v>0</v>
      </c>
      <c r="ED124" s="24">
        <f t="shared" si="72"/>
        <v>58.922847974163915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5.6843418860808015E-14</v>
      </c>
      <c r="EK124" s="18">
        <f>EJ124*VLOOKUP('Données projet'!$B$15,Paramètres!$A$1:$I$89,3,0)*VLOOKUP('Données projet'!$B$15,Paramètres!$A$1:$I$89,5,0)</f>
        <v>4.1677594708744434E-14</v>
      </c>
      <c r="EL124" s="14">
        <f t="shared" si="99"/>
        <v>6.9326303456159188E-13</v>
      </c>
      <c r="EM124" s="22">
        <f t="shared" si="73"/>
        <v>1.2800215959791691E-12</v>
      </c>
      <c r="EN124" s="62">
        <f t="shared" si="74"/>
        <v>282.3028923921857</v>
      </c>
      <c r="EO124" s="62">
        <f ca="1">AVERAGE(OFFSET($EN$3,0,0,'Données projet'!$E$15+1,1))-AVERAGE(OFFSET($H$3,0,0,'Données projet'!$E$15+1,1))</f>
        <v>293.59366973965774</v>
      </c>
      <c r="EP124" s="62">
        <f t="shared" si="100"/>
        <v>288.13804536120426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>
        <f>EXP(-LN(2)/35)*EV123+(1-EXP(-LN(2)/35))/(LN(2)/35)*ER124*ES124*VLOOKUP('Données projet'!$B$15,Paramètres!$A$1:$I$89,3,0)*0.475*44/12</f>
        <v>45.399571389929584</v>
      </c>
      <c r="EW124" s="23">
        <f>EXP(-LN(2)/25)*EW123+(1-EXP(-LN(2)/25))/(LN(2)/25)*Calculateur!ER124*Calculateur!ET124*VLOOKUP('Données projet'!$B$15,Paramètres!$A$1:$I$89,3,0)*0.475*44/12</f>
        <v>0</v>
      </c>
      <c r="EX124" s="23">
        <f>EXP(-LN(2)/2)*EX123+(1-EXP(-LN(2)/2))/(LN(2)/2)*ER124*EU124*VLOOKUP('Données projet'!$B$15,Paramètres!$A$1:$I$89,3,0)*0.475*44/12</f>
        <v>0</v>
      </c>
      <c r="EY124" s="24">
        <f t="shared" si="75"/>
        <v>45.399571389929584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5.6843418860808015E-14</v>
      </c>
      <c r="FF124" s="18">
        <f>FE124*VLOOKUP('Données projet'!$B$16,Paramètres!$A$1:$I$89,3,0)*VLOOKUP('Données projet'!$B$16,Paramètres!$A$1:$I$89,5,0)</f>
        <v>5.4978954722173515E-14</v>
      </c>
      <c r="FG124" s="14">
        <f t="shared" si="101"/>
        <v>8.8550225887742724E-13</v>
      </c>
      <c r="FH124" s="22">
        <f t="shared" si="76"/>
        <v>1.6380047803526383E-12</v>
      </c>
      <c r="FI124" s="62">
        <f t="shared" si="77"/>
        <v>282.30289239218604</v>
      </c>
      <c r="FJ124" s="62">
        <f ca="1">AVERAGE(OFFSET($FI$3,0,0,'Données projet'!$E$16+1,1))-AVERAGE(OFFSET($H$3,0,0,'Données projet'!$E$16+1,1))</f>
        <v>369.69145521630799</v>
      </c>
      <c r="FK124" s="62">
        <f t="shared" si="102"/>
        <v>360.24112103688719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>
        <f>EXP(-LN(2)/35)*FQ123+(1-EXP(-LN(2)/35))/(LN(2)/35)*FM124*FN124*VLOOKUP('Données projet'!$B$16,Paramètres!$A$1:$I$89,3,0)*0.475*44/12</f>
        <v>59.888796301609226</v>
      </c>
      <c r="FR124" s="23">
        <f>EXP(-LN(2)/25)*FR123+(1-EXP(-LN(2)/25))/(LN(2)/25)*Calculateur!FM124*Calculateur!FO124*VLOOKUP('Données projet'!$B$16,Paramètres!$A$1:$I$89,3,0)*0.475*44/12</f>
        <v>0</v>
      </c>
      <c r="FS124" s="23">
        <f>EXP(-LN(2)/2)*FS123+(1-EXP(-LN(2)/2))/(LN(2)/2)*FM124*FP124*VLOOKUP('Données projet'!$B$16,Paramètres!$A$1:$I$89,3,0)*0.475*44/12</f>
        <v>0</v>
      </c>
      <c r="FT124" s="24">
        <f t="shared" si="78"/>
        <v>59.888796301609226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5.6843418860808015E-14</v>
      </c>
      <c r="GA124" s="18">
        <f>FZ124*VLOOKUP('Données projet'!$B$17,Paramètres!$A$1:$I$89,3,0)*VLOOKUP('Données projet'!$B$17,Paramètres!$A$1:$I$89,5,0)</f>
        <v>6.1186256061773749E-14</v>
      </c>
      <c r="GB124" s="14">
        <f t="shared" si="103"/>
        <v>9.7328366192051127E-13</v>
      </c>
      <c r="GC124" s="22">
        <f t="shared" si="79"/>
        <v>1.8017017738191463E-12</v>
      </c>
      <c r="GD124" s="62">
        <f t="shared" si="80"/>
        <v>282.30289239218621</v>
      </c>
      <c r="GE124" s="62">
        <f ca="1">AVERAGE(OFFSET($GD$3,0,0,'Données projet'!$E$17+1,1))-AVERAGE(OFFSET($H$3,0,0,'Données projet'!$E$17+1,1))</f>
        <v>405.06394904053946</v>
      </c>
      <c r="GF124" s="62">
        <f t="shared" si="104"/>
        <v>393.75247087518198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>
        <f>EXP(-LN(2)/35)*GL123+(1-EXP(-LN(2)/35))/(LN(2)/35)*GH124*GI124*VLOOKUP('Données projet'!$B$17,Paramètres!$A$1:$I$89,3,0)*0.475*44/12</f>
        <v>66.650434593726388</v>
      </c>
      <c r="GM124" s="23">
        <f>EXP(-LN(2)/25)*GM123+(1-EXP(-LN(2)/25))/(LN(2)/25)*Calculateur!GH124*Calculateur!GJ124*VLOOKUP('Données projet'!$B$17,Paramètres!$A$1:$I$89,3,0)*0.475*44/12</f>
        <v>0</v>
      </c>
      <c r="GN124" s="23">
        <f>EXP(-LN(2)/2)*GN123+(1-EXP(-LN(2)/2))/(LN(2)/2)*GH124*GK124*VLOOKUP('Données projet'!$B$17,Paramètres!$A$1:$I$89,3,0)*0.475*44/12</f>
        <v>0</v>
      </c>
      <c r="GO124" s="23">
        <f t="shared" si="81"/>
        <v>66.650434593726388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5.6843418860808015E-14</v>
      </c>
      <c r="GV124" s="18">
        <f>GU124*VLOOKUP('Données projet'!$B$18,Paramètres!$A$1:$I$89,3,0)*VLOOKUP('Données projet'!$B$18,Paramètres!$A$1:$I$89,5,0)</f>
        <v>3.813056537183002E-14</v>
      </c>
      <c r="GW124" s="14">
        <f t="shared" si="105"/>
        <v>6.4086286045526829E-13</v>
      </c>
      <c r="GX124" s="22">
        <f t="shared" si="82"/>
        <v>1.1825802166488628E-12</v>
      </c>
      <c r="GY124" s="62">
        <f t="shared" si="83"/>
        <v>282.30289239218558</v>
      </c>
      <c r="GZ124" s="62">
        <f ca="1">AVERAGE(OFFSET($GY$3,0,0,'Données projet'!$E$18+1,1))-AVERAGE(OFFSET($H$3,0,0,'Données projet'!$E$18+1,1))</f>
        <v>273.21861937609918</v>
      </c>
      <c r="HA124" s="62">
        <f t="shared" si="106"/>
        <v>268.83004886965318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>
        <f>EXP(-LN(2)/35)*HG123+(1-EXP(-LN(2)/35))/(LN(2)/35)*HC124*HD124*VLOOKUP('Données projet'!$B$18,Paramètres!$A$1:$I$89,3,0)*0.475*44/12</f>
        <v>51.195261354601442</v>
      </c>
      <c r="HH124" s="23">
        <f>EXP(-LN(2)/25)*HH123+(1-EXP(-LN(2)/25))/(LN(2)/25)*Calculateur!HC124*Calculateur!HE124*VLOOKUP('Données projet'!$B$18,Paramètres!$A$1:$I$89,3,0)*0.475*44/12</f>
        <v>0</v>
      </c>
      <c r="HI124" s="23">
        <f>EXP(-LN(2)/2)*HI123+(1-EXP(-LN(2)/2))/(LN(2)/2)*HC124*HF124*VLOOKUP('Données projet'!$B$18,Paramètres!$A$1:$I$89,3,0)*0.475*44/12</f>
        <v>0</v>
      </c>
      <c r="HJ124" s="24">
        <f t="shared" si="84"/>
        <v>51.195261354601442</v>
      </c>
    </row>
    <row r="125" spans="1:218" s="5" customFormat="1" x14ac:dyDescent="0.4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5.6</v>
      </c>
      <c r="N125" s="14">
        <f>IF('Données projet'!$A$36&gt;35,N124+M125-V124,IF(A125&lt;'Données projet'!$A$36,$K$205^A125,IF(A125='Données projet'!$A$36,'Données projet'!$B$36,N124+M125-V124)))</f>
        <v>263.39999999999992</v>
      </c>
      <c r="O125" s="14">
        <f>N125*VLOOKUP('Données projet'!$B$9,Paramètres!$A$1:$I$89,3,0)*VLOOKUP('Données projet'!$B$9,Paramètres!$A$1:$I$89,5,0)</f>
        <v>238.32431999999991</v>
      </c>
      <c r="P125" s="14">
        <f t="shared" si="87"/>
        <v>58.078852882738758</v>
      </c>
      <c r="Q125" s="22">
        <f t="shared" si="107"/>
        <v>516.23552610410309</v>
      </c>
      <c r="R125" s="62">
        <f t="shared" si="55"/>
        <v>798.72977198624494</v>
      </c>
      <c r="S125" s="62">
        <f ca="1">AVERAGE(OFFSET($R$3,0,0,'Données projet'!$E$9+1,1))-AVERAGE(OFFSET($H$3,0,0,'Données projet'!$E$9+1,1))</f>
        <v>432.80275651765203</v>
      </c>
      <c r="T125" s="62">
        <f t="shared" si="88"/>
        <v>203.89279893419919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27.854283281418919</v>
      </c>
      <c r="AA125" s="23">
        <f>EXP(-LN(2)/25)*AA124+(1-EXP(-LN(2)/25))/(LN(2)/25)*Calculateur!V125*Calculateur!X125*VLOOKUP('Données projet'!$B$9,Paramètres!$A$1:$I$89,3,0)*0.475*44/12</f>
        <v>18.807417491759349</v>
      </c>
      <c r="AB125" s="23">
        <f>EXP(-LN(2)/2)*AB124+(1-EXP(-LN(2)/2))/(LN(2)/2)*V125*Y125*VLOOKUP('Données projet'!$B$9,Paramètres!$A$1:$I$89,3,0)*0.475*44/12</f>
        <v>0</v>
      </c>
      <c r="AC125" s="24">
        <f t="shared" si="57"/>
        <v>46.661700773178268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54.000000000000341</v>
      </c>
      <c r="AJ125" s="14">
        <f>AI125*VLOOKUP('Données projet'!$B$10,Paramètres!$A$1:$I$89,3,0)*VLOOKUP('Données projet'!$B$10,Paramètres!$A$1:$I$89,5,0)</f>
        <v>23.868000000000151</v>
      </c>
      <c r="AK125" s="14">
        <f t="shared" si="89"/>
        <v>7.6030930962115804</v>
      </c>
      <c r="AL125" s="22">
        <f t="shared" si="58"/>
        <v>54.812153809235433</v>
      </c>
      <c r="AM125" s="62">
        <f t="shared" si="59"/>
        <v>337.30639969137724</v>
      </c>
      <c r="AN125" s="62">
        <f ca="1">AVERAGE(OFFSET($AM$3,0,0,'Données projet'!$E$10+1,1))-AVERAGE(OFFSET($H$3,0,0,'Données projet'!$E$10+1,1))</f>
        <v>413.08876898406481</v>
      </c>
      <c r="AO125" s="62">
        <f t="shared" si="90"/>
        <v>520.31320932826566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80.480577500453336</v>
      </c>
      <c r="AV125" s="23">
        <f>EXP(-LN(2)/25)*AV124+(1-EXP(-LN(2)/25))/(LN(2)/25)*Calculateur!AQ125*Calculateur!AS125*VLOOKUP('Données projet'!$B$10,Paramètres!$A$1:$I$89,3,0)*0.475*44/12</f>
        <v>3.6168230102864838</v>
      </c>
      <c r="AW125" s="23">
        <f>EXP(-LN(2)/2)*AW124+(1-EXP(-LN(2)/2))/(LN(2)/2)*AQ125*AT125*VLOOKUP('Données projet'!$B$10,Paramètres!$A$1:$I$89,3,0)*0.475*44/12</f>
        <v>1.0362093835913532E-11</v>
      </c>
      <c r="AX125" s="23">
        <f t="shared" si="60"/>
        <v>84.097400510750177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54.000000000000341</v>
      </c>
      <c r="BE125" s="14">
        <f>BD125*VLOOKUP('Données projet'!$B$11,Paramètres!$A$1:$I$89,3,0)*VLOOKUP('Données projet'!$B$11,Paramètres!$A$1:$I$89,5,0)</f>
        <v>30.186000000000188</v>
      </c>
      <c r="BF125" s="14">
        <f t="shared" si="91"/>
        <v>9.3563888882899153</v>
      </c>
      <c r="BG125" s="22">
        <f t="shared" si="61"/>
        <v>68.869660647105263</v>
      </c>
      <c r="BH125" s="62">
        <f t="shared" si="62"/>
        <v>351.36390652924706</v>
      </c>
      <c r="BI125" s="62">
        <f ca="1">AVERAGE(OFFSET($BH$3,0,0,'Données projet'!$E$11+1,1))-AVERAGE(OFFSET($H$3,0,0,'Données projet'!$E$11+1,1))</f>
        <v>507.66185230065889</v>
      </c>
      <c r="BJ125" s="62">
        <f t="shared" si="92"/>
        <v>640.14375617778342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101.78425977998502</v>
      </c>
      <c r="BQ125" s="23">
        <f>EXP(-LN(2)/25)*BQ124+(1-EXP(-LN(2)/25))/(LN(2)/25)*Calculateur!BL125*Calculateur!BN125*VLOOKUP('Données projet'!$B$11,Paramètres!$A$1:$I$89,3,0)*0.475*44/12</f>
        <v>4.5742173365387924</v>
      </c>
      <c r="BR125" s="23">
        <f>EXP(-LN(2)/2)*BR124+(1-EXP(-LN(2)/2))/(LN(2)/2)*BL125*BO125*VLOOKUP('Données projet'!$B$11,Paramètres!$A$1:$I$89,3,0)*0.475*44/12</f>
        <v>1.3105001027773004E-11</v>
      </c>
      <c r="BS125" s="24">
        <f t="shared" si="63"/>
        <v>106.35847711653692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417.04879970000007</v>
      </c>
      <c r="BZ125" s="14">
        <f>BY125*VLOOKUP('Données projet'!$B$12,Paramètres!$A$1:$I$89,3,0)*VLOOKUP('Données projet'!$B$12,Paramètres!$A$1:$I$89,5,0)</f>
        <v>195.17883825960004</v>
      </c>
      <c r="CA125" s="14">
        <f t="shared" si="93"/>
        <v>48.683122291673484</v>
      </c>
      <c r="CB125" s="22">
        <f t="shared" si="64"/>
        <v>424.72624796013469</v>
      </c>
      <c r="CC125" s="62">
        <f t="shared" si="65"/>
        <v>707.22049384227648</v>
      </c>
      <c r="CD125" s="62">
        <f ca="1">AVERAGE(OFFSET($CC$3,0,0,'Données projet'!$E$12+1,1))-AVERAGE(OFFSET($H$3,0,0,'Données projet'!$E$12+1,1))</f>
        <v>289.21044803824958</v>
      </c>
      <c r="CE125" s="62">
        <f t="shared" si="94"/>
        <v>196.11836398299445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>
        <f>EXP(-LN(2)/35)*CK124+(1-EXP(-LN(2)/35))/(LN(2)/35)*CG125*CH125*VLOOKUP('Données projet'!$B$12,Paramètres!$A$1:$I$89,3,0)*0.475*44/12</f>
        <v>44.547862332983996</v>
      </c>
      <c r="CL125" s="23">
        <f>EXP(-LN(2)/25)*CL124+(1-EXP(-LN(2)/25))/(LN(2)/25)*Calculateur!CG125*Calculateur!CI125*VLOOKUP('Données projet'!$B$12,Paramètres!$A$1:$I$89,3,0)*0.475*44/12</f>
        <v>17.419859820942673</v>
      </c>
      <c r="CM125" s="23">
        <f>EXP(-LN(2)/2)*CM124+(1-EXP(-LN(2)/2))/(LN(2)/2)*CG125*CJ125*VLOOKUP('Données projet'!$B$12,Paramètres!$A$1:$I$89,3,0)*0.475*44/12</f>
        <v>0</v>
      </c>
      <c r="CN125" s="24">
        <f t="shared" si="66"/>
        <v>61.967722153926672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-5.6843418860808015E-14</v>
      </c>
      <c r="CU125" s="18">
        <f>CT125*VLOOKUP('Données projet'!$B$13,Paramètres!$A$1:$I$89,3,0)*VLOOKUP('Données projet'!$B$13,Paramètres!$A$1:$I$89,5,0)</f>
        <v>-5.1431925385259088E-14</v>
      </c>
      <c r="CV125" s="14" t="e">
        <f t="shared" si="95"/>
        <v>#NUM!</v>
      </c>
      <c r="CW125" s="22" t="e">
        <f t="shared" si="67"/>
        <v>#NUM!</v>
      </c>
      <c r="CX125" s="62" t="e">
        <f t="shared" si="68"/>
        <v>#NUM!</v>
      </c>
      <c r="CY125" s="62">
        <f ca="1">AVERAGE(OFFSET($CX$3,0,0,'Données projet'!$E$13+1,1))-AVERAGE(OFFSET($H$3,0,0,'Données projet'!$E$13+1,1))</f>
        <v>376.68007030857598</v>
      </c>
      <c r="CZ125" s="62">
        <f t="shared" si="96"/>
        <v>532.90758914457626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>
        <f>EXP(-LN(2)/35)*DF124+(1-EXP(-LN(2)/35))/(LN(2)/35)*DB125*DC125*VLOOKUP('Données projet'!$B$13,Paramètres!$A$1:$I$89,3,0)*0.475*44/12</f>
        <v>20.375560323713874</v>
      </c>
      <c r="DG125" s="23">
        <f>EXP(-LN(2)/25)*DG124+(1-EXP(-LN(2)/25))/(LN(2)/25)*Calculateur!DB125*Calculateur!DD125*VLOOKUP('Données projet'!$B$13,Paramètres!$A$1:$I$89,3,0)*0.475*44/12</f>
        <v>1.0220902788480162</v>
      </c>
      <c r="DH125" s="23">
        <f>EXP(-LN(2)/2)*DH124+(1-EXP(-LN(2)/2))/(LN(2)/2)*DB125*DE125*VLOOKUP('Données projet'!$B$13,Paramètres!$A$1:$I$89,3,0)*0.475*44/12</f>
        <v>0</v>
      </c>
      <c r="DI125" s="24">
        <f t="shared" si="69"/>
        <v>21.397650602561889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5.6843418860808015E-14</v>
      </c>
      <c r="DP125" s="18">
        <f>DO125*VLOOKUP('Données projet'!$B$14,Paramètres!$A$1:$I$89,3,0)*VLOOKUP('Données projet'!$B$14,Paramètres!$A$1:$I$89,5,0)</f>
        <v>5.4092197387944907E-14</v>
      </c>
      <c r="DQ125" s="14">
        <f t="shared" si="97"/>
        <v>8.7287050538073676E-13</v>
      </c>
      <c r="DR125" s="22">
        <f t="shared" si="70"/>
        <v>1.6144600406554537E-12</v>
      </c>
      <c r="DS125" s="62">
        <f t="shared" si="71"/>
        <v>282.49424588214339</v>
      </c>
      <c r="DT125" s="62">
        <f ca="1">AVERAGE(OFFSET($DS$3,0,0,'Données projet'!$E$14+1,1))-AVERAGE(OFFSET($H$3,0,0,'Données projet'!$E$14+1,1))</f>
        <v>364.63161066507769</v>
      </c>
      <c r="DU125" s="62">
        <f t="shared" si="98"/>
        <v>355.44729904860708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>
        <f>EXP(-LN(2)/35)*EA124+(1-EXP(-LN(2)/35))/(LN(2)/35)*DW125*DX125*VLOOKUP('Données projet'!$B$14,Paramètres!$A$1:$I$89,3,0)*0.475*44/12</f>
        <v>57.767406864779105</v>
      </c>
      <c r="EB125" s="23">
        <f>EXP(-LN(2)/25)*EB124+(1-EXP(-LN(2)/25))/(LN(2)/25)*Calculateur!DW125*Calculateur!DY125*VLOOKUP('Données projet'!$B$14,Paramètres!$A$1:$I$89,3,0)*0.475*44/12</f>
        <v>0</v>
      </c>
      <c r="EC125" s="23">
        <f>EXP(-LN(2)/2)*EC124+(1-EXP(-LN(2)/2))/(LN(2)/2)*DW125*DZ125*VLOOKUP('Données projet'!$B$14,Paramètres!$A$1:$I$89,3,0)*0.475*44/12</f>
        <v>0</v>
      </c>
      <c r="ED125" s="24">
        <f t="shared" si="72"/>
        <v>57.767406864779105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5.6843418860808015E-14</v>
      </c>
      <c r="EK125" s="18">
        <f>EJ125*VLOOKUP('Données projet'!$B$15,Paramètres!$A$1:$I$89,3,0)*VLOOKUP('Données projet'!$B$15,Paramètres!$A$1:$I$89,5,0)</f>
        <v>4.1677594708744434E-14</v>
      </c>
      <c r="EL125" s="14">
        <f t="shared" si="99"/>
        <v>6.9326303456159188E-13</v>
      </c>
      <c r="EM125" s="22">
        <f t="shared" si="73"/>
        <v>1.2800215959791691E-12</v>
      </c>
      <c r="EN125" s="62">
        <f t="shared" si="74"/>
        <v>282.4942458821431</v>
      </c>
      <c r="EO125" s="62">
        <f ca="1">AVERAGE(OFFSET($EN$3,0,0,'Données projet'!$E$15+1,1))-AVERAGE(OFFSET($H$3,0,0,'Données projet'!$E$15+1,1))</f>
        <v>293.59366973965774</v>
      </c>
      <c r="EP125" s="62">
        <f t="shared" si="100"/>
        <v>288.13804536120426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>
        <f>EXP(-LN(2)/35)*EV124+(1-EXP(-LN(2)/35))/(LN(2)/35)*ER125*ES125*VLOOKUP('Données projet'!$B$15,Paramètres!$A$1:$I$89,3,0)*0.475*44/12</f>
        <v>44.509313485977351</v>
      </c>
      <c r="EW125" s="23">
        <f>EXP(-LN(2)/25)*EW124+(1-EXP(-LN(2)/25))/(LN(2)/25)*Calculateur!ER125*Calculateur!ET125*VLOOKUP('Données projet'!$B$15,Paramètres!$A$1:$I$89,3,0)*0.475*44/12</f>
        <v>0</v>
      </c>
      <c r="EX125" s="23">
        <f>EXP(-LN(2)/2)*EX124+(1-EXP(-LN(2)/2))/(LN(2)/2)*ER125*EU125*VLOOKUP('Données projet'!$B$15,Paramètres!$A$1:$I$89,3,0)*0.475*44/12</f>
        <v>0</v>
      </c>
      <c r="EY125" s="24">
        <f t="shared" si="75"/>
        <v>44.509313485977351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5.6843418860808015E-14</v>
      </c>
      <c r="FF125" s="18">
        <f>FE125*VLOOKUP('Données projet'!$B$16,Paramètres!$A$1:$I$89,3,0)*VLOOKUP('Données projet'!$B$16,Paramètres!$A$1:$I$89,5,0)</f>
        <v>5.4978954722173515E-14</v>
      </c>
      <c r="FG125" s="14">
        <f t="shared" si="101"/>
        <v>8.8550225887742724E-13</v>
      </c>
      <c r="FH125" s="22">
        <f t="shared" si="76"/>
        <v>1.6380047803526383E-12</v>
      </c>
      <c r="FI125" s="62">
        <f t="shared" si="77"/>
        <v>282.49424588214345</v>
      </c>
      <c r="FJ125" s="62">
        <f ca="1">AVERAGE(OFFSET($FI$3,0,0,'Données projet'!$E$16+1,1))-AVERAGE(OFFSET($H$3,0,0,'Données projet'!$E$16+1,1))</f>
        <v>369.69145521630799</v>
      </c>
      <c r="FK125" s="62">
        <f t="shared" si="102"/>
        <v>360.24112103688719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>
        <f>EXP(-LN(2)/35)*FQ124+(1-EXP(-LN(2)/35))/(LN(2)/35)*FM125*FN125*VLOOKUP('Données projet'!$B$16,Paramètres!$A$1:$I$89,3,0)*0.475*44/12</f>
        <v>58.71441353469352</v>
      </c>
      <c r="FR125" s="23">
        <f>EXP(-LN(2)/25)*FR124+(1-EXP(-LN(2)/25))/(LN(2)/25)*Calculateur!FM125*Calculateur!FO125*VLOOKUP('Données projet'!$B$16,Paramètres!$A$1:$I$89,3,0)*0.475*44/12</f>
        <v>0</v>
      </c>
      <c r="FS125" s="23">
        <f>EXP(-LN(2)/2)*FS124+(1-EXP(-LN(2)/2))/(LN(2)/2)*FM125*FP125*VLOOKUP('Données projet'!$B$16,Paramètres!$A$1:$I$89,3,0)*0.475*44/12</f>
        <v>0</v>
      </c>
      <c r="FT125" s="24">
        <f t="shared" si="78"/>
        <v>58.71441353469352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5.6843418860808015E-14</v>
      </c>
      <c r="GA125" s="18">
        <f>FZ125*VLOOKUP('Données projet'!$B$17,Paramètres!$A$1:$I$89,3,0)*VLOOKUP('Données projet'!$B$17,Paramètres!$A$1:$I$89,5,0)</f>
        <v>6.1186256061773749E-14</v>
      </c>
      <c r="GB125" s="14">
        <f t="shared" si="103"/>
        <v>9.7328366192051127E-13</v>
      </c>
      <c r="GC125" s="22">
        <f t="shared" si="79"/>
        <v>1.8017017738191463E-12</v>
      </c>
      <c r="GD125" s="62">
        <f t="shared" si="80"/>
        <v>282.49424588214362</v>
      </c>
      <c r="GE125" s="62">
        <f ca="1">AVERAGE(OFFSET($GD$3,0,0,'Données projet'!$E$17+1,1))-AVERAGE(OFFSET($H$3,0,0,'Données projet'!$E$17+1,1))</f>
        <v>405.06394904053946</v>
      </c>
      <c r="GF125" s="62">
        <f t="shared" si="104"/>
        <v>393.75247087518198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>
        <f>EXP(-LN(2)/35)*GL124+(1-EXP(-LN(2)/35))/(LN(2)/35)*GH125*GI125*VLOOKUP('Données projet'!$B$17,Paramètres!$A$1:$I$89,3,0)*0.475*44/12</f>
        <v>65.343460224094386</v>
      </c>
      <c r="GM125" s="23">
        <f>EXP(-LN(2)/25)*GM124+(1-EXP(-LN(2)/25))/(LN(2)/25)*Calculateur!GH125*Calculateur!GJ125*VLOOKUP('Données projet'!$B$17,Paramètres!$A$1:$I$89,3,0)*0.475*44/12</f>
        <v>0</v>
      </c>
      <c r="GN125" s="23">
        <f>EXP(-LN(2)/2)*GN124+(1-EXP(-LN(2)/2))/(LN(2)/2)*GH125*GK125*VLOOKUP('Données projet'!$B$17,Paramètres!$A$1:$I$89,3,0)*0.475*44/12</f>
        <v>0</v>
      </c>
      <c r="GO125" s="23">
        <f t="shared" si="81"/>
        <v>65.343460224094386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5.6843418860808015E-14</v>
      </c>
      <c r="GV125" s="18">
        <f>GU125*VLOOKUP('Données projet'!$B$18,Paramètres!$A$1:$I$89,3,0)*VLOOKUP('Données projet'!$B$18,Paramètres!$A$1:$I$89,5,0)</f>
        <v>3.813056537183002E-14</v>
      </c>
      <c r="GW125" s="14">
        <f t="shared" si="105"/>
        <v>6.4086286045526829E-13</v>
      </c>
      <c r="GX125" s="22">
        <f t="shared" si="82"/>
        <v>1.1825802166488628E-12</v>
      </c>
      <c r="GY125" s="62">
        <f t="shared" si="83"/>
        <v>282.49424588214299</v>
      </c>
      <c r="GZ125" s="62">
        <f ca="1">AVERAGE(OFFSET($GY$3,0,0,'Données projet'!$E$18+1,1))-AVERAGE(OFFSET($H$3,0,0,'Données projet'!$E$18+1,1))</f>
        <v>273.21861937609918</v>
      </c>
      <c r="HA125" s="62">
        <f t="shared" si="106"/>
        <v>268.83004886965318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>
        <f>EXP(-LN(2)/35)*HG124+(1-EXP(-LN(2)/35))/(LN(2)/35)*HC125*HD125*VLOOKUP('Données projet'!$B$18,Paramètres!$A$1:$I$89,3,0)*0.475*44/12</f>
        <v>50.191353505463823</v>
      </c>
      <c r="HH125" s="23">
        <f>EXP(-LN(2)/25)*HH124+(1-EXP(-LN(2)/25))/(LN(2)/25)*Calculateur!HC125*Calculateur!HE125*VLOOKUP('Données projet'!$B$18,Paramètres!$A$1:$I$89,3,0)*0.475*44/12</f>
        <v>0</v>
      </c>
      <c r="HI125" s="23">
        <f>EXP(-LN(2)/2)*HI124+(1-EXP(-LN(2)/2))/(LN(2)/2)*HC125*HF125*VLOOKUP('Données projet'!$B$18,Paramètres!$A$1:$I$89,3,0)*0.475*44/12</f>
        <v>0</v>
      </c>
      <c r="HJ125" s="24">
        <f t="shared" si="84"/>
        <v>50.191353505463823</v>
      </c>
    </row>
    <row r="126" spans="1:218" s="5" customFormat="1" x14ac:dyDescent="0.4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5.6</v>
      </c>
      <c r="N126" s="14">
        <f>IF('Données projet'!$A$36&gt;35,N125+M126-V125,IF(A126&lt;'Données projet'!$A$36,$K$205^A126,IF(A126='Données projet'!$A$36,'Données projet'!$B$36,N125+M126-V125)))</f>
        <v>268.99999999999994</v>
      </c>
      <c r="O126" s="14">
        <f>N126*VLOOKUP('Données projet'!$B$9,Paramètres!$A$1:$I$89,3,0)*VLOOKUP('Données projet'!$B$9,Paramètres!$A$1:$I$89,5,0)</f>
        <v>243.39119999999994</v>
      </c>
      <c r="P126" s="14">
        <f t="shared" si="87"/>
        <v>59.168566788241527</v>
      </c>
      <c r="Q126" s="22">
        <f t="shared" si="107"/>
        <v>526.95826048952051</v>
      </c>
      <c r="R126" s="62">
        <f t="shared" si="55"/>
        <v>809.64054030637112</v>
      </c>
      <c r="S126" s="62">
        <f ca="1">AVERAGE(OFFSET($R$3,0,0,'Données projet'!$E$9+1,1))-AVERAGE(OFFSET($H$3,0,0,'Données projet'!$E$9+1,1))</f>
        <v>432.80275651765203</v>
      </c>
      <c r="T126" s="62">
        <f t="shared" si="88"/>
        <v>203.89279893419919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27.308077775705527</v>
      </c>
      <c r="AA126" s="23">
        <f>EXP(-LN(2)/25)*AA125+(1-EXP(-LN(2)/25))/(LN(2)/25)*Calculateur!V126*Calculateur!X126*VLOOKUP('Données projet'!$B$9,Paramètres!$A$1:$I$89,3,0)*0.475*44/12</f>
        <v>18.29312767140809</v>
      </c>
      <c r="AB126" s="23">
        <f>EXP(-LN(2)/2)*AB125+(1-EXP(-LN(2)/2))/(LN(2)/2)*V126*Y126*VLOOKUP('Données projet'!$B$9,Paramètres!$A$1:$I$89,3,0)*0.475*44/12</f>
        <v>0</v>
      </c>
      <c r="AC126" s="24">
        <f t="shared" si="57"/>
        <v>45.601205447113614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54.000000000000341</v>
      </c>
      <c r="AJ126" s="14">
        <f>AI126*VLOOKUP('Données projet'!$B$10,Paramètres!$A$1:$I$89,3,0)*VLOOKUP('Données projet'!$B$10,Paramètres!$A$1:$I$89,5,0)</f>
        <v>23.868000000000151</v>
      </c>
      <c r="AK126" s="14">
        <f t="shared" si="89"/>
        <v>7.6030930962115804</v>
      </c>
      <c r="AL126" s="22">
        <f t="shared" si="58"/>
        <v>54.812153809235433</v>
      </c>
      <c r="AM126" s="62">
        <f t="shared" si="59"/>
        <v>337.49443362608611</v>
      </c>
      <c r="AN126" s="62">
        <f ca="1">AVERAGE(OFFSET($AM$3,0,0,'Données projet'!$E$10+1,1))-AVERAGE(OFFSET($H$3,0,0,'Données projet'!$E$10+1,1))</f>
        <v>413.08876898406481</v>
      </c>
      <c r="AO126" s="62">
        <f t="shared" si="90"/>
        <v>520.31320932826566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78.902402463974653</v>
      </c>
      <c r="AV126" s="23">
        <f>EXP(-LN(2)/25)*AV125+(1-EXP(-LN(2)/25))/(LN(2)/25)*Calculateur!AQ126*Calculateur!AS126*VLOOKUP('Données projet'!$B$10,Paramètres!$A$1:$I$89,3,0)*0.475*44/12</f>
        <v>3.517920794869744</v>
      </c>
      <c r="AW126" s="23">
        <f>EXP(-LN(2)/2)*AW125+(1-EXP(-LN(2)/2))/(LN(2)/2)*AQ126*AT126*VLOOKUP('Données projet'!$B$10,Paramètres!$A$1:$I$89,3,0)*0.475*44/12</f>
        <v>7.3271068186657821E-12</v>
      </c>
      <c r="AX126" s="23">
        <f t="shared" si="60"/>
        <v>82.420323258851724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54.000000000000341</v>
      </c>
      <c r="BE126" s="14">
        <f>BD126*VLOOKUP('Données projet'!$B$11,Paramètres!$A$1:$I$89,3,0)*VLOOKUP('Données projet'!$B$11,Paramètres!$A$1:$I$89,5,0)</f>
        <v>30.186000000000188</v>
      </c>
      <c r="BF126" s="14">
        <f t="shared" si="91"/>
        <v>9.3563888882899153</v>
      </c>
      <c r="BG126" s="22">
        <f t="shared" si="61"/>
        <v>68.869660647105263</v>
      </c>
      <c r="BH126" s="62">
        <f t="shared" si="62"/>
        <v>351.55194046395593</v>
      </c>
      <c r="BI126" s="62">
        <f ca="1">AVERAGE(OFFSET($BH$3,0,0,'Données projet'!$E$11+1,1))-AVERAGE(OFFSET($H$3,0,0,'Données projet'!$E$11+1,1))</f>
        <v>507.66185230065889</v>
      </c>
      <c r="BJ126" s="62">
        <f t="shared" si="92"/>
        <v>640.14375617778342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99.788332527967867</v>
      </c>
      <c r="BQ126" s="23">
        <f>EXP(-LN(2)/25)*BQ125+(1-EXP(-LN(2)/25))/(LN(2)/25)*Calculateur!BL126*Calculateur!BN126*VLOOKUP('Données projet'!$B$11,Paramètres!$A$1:$I$89,3,0)*0.475*44/12</f>
        <v>4.4491351229235034</v>
      </c>
      <c r="BR126" s="23">
        <f>EXP(-LN(2)/2)*BR125+(1-EXP(-LN(2)/2))/(LN(2)/2)*BL126*BO126*VLOOKUP('Données projet'!$B$11,Paramètres!$A$1:$I$89,3,0)*0.475*44/12</f>
        <v>9.2666350941949662E-12</v>
      </c>
      <c r="BS126" s="24">
        <f t="shared" si="63"/>
        <v>104.23746765090064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417.04879970000007</v>
      </c>
      <c r="BZ126" s="14">
        <f>BY126*VLOOKUP('Données projet'!$B$12,Paramètres!$A$1:$I$89,3,0)*VLOOKUP('Données projet'!$B$12,Paramètres!$A$1:$I$89,5,0)</f>
        <v>195.17883825960004</v>
      </c>
      <c r="CA126" s="14">
        <f t="shared" si="93"/>
        <v>48.683122291673484</v>
      </c>
      <c r="CB126" s="22">
        <f t="shared" si="64"/>
        <v>424.72624796013469</v>
      </c>
      <c r="CC126" s="62">
        <f t="shared" si="65"/>
        <v>707.40852777698535</v>
      </c>
      <c r="CD126" s="62">
        <f ca="1">AVERAGE(OFFSET($CC$3,0,0,'Données projet'!$E$12+1,1))-AVERAGE(OFFSET($H$3,0,0,'Données projet'!$E$12+1,1))</f>
        <v>289.21044803824958</v>
      </c>
      <c r="CE126" s="62">
        <f t="shared" si="94"/>
        <v>196.11836398299445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>
        <f>EXP(-LN(2)/35)*CK125+(1-EXP(-LN(2)/35))/(LN(2)/35)*CG126*CH126*VLOOKUP('Données projet'!$B$12,Paramètres!$A$1:$I$89,3,0)*0.475*44/12</f>
        <v>43.674305924147241</v>
      </c>
      <c r="CL126" s="23">
        <f>EXP(-LN(2)/25)*CL125+(1-EXP(-LN(2)/25))/(LN(2)/25)*Calculateur!CG126*Calculateur!CI126*VLOOKUP('Données projet'!$B$12,Paramètres!$A$1:$I$89,3,0)*0.475*44/12</f>
        <v>16.943512838068379</v>
      </c>
      <c r="CM126" s="23">
        <f>EXP(-LN(2)/2)*CM125+(1-EXP(-LN(2)/2))/(LN(2)/2)*CG126*CJ126*VLOOKUP('Données projet'!$B$12,Paramètres!$A$1:$I$89,3,0)*0.475*44/12</f>
        <v>0</v>
      </c>
      <c r="CN126" s="24">
        <f t="shared" si="66"/>
        <v>60.61781876221562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-5.6843418860808015E-14</v>
      </c>
      <c r="CU126" s="18">
        <f>CT126*VLOOKUP('Données projet'!$B$13,Paramètres!$A$1:$I$89,3,0)*VLOOKUP('Données projet'!$B$13,Paramètres!$A$1:$I$89,5,0)</f>
        <v>-5.1431925385259088E-14</v>
      </c>
      <c r="CV126" s="14" t="e">
        <f t="shared" si="95"/>
        <v>#NUM!</v>
      </c>
      <c r="CW126" s="22" t="e">
        <f t="shared" si="67"/>
        <v>#NUM!</v>
      </c>
      <c r="CX126" s="62" t="e">
        <f t="shared" si="68"/>
        <v>#NUM!</v>
      </c>
      <c r="CY126" s="62">
        <f ca="1">AVERAGE(OFFSET($CX$3,0,0,'Données projet'!$E$13+1,1))-AVERAGE(OFFSET($H$3,0,0,'Données projet'!$E$13+1,1))</f>
        <v>376.68007030857598</v>
      </c>
      <c r="CZ126" s="62">
        <f t="shared" si="96"/>
        <v>532.90758914457626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>
        <f>EXP(-LN(2)/35)*DF125+(1-EXP(-LN(2)/35))/(LN(2)/35)*DB126*DC126*VLOOKUP('Données projet'!$B$13,Paramètres!$A$1:$I$89,3,0)*0.475*44/12</f>
        <v>19.976008013630491</v>
      </c>
      <c r="DG126" s="23">
        <f>EXP(-LN(2)/25)*DG125+(1-EXP(-LN(2)/25))/(LN(2)/25)*Calculateur!DB126*Calculateur!DD126*VLOOKUP('Données projet'!$B$13,Paramètres!$A$1:$I$89,3,0)*0.475*44/12</f>
        <v>0.99414116642352546</v>
      </c>
      <c r="DH126" s="23">
        <f>EXP(-LN(2)/2)*DH125+(1-EXP(-LN(2)/2))/(LN(2)/2)*DB126*DE126*VLOOKUP('Données projet'!$B$13,Paramètres!$A$1:$I$89,3,0)*0.475*44/12</f>
        <v>0</v>
      </c>
      <c r="DI126" s="24">
        <f t="shared" si="69"/>
        <v>20.970149180054015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5.6843418860808015E-14</v>
      </c>
      <c r="DP126" s="18">
        <f>DO126*VLOOKUP('Données projet'!$B$14,Paramètres!$A$1:$I$89,3,0)*VLOOKUP('Données projet'!$B$14,Paramètres!$A$1:$I$89,5,0)</f>
        <v>5.4092197387944907E-14</v>
      </c>
      <c r="DQ126" s="14">
        <f t="shared" si="97"/>
        <v>8.7287050538073676E-13</v>
      </c>
      <c r="DR126" s="22">
        <f t="shared" si="70"/>
        <v>1.6144600406554537E-12</v>
      </c>
      <c r="DS126" s="62">
        <f t="shared" si="71"/>
        <v>282.68227981685226</v>
      </c>
      <c r="DT126" s="62">
        <f ca="1">AVERAGE(OFFSET($DS$3,0,0,'Données projet'!$E$14+1,1))-AVERAGE(OFFSET($H$3,0,0,'Données projet'!$E$14+1,1))</f>
        <v>364.63161066507769</v>
      </c>
      <c r="DU126" s="62">
        <f t="shared" si="98"/>
        <v>355.44729904860708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>
        <f>EXP(-LN(2)/35)*EA125+(1-EXP(-LN(2)/35))/(LN(2)/35)*DW126*DX126*VLOOKUP('Données projet'!$B$14,Paramètres!$A$1:$I$89,3,0)*0.475*44/12</f>
        <v>56.634623250799841</v>
      </c>
      <c r="EB126" s="23">
        <f>EXP(-LN(2)/25)*EB125+(1-EXP(-LN(2)/25))/(LN(2)/25)*Calculateur!DW126*Calculateur!DY126*VLOOKUP('Données projet'!$B$14,Paramètres!$A$1:$I$89,3,0)*0.475*44/12</f>
        <v>0</v>
      </c>
      <c r="EC126" s="23">
        <f>EXP(-LN(2)/2)*EC125+(1-EXP(-LN(2)/2))/(LN(2)/2)*DW126*DZ126*VLOOKUP('Données projet'!$B$14,Paramètres!$A$1:$I$89,3,0)*0.475*44/12</f>
        <v>0</v>
      </c>
      <c r="ED126" s="24">
        <f t="shared" si="72"/>
        <v>56.634623250799841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5.6843418860808015E-14</v>
      </c>
      <c r="EK126" s="18">
        <f>EJ126*VLOOKUP('Données projet'!$B$15,Paramètres!$A$1:$I$89,3,0)*VLOOKUP('Données projet'!$B$15,Paramètres!$A$1:$I$89,5,0)</f>
        <v>4.1677594708744434E-14</v>
      </c>
      <c r="EL126" s="14">
        <f t="shared" si="99"/>
        <v>6.9326303456159188E-13</v>
      </c>
      <c r="EM126" s="22">
        <f t="shared" si="73"/>
        <v>1.2800215959791691E-12</v>
      </c>
      <c r="EN126" s="62">
        <f t="shared" si="74"/>
        <v>282.68227981685197</v>
      </c>
      <c r="EO126" s="62">
        <f ca="1">AVERAGE(OFFSET($EN$3,0,0,'Données projet'!$E$15+1,1))-AVERAGE(OFFSET($H$3,0,0,'Données projet'!$E$15+1,1))</f>
        <v>293.59366973965774</v>
      </c>
      <c r="EP126" s="62">
        <f t="shared" si="100"/>
        <v>288.13804536120426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>
        <f>EXP(-LN(2)/35)*EV125+(1-EXP(-LN(2)/35))/(LN(2)/35)*ER126*ES126*VLOOKUP('Données projet'!$B$15,Paramètres!$A$1:$I$89,3,0)*0.475*44/12</f>
        <v>43.636512996517922</v>
      </c>
      <c r="EW126" s="23">
        <f>EXP(-LN(2)/25)*EW125+(1-EXP(-LN(2)/25))/(LN(2)/25)*Calculateur!ER126*Calculateur!ET126*VLOOKUP('Données projet'!$B$15,Paramètres!$A$1:$I$89,3,0)*0.475*44/12</f>
        <v>0</v>
      </c>
      <c r="EX126" s="23">
        <f>EXP(-LN(2)/2)*EX125+(1-EXP(-LN(2)/2))/(LN(2)/2)*ER126*EU126*VLOOKUP('Données projet'!$B$15,Paramètres!$A$1:$I$89,3,0)*0.475*44/12</f>
        <v>0</v>
      </c>
      <c r="EY126" s="24">
        <f t="shared" si="75"/>
        <v>43.636512996517922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5.6843418860808015E-14</v>
      </c>
      <c r="FF126" s="18">
        <f>FE126*VLOOKUP('Données projet'!$B$16,Paramètres!$A$1:$I$89,3,0)*VLOOKUP('Données projet'!$B$16,Paramètres!$A$1:$I$89,5,0)</f>
        <v>5.4978954722173515E-14</v>
      </c>
      <c r="FG126" s="14">
        <f t="shared" si="101"/>
        <v>8.8550225887742724E-13</v>
      </c>
      <c r="FH126" s="22">
        <f t="shared" si="76"/>
        <v>1.6380047803526383E-12</v>
      </c>
      <c r="FI126" s="62">
        <f t="shared" si="77"/>
        <v>282.68227981685231</v>
      </c>
      <c r="FJ126" s="62">
        <f ca="1">AVERAGE(OFFSET($FI$3,0,0,'Données projet'!$E$16+1,1))-AVERAGE(OFFSET($H$3,0,0,'Données projet'!$E$16+1,1))</f>
        <v>369.69145521630799</v>
      </c>
      <c r="FK126" s="62">
        <f t="shared" si="102"/>
        <v>360.24112103688719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>
        <f>EXP(-LN(2)/35)*FQ125+(1-EXP(-LN(2)/35))/(LN(2)/35)*FM126*FN126*VLOOKUP('Données projet'!$B$16,Paramètres!$A$1:$I$89,3,0)*0.475*44/12</f>
        <v>57.563059697534271</v>
      </c>
      <c r="FR126" s="23">
        <f>EXP(-LN(2)/25)*FR125+(1-EXP(-LN(2)/25))/(LN(2)/25)*Calculateur!FM126*Calculateur!FO126*VLOOKUP('Données projet'!$B$16,Paramètres!$A$1:$I$89,3,0)*0.475*44/12</f>
        <v>0</v>
      </c>
      <c r="FS126" s="23">
        <f>EXP(-LN(2)/2)*FS125+(1-EXP(-LN(2)/2))/(LN(2)/2)*FM126*FP126*VLOOKUP('Données projet'!$B$16,Paramètres!$A$1:$I$89,3,0)*0.475*44/12</f>
        <v>0</v>
      </c>
      <c r="FT126" s="24">
        <f t="shared" si="78"/>
        <v>57.563059697534271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5.6843418860808015E-14</v>
      </c>
      <c r="GA126" s="18">
        <f>FZ126*VLOOKUP('Données projet'!$B$17,Paramètres!$A$1:$I$89,3,0)*VLOOKUP('Données projet'!$B$17,Paramètres!$A$1:$I$89,5,0)</f>
        <v>6.1186256061773749E-14</v>
      </c>
      <c r="GB126" s="14">
        <f t="shared" si="103"/>
        <v>9.7328366192051127E-13</v>
      </c>
      <c r="GC126" s="22">
        <f t="shared" si="79"/>
        <v>1.8017017738191463E-12</v>
      </c>
      <c r="GD126" s="62">
        <f t="shared" si="80"/>
        <v>282.68227981685249</v>
      </c>
      <c r="GE126" s="62">
        <f ca="1">AVERAGE(OFFSET($GD$3,0,0,'Données projet'!$E$17+1,1))-AVERAGE(OFFSET($H$3,0,0,'Données projet'!$E$17+1,1))</f>
        <v>405.06394904053946</v>
      </c>
      <c r="GF126" s="62">
        <f t="shared" si="104"/>
        <v>393.75247087518198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>
        <f>EXP(-LN(2)/35)*GL125+(1-EXP(-LN(2)/35))/(LN(2)/35)*GH126*GI126*VLOOKUP('Données projet'!$B$17,Paramètres!$A$1:$I$89,3,0)*0.475*44/12</f>
        <v>64.06211482467522</v>
      </c>
      <c r="GM126" s="23">
        <f>EXP(-LN(2)/25)*GM125+(1-EXP(-LN(2)/25))/(LN(2)/25)*Calculateur!GH126*Calculateur!GJ126*VLOOKUP('Données projet'!$B$17,Paramètres!$A$1:$I$89,3,0)*0.475*44/12</f>
        <v>0</v>
      </c>
      <c r="GN126" s="23">
        <f>EXP(-LN(2)/2)*GN125+(1-EXP(-LN(2)/2))/(LN(2)/2)*GH126*GK126*VLOOKUP('Données projet'!$B$17,Paramètres!$A$1:$I$89,3,0)*0.475*44/12</f>
        <v>0</v>
      </c>
      <c r="GO126" s="23">
        <f t="shared" si="81"/>
        <v>64.06211482467522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5.6843418860808015E-14</v>
      </c>
      <c r="GV126" s="18">
        <f>GU126*VLOOKUP('Données projet'!$B$18,Paramètres!$A$1:$I$89,3,0)*VLOOKUP('Données projet'!$B$18,Paramètres!$A$1:$I$89,5,0)</f>
        <v>3.813056537183002E-14</v>
      </c>
      <c r="GW126" s="14">
        <f t="shared" si="105"/>
        <v>6.4086286045526829E-13</v>
      </c>
      <c r="GX126" s="22">
        <f t="shared" si="82"/>
        <v>1.1825802166488628E-12</v>
      </c>
      <c r="GY126" s="62">
        <f t="shared" si="83"/>
        <v>282.68227981685186</v>
      </c>
      <c r="GZ126" s="62">
        <f ca="1">AVERAGE(OFFSET($GY$3,0,0,'Données projet'!$E$18+1,1))-AVERAGE(OFFSET($H$3,0,0,'Données projet'!$E$18+1,1))</f>
        <v>273.21861937609918</v>
      </c>
      <c r="HA126" s="62">
        <f t="shared" si="106"/>
        <v>268.83004886965318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>
        <f>EXP(-LN(2)/35)*HG125+(1-EXP(-LN(2)/35))/(LN(2)/35)*HC126*HD126*VLOOKUP('Données projet'!$B$18,Paramètres!$A$1:$I$89,3,0)*0.475*44/12</f>
        <v>49.207131676924462</v>
      </c>
      <c r="HH126" s="23">
        <f>EXP(-LN(2)/25)*HH125+(1-EXP(-LN(2)/25))/(LN(2)/25)*Calculateur!HC126*Calculateur!HE126*VLOOKUP('Données projet'!$B$18,Paramètres!$A$1:$I$89,3,0)*0.475*44/12</f>
        <v>0</v>
      </c>
      <c r="HI126" s="23">
        <f>EXP(-LN(2)/2)*HI125+(1-EXP(-LN(2)/2))/(LN(2)/2)*HC126*HF126*VLOOKUP('Données projet'!$B$18,Paramètres!$A$1:$I$89,3,0)*0.475*44/12</f>
        <v>0</v>
      </c>
      <c r="HJ126" s="24">
        <f t="shared" si="84"/>
        <v>49.207131676924462</v>
      </c>
    </row>
    <row r="127" spans="1:218" s="5" customFormat="1" x14ac:dyDescent="0.4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5.6</v>
      </c>
      <c r="N127" s="14">
        <f>IF('Données projet'!$A$36&gt;35,N126+M127-V126,IF(A127&lt;'Données projet'!$A$36,$K$205^A127,IF(A127='Données projet'!$A$36,'Données projet'!$B$36,N126+M127-V126)))</f>
        <v>274.59999999999997</v>
      </c>
      <c r="O127" s="14">
        <f>N127*VLOOKUP('Données projet'!$B$9,Paramètres!$A$1:$I$89,3,0)*VLOOKUP('Données projet'!$B$9,Paramètres!$A$1:$I$89,5,0)</f>
        <v>248.45807999999997</v>
      </c>
      <c r="P127" s="14">
        <f t="shared" si="87"/>
        <v>60.25564309762369</v>
      </c>
      <c r="Q127" s="22">
        <f t="shared" si="107"/>
        <v>537.67640106169449</v>
      </c>
      <c r="R127" s="62">
        <f t="shared" si="55"/>
        <v>820.54345284486783</v>
      </c>
      <c r="S127" s="62">
        <f ca="1">AVERAGE(OFFSET($R$3,0,0,'Données projet'!$E$9+1,1))-AVERAGE(OFFSET($H$3,0,0,'Données projet'!$E$9+1,1))</f>
        <v>432.80275651765203</v>
      </c>
      <c r="T127" s="62">
        <f t="shared" si="88"/>
        <v>203.89279893419919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26.772583026806714</v>
      </c>
      <c r="AA127" s="23">
        <f>EXP(-LN(2)/25)*AA126+(1-EXP(-LN(2)/25))/(LN(2)/25)*Calculateur!V127*Calculateur!X127*VLOOKUP('Données projet'!$B$9,Paramètres!$A$1:$I$89,3,0)*0.475*44/12</f>
        <v>17.79290113323966</v>
      </c>
      <c r="AB127" s="23">
        <f>EXP(-LN(2)/2)*AB126+(1-EXP(-LN(2)/2))/(LN(2)/2)*V127*Y127*VLOOKUP('Données projet'!$B$9,Paramètres!$A$1:$I$89,3,0)*0.475*44/12</f>
        <v>0</v>
      </c>
      <c r="AC127" s="24">
        <f t="shared" si="57"/>
        <v>44.565484160046374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54.000000000000341</v>
      </c>
      <c r="AJ127" s="14">
        <f>AI127*VLOOKUP('Données projet'!$B$10,Paramètres!$A$1:$I$89,3,0)*VLOOKUP('Données projet'!$B$10,Paramètres!$A$1:$I$89,5,0)</f>
        <v>23.868000000000151</v>
      </c>
      <c r="AK127" s="14">
        <f t="shared" si="89"/>
        <v>7.6030930962115804</v>
      </c>
      <c r="AL127" s="22">
        <f t="shared" si="58"/>
        <v>54.812153809235433</v>
      </c>
      <c r="AM127" s="62">
        <f t="shared" si="59"/>
        <v>337.67920559240878</v>
      </c>
      <c r="AN127" s="62">
        <f ca="1">AVERAGE(OFFSET($AM$3,0,0,'Données projet'!$E$10+1,1))-AVERAGE(OFFSET($H$3,0,0,'Données projet'!$E$10+1,1))</f>
        <v>413.08876898406481</v>
      </c>
      <c r="AO127" s="62">
        <f t="shared" si="90"/>
        <v>520.31320932826566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77.355174477369587</v>
      </c>
      <c r="AV127" s="23">
        <f>EXP(-LN(2)/25)*AV126+(1-EXP(-LN(2)/25))/(LN(2)/25)*Calculateur!AQ127*Calculateur!AS127*VLOOKUP('Données projet'!$B$10,Paramètres!$A$1:$I$89,3,0)*0.475*44/12</f>
        <v>3.4217230657346165</v>
      </c>
      <c r="AW127" s="23">
        <f>EXP(-LN(2)/2)*AW126+(1-EXP(-LN(2)/2))/(LN(2)/2)*AQ127*AT127*VLOOKUP('Données projet'!$B$10,Paramètres!$A$1:$I$89,3,0)*0.475*44/12</f>
        <v>5.1810469179567658E-12</v>
      </c>
      <c r="AX127" s="23">
        <f t="shared" si="60"/>
        <v>80.776897543109385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54.000000000000341</v>
      </c>
      <c r="BE127" s="14">
        <f>BD127*VLOOKUP('Données projet'!$B$11,Paramètres!$A$1:$I$89,3,0)*VLOOKUP('Données projet'!$B$11,Paramètres!$A$1:$I$89,5,0)</f>
        <v>30.186000000000188</v>
      </c>
      <c r="BF127" s="14">
        <f t="shared" si="91"/>
        <v>9.3563888882899153</v>
      </c>
      <c r="BG127" s="22">
        <f t="shared" si="61"/>
        <v>68.869660647105263</v>
      </c>
      <c r="BH127" s="62">
        <f t="shared" si="62"/>
        <v>351.7367124302786</v>
      </c>
      <c r="BI127" s="62">
        <f ca="1">AVERAGE(OFFSET($BH$3,0,0,'Données projet'!$E$11+1,1))-AVERAGE(OFFSET($H$3,0,0,'Données projet'!$E$11+1,1))</f>
        <v>507.66185230065889</v>
      </c>
      <c r="BJ127" s="62">
        <f t="shared" si="92"/>
        <v>640.14375617778342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97.831544191967353</v>
      </c>
      <c r="BQ127" s="23">
        <f>EXP(-LN(2)/25)*BQ126+(1-EXP(-LN(2)/25))/(LN(2)/25)*Calculateur!BL127*Calculateur!BN127*VLOOKUP('Données projet'!$B$11,Paramètres!$A$1:$I$89,3,0)*0.475*44/12</f>
        <v>4.3274732890173127</v>
      </c>
      <c r="BR127" s="23">
        <f>EXP(-LN(2)/2)*BR126+(1-EXP(-LN(2)/2))/(LN(2)/2)*BL127*BO127*VLOOKUP('Données projet'!$B$11,Paramètres!$A$1:$I$89,3,0)*0.475*44/12</f>
        <v>6.5525005138865022E-12</v>
      </c>
      <c r="BS127" s="24">
        <f t="shared" si="63"/>
        <v>102.15901748099121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417.04879970000007</v>
      </c>
      <c r="BZ127" s="14">
        <f>BY127*VLOOKUP('Données projet'!$B$12,Paramètres!$A$1:$I$89,3,0)*VLOOKUP('Données projet'!$B$12,Paramètres!$A$1:$I$89,5,0)</f>
        <v>195.17883825960004</v>
      </c>
      <c r="CA127" s="14">
        <f t="shared" si="93"/>
        <v>48.683122291673484</v>
      </c>
      <c r="CB127" s="22">
        <f t="shared" si="64"/>
        <v>424.72624796013469</v>
      </c>
      <c r="CC127" s="62">
        <f t="shared" si="65"/>
        <v>707.59329974330808</v>
      </c>
      <c r="CD127" s="62">
        <f ca="1">AVERAGE(OFFSET($CC$3,0,0,'Données projet'!$E$12+1,1))-AVERAGE(OFFSET($H$3,0,0,'Données projet'!$E$12+1,1))</f>
        <v>289.21044803824958</v>
      </c>
      <c r="CE127" s="62">
        <f t="shared" si="94"/>
        <v>196.11836398299445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>
        <f>EXP(-LN(2)/35)*CK126+(1-EXP(-LN(2)/35))/(LN(2)/35)*CG127*CH127*VLOOKUP('Données projet'!$B$12,Paramètres!$A$1:$I$89,3,0)*0.475*44/12</f>
        <v>42.817879423670973</v>
      </c>
      <c r="CL127" s="23">
        <f>EXP(-LN(2)/25)*CL126+(1-EXP(-LN(2)/25))/(LN(2)/25)*Calculateur!CG127*Calculateur!CI127*VLOOKUP('Données projet'!$B$12,Paramètres!$A$1:$I$89,3,0)*0.475*44/12</f>
        <v>16.480191588490783</v>
      </c>
      <c r="CM127" s="23">
        <f>EXP(-LN(2)/2)*CM126+(1-EXP(-LN(2)/2))/(LN(2)/2)*CG127*CJ127*VLOOKUP('Données projet'!$B$12,Paramètres!$A$1:$I$89,3,0)*0.475*44/12</f>
        <v>0</v>
      </c>
      <c r="CN127" s="24">
        <f t="shared" si="66"/>
        <v>59.298071012161756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-5.6843418860808015E-14</v>
      </c>
      <c r="CU127" s="18">
        <f>CT127*VLOOKUP('Données projet'!$B$13,Paramètres!$A$1:$I$89,3,0)*VLOOKUP('Données projet'!$B$13,Paramètres!$A$1:$I$89,5,0)</f>
        <v>-5.1431925385259088E-14</v>
      </c>
      <c r="CV127" s="14" t="e">
        <f t="shared" si="95"/>
        <v>#NUM!</v>
      </c>
      <c r="CW127" s="22" t="e">
        <f t="shared" si="67"/>
        <v>#NUM!</v>
      </c>
      <c r="CX127" s="62" t="e">
        <f t="shared" si="68"/>
        <v>#NUM!</v>
      </c>
      <c r="CY127" s="62">
        <f ca="1">AVERAGE(OFFSET($CX$3,0,0,'Données projet'!$E$13+1,1))-AVERAGE(OFFSET($H$3,0,0,'Données projet'!$E$13+1,1))</f>
        <v>376.68007030857598</v>
      </c>
      <c r="CZ127" s="62">
        <f t="shared" si="96"/>
        <v>532.90758914457626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>
        <f>EXP(-LN(2)/35)*DF126+(1-EXP(-LN(2)/35))/(LN(2)/35)*DB127*DC127*VLOOKUP('Données projet'!$B$13,Paramètres!$A$1:$I$89,3,0)*0.475*44/12</f>
        <v>19.584290680644997</v>
      </c>
      <c r="DG127" s="23">
        <f>EXP(-LN(2)/25)*DG126+(1-EXP(-LN(2)/25))/(LN(2)/25)*Calculateur!DB127*Calculateur!DD127*VLOOKUP('Données projet'!$B$13,Paramètres!$A$1:$I$89,3,0)*0.475*44/12</f>
        <v>0.9669563239480623</v>
      </c>
      <c r="DH127" s="23">
        <f>EXP(-LN(2)/2)*DH126+(1-EXP(-LN(2)/2))/(LN(2)/2)*DB127*DE127*VLOOKUP('Données projet'!$B$13,Paramètres!$A$1:$I$89,3,0)*0.475*44/12</f>
        <v>0</v>
      </c>
      <c r="DI127" s="24">
        <f t="shared" si="69"/>
        <v>20.551247004593058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5.6843418860808015E-14</v>
      </c>
      <c r="DP127" s="18">
        <f>DO127*VLOOKUP('Données projet'!$B$14,Paramètres!$A$1:$I$89,3,0)*VLOOKUP('Données projet'!$B$14,Paramètres!$A$1:$I$89,5,0)</f>
        <v>5.4092197387944907E-14</v>
      </c>
      <c r="DQ127" s="14">
        <f t="shared" si="97"/>
        <v>8.7287050538073676E-13</v>
      </c>
      <c r="DR127" s="22">
        <f t="shared" si="70"/>
        <v>1.6144600406554537E-12</v>
      </c>
      <c r="DS127" s="62">
        <f t="shared" si="71"/>
        <v>282.86705178317493</v>
      </c>
      <c r="DT127" s="62">
        <f ca="1">AVERAGE(OFFSET($DS$3,0,0,'Données projet'!$E$14+1,1))-AVERAGE(OFFSET($H$3,0,0,'Données projet'!$E$14+1,1))</f>
        <v>364.63161066507769</v>
      </c>
      <c r="DU127" s="62">
        <f t="shared" si="98"/>
        <v>355.44729904860708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>
        <f>EXP(-LN(2)/35)*EA126+(1-EXP(-LN(2)/35))/(LN(2)/35)*DW127*DX127*VLOOKUP('Données projet'!$B$14,Paramètres!$A$1:$I$89,3,0)*0.475*44/12</f>
        <v>55.524052832560933</v>
      </c>
      <c r="EB127" s="23">
        <f>EXP(-LN(2)/25)*EB126+(1-EXP(-LN(2)/25))/(LN(2)/25)*Calculateur!DW127*Calculateur!DY127*VLOOKUP('Données projet'!$B$14,Paramètres!$A$1:$I$89,3,0)*0.475*44/12</f>
        <v>0</v>
      </c>
      <c r="EC127" s="23">
        <f>EXP(-LN(2)/2)*EC126+(1-EXP(-LN(2)/2))/(LN(2)/2)*DW127*DZ127*VLOOKUP('Données projet'!$B$14,Paramètres!$A$1:$I$89,3,0)*0.475*44/12</f>
        <v>0</v>
      </c>
      <c r="ED127" s="24">
        <f t="shared" si="72"/>
        <v>55.524052832560933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5.6843418860808015E-14</v>
      </c>
      <c r="EK127" s="18">
        <f>EJ127*VLOOKUP('Données projet'!$B$15,Paramètres!$A$1:$I$89,3,0)*VLOOKUP('Données projet'!$B$15,Paramètres!$A$1:$I$89,5,0)</f>
        <v>4.1677594708744434E-14</v>
      </c>
      <c r="EL127" s="14">
        <f t="shared" si="99"/>
        <v>6.9326303456159188E-13</v>
      </c>
      <c r="EM127" s="22">
        <f t="shared" si="73"/>
        <v>1.2800215959791691E-12</v>
      </c>
      <c r="EN127" s="62">
        <f t="shared" si="74"/>
        <v>282.86705178317465</v>
      </c>
      <c r="EO127" s="62">
        <f ca="1">AVERAGE(OFFSET($EN$3,0,0,'Données projet'!$E$15+1,1))-AVERAGE(OFFSET($H$3,0,0,'Données projet'!$E$15+1,1))</f>
        <v>293.59366973965774</v>
      </c>
      <c r="EP127" s="62">
        <f t="shared" si="100"/>
        <v>288.13804536120426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>
        <f>EXP(-LN(2)/35)*EV126+(1-EXP(-LN(2)/35))/(LN(2)/35)*ER127*ES127*VLOOKUP('Données projet'!$B$15,Paramètres!$A$1:$I$89,3,0)*0.475*44/12</f>
        <v>42.780827592301058</v>
      </c>
      <c r="EW127" s="23">
        <f>EXP(-LN(2)/25)*EW126+(1-EXP(-LN(2)/25))/(LN(2)/25)*Calculateur!ER127*Calculateur!ET127*VLOOKUP('Données projet'!$B$15,Paramètres!$A$1:$I$89,3,0)*0.475*44/12</f>
        <v>0</v>
      </c>
      <c r="EX127" s="23">
        <f>EXP(-LN(2)/2)*EX126+(1-EXP(-LN(2)/2))/(LN(2)/2)*ER127*EU127*VLOOKUP('Données projet'!$B$15,Paramètres!$A$1:$I$89,3,0)*0.475*44/12</f>
        <v>0</v>
      </c>
      <c r="EY127" s="24">
        <f t="shared" si="75"/>
        <v>42.780827592301058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5.6843418860808015E-14</v>
      </c>
      <c r="FF127" s="18">
        <f>FE127*VLOOKUP('Données projet'!$B$16,Paramètres!$A$1:$I$89,3,0)*VLOOKUP('Données projet'!$B$16,Paramètres!$A$1:$I$89,5,0)</f>
        <v>5.4978954722173515E-14</v>
      </c>
      <c r="FG127" s="14">
        <f t="shared" si="101"/>
        <v>8.8550225887742724E-13</v>
      </c>
      <c r="FH127" s="22">
        <f t="shared" si="76"/>
        <v>1.6380047803526383E-12</v>
      </c>
      <c r="FI127" s="62">
        <f t="shared" si="77"/>
        <v>282.86705178317499</v>
      </c>
      <c r="FJ127" s="62">
        <f ca="1">AVERAGE(OFFSET($FI$3,0,0,'Données projet'!$E$16+1,1))-AVERAGE(OFFSET($H$3,0,0,'Données projet'!$E$16+1,1))</f>
        <v>369.69145521630799</v>
      </c>
      <c r="FK127" s="62">
        <f t="shared" si="102"/>
        <v>360.24112103688719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>
        <f>EXP(-LN(2)/35)*FQ126+(1-EXP(-LN(2)/35))/(LN(2)/35)*FM127*FN127*VLOOKUP('Données projet'!$B$16,Paramètres!$A$1:$I$89,3,0)*0.475*44/12</f>
        <v>56.434283206865217</v>
      </c>
      <c r="FR127" s="23">
        <f>EXP(-LN(2)/25)*FR126+(1-EXP(-LN(2)/25))/(LN(2)/25)*Calculateur!FM127*Calculateur!FO127*VLOOKUP('Données projet'!$B$16,Paramètres!$A$1:$I$89,3,0)*0.475*44/12</f>
        <v>0</v>
      </c>
      <c r="FS127" s="23">
        <f>EXP(-LN(2)/2)*FS126+(1-EXP(-LN(2)/2))/(LN(2)/2)*FM127*FP127*VLOOKUP('Données projet'!$B$16,Paramètres!$A$1:$I$89,3,0)*0.475*44/12</f>
        <v>0</v>
      </c>
      <c r="FT127" s="24">
        <f t="shared" si="78"/>
        <v>56.434283206865217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5.6843418860808015E-14</v>
      </c>
      <c r="GA127" s="18">
        <f>FZ127*VLOOKUP('Données projet'!$B$17,Paramètres!$A$1:$I$89,3,0)*VLOOKUP('Données projet'!$B$17,Paramètres!$A$1:$I$89,5,0)</f>
        <v>6.1186256061773749E-14</v>
      </c>
      <c r="GB127" s="14">
        <f t="shared" si="103"/>
        <v>9.7328366192051127E-13</v>
      </c>
      <c r="GC127" s="22">
        <f t="shared" si="79"/>
        <v>1.8017017738191463E-12</v>
      </c>
      <c r="GD127" s="62">
        <f t="shared" si="80"/>
        <v>282.86705178317516</v>
      </c>
      <c r="GE127" s="62">
        <f ca="1">AVERAGE(OFFSET($GD$3,0,0,'Données projet'!$E$17+1,1))-AVERAGE(OFFSET($H$3,0,0,'Données projet'!$E$17+1,1))</f>
        <v>405.06394904053946</v>
      </c>
      <c r="GF127" s="62">
        <f t="shared" si="104"/>
        <v>393.75247087518198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>
        <f>EXP(-LN(2)/35)*GL126+(1-EXP(-LN(2)/35))/(LN(2)/35)*GH127*GI127*VLOOKUP('Données projet'!$B$17,Paramètres!$A$1:$I$89,3,0)*0.475*44/12</f>
        <v>62.80589582699514</v>
      </c>
      <c r="GM127" s="23">
        <f>EXP(-LN(2)/25)*GM126+(1-EXP(-LN(2)/25))/(LN(2)/25)*Calculateur!GH127*Calculateur!GJ127*VLOOKUP('Données projet'!$B$17,Paramètres!$A$1:$I$89,3,0)*0.475*44/12</f>
        <v>0</v>
      </c>
      <c r="GN127" s="23">
        <f>EXP(-LN(2)/2)*GN126+(1-EXP(-LN(2)/2))/(LN(2)/2)*GH127*GK127*VLOOKUP('Données projet'!$B$17,Paramètres!$A$1:$I$89,3,0)*0.475*44/12</f>
        <v>0</v>
      </c>
      <c r="GO127" s="23">
        <f t="shared" si="81"/>
        <v>62.80589582699514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5.6843418860808015E-14</v>
      </c>
      <c r="GV127" s="18">
        <f>GU127*VLOOKUP('Données projet'!$B$18,Paramètres!$A$1:$I$89,3,0)*VLOOKUP('Données projet'!$B$18,Paramètres!$A$1:$I$89,5,0)</f>
        <v>3.813056537183002E-14</v>
      </c>
      <c r="GW127" s="14">
        <f t="shared" si="105"/>
        <v>6.4086286045526829E-13</v>
      </c>
      <c r="GX127" s="22">
        <f t="shared" si="82"/>
        <v>1.1825802166488628E-12</v>
      </c>
      <c r="GY127" s="62">
        <f t="shared" si="83"/>
        <v>282.86705178317453</v>
      </c>
      <c r="GZ127" s="62">
        <f ca="1">AVERAGE(OFFSET($GY$3,0,0,'Données projet'!$E$18+1,1))-AVERAGE(OFFSET($H$3,0,0,'Données projet'!$E$18+1,1))</f>
        <v>273.21861937609918</v>
      </c>
      <c r="HA127" s="62">
        <f t="shared" si="106"/>
        <v>268.83004886965318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>
        <f>EXP(-LN(2)/35)*HG126+(1-EXP(-LN(2)/35))/(LN(2)/35)*HC127*HD127*VLOOKUP('Données projet'!$B$18,Paramètres!$A$1:$I$89,3,0)*0.475*44/12</f>
        <v>48.242209838126719</v>
      </c>
      <c r="HH127" s="23">
        <f>EXP(-LN(2)/25)*HH126+(1-EXP(-LN(2)/25))/(LN(2)/25)*Calculateur!HC127*Calculateur!HE127*VLOOKUP('Données projet'!$B$18,Paramètres!$A$1:$I$89,3,0)*0.475*44/12</f>
        <v>0</v>
      </c>
      <c r="HI127" s="23">
        <f>EXP(-LN(2)/2)*HI126+(1-EXP(-LN(2)/2))/(LN(2)/2)*HC127*HF127*VLOOKUP('Données projet'!$B$18,Paramètres!$A$1:$I$89,3,0)*0.475*44/12</f>
        <v>0</v>
      </c>
      <c r="HJ127" s="24">
        <f t="shared" si="84"/>
        <v>48.242209838126719</v>
      </c>
    </row>
    <row r="128" spans="1:218" s="5" customFormat="1" x14ac:dyDescent="0.4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5.6</v>
      </c>
      <c r="N128" s="14">
        <f>IF('Données projet'!$A$36&gt;35,N127+M128-V127,IF(A128&lt;'Données projet'!$A$36,$K$205^A128,IF(A128='Données projet'!$A$36,'Données projet'!$B$36,N127+M128-V127)))</f>
        <v>280.2</v>
      </c>
      <c r="O128" s="14">
        <f>N128*VLOOKUP('Données projet'!$B$9,Paramètres!$A$1:$I$89,3,0)*VLOOKUP('Données projet'!$B$9,Paramètres!$A$1:$I$89,5,0)</f>
        <v>253.52495999999999</v>
      </c>
      <c r="P128" s="14">
        <f t="shared" si="87"/>
        <v>61.340141798422209</v>
      </c>
      <c r="Q128" s="22">
        <f t="shared" si="107"/>
        <v>548.39005229891859</v>
      </c>
      <c r="R128" s="62">
        <f t="shared" si="55"/>
        <v>831.4386706678871</v>
      </c>
      <c r="S128" s="62">
        <f ca="1">AVERAGE(OFFSET($R$3,0,0,'Données projet'!$E$9+1,1))-AVERAGE(OFFSET($H$3,0,0,'Données projet'!$E$9+1,1))</f>
        <v>432.80275651765203</v>
      </c>
      <c r="T128" s="62">
        <f t="shared" si="88"/>
        <v>203.89279893419919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26.24758900331426</v>
      </c>
      <c r="AA128" s="23">
        <f>EXP(-LN(2)/25)*AA127+(1-EXP(-LN(2)/25))/(LN(2)/25)*Calculateur!V128*Calculateur!X128*VLOOKUP('Données projet'!$B$9,Paramètres!$A$1:$I$89,3,0)*0.475*44/12</f>
        <v>17.306353316063216</v>
      </c>
      <c r="AB128" s="23">
        <f>EXP(-LN(2)/2)*AB127+(1-EXP(-LN(2)/2))/(LN(2)/2)*V128*Y128*VLOOKUP('Données projet'!$B$9,Paramètres!$A$1:$I$89,3,0)*0.475*44/12</f>
        <v>0</v>
      </c>
      <c r="AC128" s="24">
        <f t="shared" si="57"/>
        <v>43.553942319377477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54.000000000000341</v>
      </c>
      <c r="AJ128" s="14">
        <f>AI128*VLOOKUP('Données projet'!$B$10,Paramètres!$A$1:$I$89,3,0)*VLOOKUP('Données projet'!$B$10,Paramètres!$A$1:$I$89,5,0)</f>
        <v>23.868000000000151</v>
      </c>
      <c r="AK128" s="14">
        <f t="shared" si="89"/>
        <v>7.6030930962115804</v>
      </c>
      <c r="AL128" s="22">
        <f t="shared" si="58"/>
        <v>54.812153809235433</v>
      </c>
      <c r="AM128" s="62">
        <f t="shared" si="59"/>
        <v>337.86077217820394</v>
      </c>
      <c r="AN128" s="62">
        <f ca="1">AVERAGE(OFFSET($AM$3,0,0,'Données projet'!$E$10+1,1))-AVERAGE(OFFSET($H$3,0,0,'Données projet'!$E$10+1,1))</f>
        <v>413.08876898406481</v>
      </c>
      <c r="AO128" s="62">
        <f t="shared" si="90"/>
        <v>520.31320932826566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75.83828668786596</v>
      </c>
      <c r="AV128" s="23">
        <f>EXP(-LN(2)/25)*AV127+(1-EXP(-LN(2)/25))/(LN(2)/25)*Calculateur!AQ128*Calculateur!AS128*VLOOKUP('Données projet'!$B$10,Paramètres!$A$1:$I$89,3,0)*0.475*44/12</f>
        <v>3.3281558685615078</v>
      </c>
      <c r="AW128" s="23">
        <f>EXP(-LN(2)/2)*AW127+(1-EXP(-LN(2)/2))/(LN(2)/2)*AQ128*AT128*VLOOKUP('Données projet'!$B$10,Paramètres!$A$1:$I$89,3,0)*0.475*44/12</f>
        <v>3.6635534093328911E-12</v>
      </c>
      <c r="AX128" s="23">
        <f t="shared" si="60"/>
        <v>79.166442556431136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54.000000000000341</v>
      </c>
      <c r="BE128" s="14">
        <f>BD128*VLOOKUP('Données projet'!$B$11,Paramètres!$A$1:$I$89,3,0)*VLOOKUP('Données projet'!$B$11,Paramètres!$A$1:$I$89,5,0)</f>
        <v>30.186000000000188</v>
      </c>
      <c r="BF128" s="14">
        <f t="shared" si="91"/>
        <v>9.3563888882899153</v>
      </c>
      <c r="BG128" s="22">
        <f t="shared" si="61"/>
        <v>68.869660647105263</v>
      </c>
      <c r="BH128" s="62">
        <f t="shared" si="62"/>
        <v>351.91827901607377</v>
      </c>
      <c r="BI128" s="62">
        <f ca="1">AVERAGE(OFFSET($BH$3,0,0,'Données projet'!$E$11+1,1))-AVERAGE(OFFSET($H$3,0,0,'Données projet'!$E$11+1,1))</f>
        <v>507.66185230065889</v>
      </c>
      <c r="BJ128" s="62">
        <f t="shared" si="92"/>
        <v>640.14375617778342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95.913127281712775</v>
      </c>
      <c r="BQ128" s="23">
        <f>EXP(-LN(2)/25)*BQ127+(1-EXP(-LN(2)/25))/(LN(2)/25)*Calculateur!BL128*Calculateur!BN128*VLOOKUP('Données projet'!$B$11,Paramètres!$A$1:$I$89,3,0)*0.475*44/12</f>
        <v>4.2091383043572046</v>
      </c>
      <c r="BR128" s="23">
        <f>EXP(-LN(2)/2)*BR127+(1-EXP(-LN(2)/2))/(LN(2)/2)*BL128*BO128*VLOOKUP('Données projet'!$B$11,Paramètres!$A$1:$I$89,3,0)*0.475*44/12</f>
        <v>4.6333175470974831E-12</v>
      </c>
      <c r="BS128" s="24">
        <f t="shared" si="63"/>
        <v>100.12226558607462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417.04879970000007</v>
      </c>
      <c r="BZ128" s="14">
        <f>BY128*VLOOKUP('Données projet'!$B$12,Paramètres!$A$1:$I$89,3,0)*VLOOKUP('Données projet'!$B$12,Paramètres!$A$1:$I$89,5,0)</f>
        <v>195.17883825960004</v>
      </c>
      <c r="CA128" s="14">
        <f t="shared" si="93"/>
        <v>48.683122291673484</v>
      </c>
      <c r="CB128" s="22">
        <f t="shared" si="64"/>
        <v>424.72624796013469</v>
      </c>
      <c r="CC128" s="62">
        <f t="shared" si="65"/>
        <v>707.77486632910313</v>
      </c>
      <c r="CD128" s="62">
        <f ca="1">AVERAGE(OFFSET($CC$3,0,0,'Données projet'!$E$12+1,1))-AVERAGE(OFFSET($H$3,0,0,'Données projet'!$E$12+1,1))</f>
        <v>289.21044803824958</v>
      </c>
      <c r="CE128" s="62">
        <f t="shared" si="94"/>
        <v>196.11836398299445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>
        <f>EXP(-LN(2)/35)*CK127+(1-EXP(-LN(2)/35))/(LN(2)/35)*CG128*CH128*VLOOKUP('Données projet'!$B$12,Paramètres!$A$1:$I$89,3,0)*0.475*44/12</f>
        <v>41.978246924500461</v>
      </c>
      <c r="CL128" s="23">
        <f>EXP(-LN(2)/25)*CL127+(1-EXP(-LN(2)/25))/(LN(2)/25)*Calculateur!CG128*Calculateur!CI128*VLOOKUP('Données projet'!$B$12,Paramètres!$A$1:$I$89,3,0)*0.475*44/12</f>
        <v>16.029539882847892</v>
      </c>
      <c r="CM128" s="23">
        <f>EXP(-LN(2)/2)*CM127+(1-EXP(-LN(2)/2))/(LN(2)/2)*CG128*CJ128*VLOOKUP('Données projet'!$B$12,Paramètres!$A$1:$I$89,3,0)*0.475*44/12</f>
        <v>0</v>
      </c>
      <c r="CN128" s="24">
        <f t="shared" si="66"/>
        <v>58.007786807348353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-5.6843418860808015E-14</v>
      </c>
      <c r="CU128" s="18">
        <f>CT128*VLOOKUP('Données projet'!$B$13,Paramètres!$A$1:$I$89,3,0)*VLOOKUP('Données projet'!$B$13,Paramètres!$A$1:$I$89,5,0)</f>
        <v>-5.1431925385259088E-14</v>
      </c>
      <c r="CV128" s="14" t="e">
        <f t="shared" si="95"/>
        <v>#NUM!</v>
      </c>
      <c r="CW128" s="22" t="e">
        <f t="shared" si="67"/>
        <v>#NUM!</v>
      </c>
      <c r="CX128" s="62" t="e">
        <f t="shared" si="68"/>
        <v>#NUM!</v>
      </c>
      <c r="CY128" s="62">
        <f ca="1">AVERAGE(OFFSET($CX$3,0,0,'Données projet'!$E$13+1,1))-AVERAGE(OFFSET($H$3,0,0,'Données projet'!$E$13+1,1))</f>
        <v>376.68007030857598</v>
      </c>
      <c r="CZ128" s="62">
        <f t="shared" si="96"/>
        <v>532.90758914457626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>
        <f>EXP(-LN(2)/35)*DF127+(1-EXP(-LN(2)/35))/(LN(2)/35)*DB128*DC128*VLOOKUP('Données projet'!$B$13,Paramètres!$A$1:$I$89,3,0)*0.475*44/12</f>
        <v>19.200254685635372</v>
      </c>
      <c r="DG128" s="23">
        <f>EXP(-LN(2)/25)*DG127+(1-EXP(-LN(2)/25))/(LN(2)/25)*Calculateur!DB128*Calculateur!DD128*VLOOKUP('Données projet'!$B$13,Paramètres!$A$1:$I$89,3,0)*0.475*44/12</f>
        <v>0.94051485241967947</v>
      </c>
      <c r="DH128" s="23">
        <f>EXP(-LN(2)/2)*DH127+(1-EXP(-LN(2)/2))/(LN(2)/2)*DB128*DE128*VLOOKUP('Données projet'!$B$13,Paramètres!$A$1:$I$89,3,0)*0.475*44/12</f>
        <v>0</v>
      </c>
      <c r="DI128" s="24">
        <f t="shared" si="69"/>
        <v>20.14076953805505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5.6843418860808015E-14</v>
      </c>
      <c r="DP128" s="18">
        <f>DO128*VLOOKUP('Données projet'!$B$14,Paramètres!$A$1:$I$89,3,0)*VLOOKUP('Données projet'!$B$14,Paramètres!$A$1:$I$89,5,0)</f>
        <v>5.4092197387944907E-14</v>
      </c>
      <c r="DQ128" s="14">
        <f t="shared" si="97"/>
        <v>8.7287050538073676E-13</v>
      </c>
      <c r="DR128" s="22">
        <f t="shared" si="70"/>
        <v>1.6144600406554537E-12</v>
      </c>
      <c r="DS128" s="62">
        <f t="shared" si="71"/>
        <v>283.0486183689701</v>
      </c>
      <c r="DT128" s="62">
        <f ca="1">AVERAGE(OFFSET($DS$3,0,0,'Données projet'!$E$14+1,1))-AVERAGE(OFFSET($H$3,0,0,'Données projet'!$E$14+1,1))</f>
        <v>364.63161066507769</v>
      </c>
      <c r="DU128" s="62">
        <f t="shared" si="98"/>
        <v>355.44729904860708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>
        <f>EXP(-LN(2)/35)*EA127+(1-EXP(-LN(2)/35))/(LN(2)/35)*DW128*DX128*VLOOKUP('Données projet'!$B$14,Paramètres!$A$1:$I$89,3,0)*0.475*44/12</f>
        <v>54.43526002284262</v>
      </c>
      <c r="EB128" s="23">
        <f>EXP(-LN(2)/25)*EB127+(1-EXP(-LN(2)/25))/(LN(2)/25)*Calculateur!DW128*Calculateur!DY128*VLOOKUP('Données projet'!$B$14,Paramètres!$A$1:$I$89,3,0)*0.475*44/12</f>
        <v>0</v>
      </c>
      <c r="EC128" s="23">
        <f>EXP(-LN(2)/2)*EC127+(1-EXP(-LN(2)/2))/(LN(2)/2)*DW128*DZ128*VLOOKUP('Données projet'!$B$14,Paramètres!$A$1:$I$89,3,0)*0.475*44/12</f>
        <v>0</v>
      </c>
      <c r="ED128" s="24">
        <f t="shared" si="72"/>
        <v>54.43526002284262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5.6843418860808015E-14</v>
      </c>
      <c r="EK128" s="18">
        <f>EJ128*VLOOKUP('Données projet'!$B$15,Paramètres!$A$1:$I$89,3,0)*VLOOKUP('Données projet'!$B$15,Paramètres!$A$1:$I$89,5,0)</f>
        <v>4.1677594708744434E-14</v>
      </c>
      <c r="EL128" s="14">
        <f t="shared" si="99"/>
        <v>6.9326303456159188E-13</v>
      </c>
      <c r="EM128" s="22">
        <f t="shared" si="73"/>
        <v>1.2800215959791691E-12</v>
      </c>
      <c r="EN128" s="62">
        <f t="shared" si="74"/>
        <v>283.04861836896981</v>
      </c>
      <c r="EO128" s="62">
        <f ca="1">AVERAGE(OFFSET($EN$3,0,0,'Données projet'!$E$15+1,1))-AVERAGE(OFFSET($H$3,0,0,'Données projet'!$E$15+1,1))</f>
        <v>293.59366973965774</v>
      </c>
      <c r="EP128" s="62">
        <f t="shared" si="100"/>
        <v>288.13804536120426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>
        <f>EXP(-LN(2)/35)*EV127+(1-EXP(-LN(2)/35))/(LN(2)/35)*ER128*ES128*VLOOKUP('Données projet'!$B$15,Paramètres!$A$1:$I$89,3,0)*0.475*44/12</f>
        <v>41.941921656944324</v>
      </c>
      <c r="EW128" s="23">
        <f>EXP(-LN(2)/25)*EW127+(1-EXP(-LN(2)/25))/(LN(2)/25)*Calculateur!ER128*Calculateur!ET128*VLOOKUP('Données projet'!$B$15,Paramètres!$A$1:$I$89,3,0)*0.475*44/12</f>
        <v>0</v>
      </c>
      <c r="EX128" s="23">
        <f>EXP(-LN(2)/2)*EX127+(1-EXP(-LN(2)/2))/(LN(2)/2)*ER128*EU128*VLOOKUP('Données projet'!$B$15,Paramètres!$A$1:$I$89,3,0)*0.475*44/12</f>
        <v>0</v>
      </c>
      <c r="EY128" s="24">
        <f t="shared" si="75"/>
        <v>41.941921656944324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5.6843418860808015E-14</v>
      </c>
      <c r="FF128" s="18">
        <f>FE128*VLOOKUP('Données projet'!$B$16,Paramètres!$A$1:$I$89,3,0)*VLOOKUP('Données projet'!$B$16,Paramètres!$A$1:$I$89,5,0)</f>
        <v>5.4978954722173515E-14</v>
      </c>
      <c r="FG128" s="14">
        <f t="shared" si="101"/>
        <v>8.8550225887742724E-13</v>
      </c>
      <c r="FH128" s="22">
        <f t="shared" si="76"/>
        <v>1.6380047803526383E-12</v>
      </c>
      <c r="FI128" s="62">
        <f t="shared" si="77"/>
        <v>283.04861836897015</v>
      </c>
      <c r="FJ128" s="62">
        <f ca="1">AVERAGE(OFFSET($FI$3,0,0,'Données projet'!$E$16+1,1))-AVERAGE(OFFSET($H$3,0,0,'Données projet'!$E$16+1,1))</f>
        <v>369.69145521630799</v>
      </c>
      <c r="FK128" s="62">
        <f t="shared" si="102"/>
        <v>360.24112103688719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>
        <f>EXP(-LN(2)/35)*FQ127+(1-EXP(-LN(2)/35))/(LN(2)/35)*FM128*FN128*VLOOKUP('Données projet'!$B$16,Paramètres!$A$1:$I$89,3,0)*0.475*44/12</f>
        <v>55.327641334692501</v>
      </c>
      <c r="FR128" s="23">
        <f>EXP(-LN(2)/25)*FR127+(1-EXP(-LN(2)/25))/(LN(2)/25)*Calculateur!FM128*Calculateur!FO128*VLOOKUP('Données projet'!$B$16,Paramètres!$A$1:$I$89,3,0)*0.475*44/12</f>
        <v>0</v>
      </c>
      <c r="FS128" s="23">
        <f>EXP(-LN(2)/2)*FS127+(1-EXP(-LN(2)/2))/(LN(2)/2)*FM128*FP128*VLOOKUP('Données projet'!$B$16,Paramètres!$A$1:$I$89,3,0)*0.475*44/12</f>
        <v>0</v>
      </c>
      <c r="FT128" s="24">
        <f t="shared" si="78"/>
        <v>55.327641334692501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5.6843418860808015E-14</v>
      </c>
      <c r="GA128" s="18">
        <f>FZ128*VLOOKUP('Données projet'!$B$17,Paramètres!$A$1:$I$89,3,0)*VLOOKUP('Données projet'!$B$17,Paramètres!$A$1:$I$89,5,0)</f>
        <v>6.1186256061773749E-14</v>
      </c>
      <c r="GB128" s="14">
        <f t="shared" si="103"/>
        <v>9.7328366192051127E-13</v>
      </c>
      <c r="GC128" s="22">
        <f t="shared" si="79"/>
        <v>1.8017017738191463E-12</v>
      </c>
      <c r="GD128" s="62">
        <f t="shared" si="80"/>
        <v>283.04861836897032</v>
      </c>
      <c r="GE128" s="62">
        <f ca="1">AVERAGE(OFFSET($GD$3,0,0,'Données projet'!$E$17+1,1))-AVERAGE(OFFSET($H$3,0,0,'Données projet'!$E$17+1,1))</f>
        <v>405.06394904053946</v>
      </c>
      <c r="GF128" s="62">
        <f t="shared" si="104"/>
        <v>393.75247087518198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>
        <f>EXP(-LN(2)/35)*GL127+(1-EXP(-LN(2)/35))/(LN(2)/35)*GH128*GI128*VLOOKUP('Données projet'!$B$17,Paramètres!$A$1:$I$89,3,0)*0.475*44/12</f>
        <v>61.574310517641635</v>
      </c>
      <c r="GM128" s="23">
        <f>EXP(-LN(2)/25)*GM127+(1-EXP(-LN(2)/25))/(LN(2)/25)*Calculateur!GH128*Calculateur!GJ128*VLOOKUP('Données projet'!$B$17,Paramètres!$A$1:$I$89,3,0)*0.475*44/12</f>
        <v>0</v>
      </c>
      <c r="GN128" s="23">
        <f>EXP(-LN(2)/2)*GN127+(1-EXP(-LN(2)/2))/(LN(2)/2)*GH128*GK128*VLOOKUP('Données projet'!$B$17,Paramètres!$A$1:$I$89,3,0)*0.475*44/12</f>
        <v>0</v>
      </c>
      <c r="GO128" s="23">
        <f t="shared" si="81"/>
        <v>61.574310517641635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5.6843418860808015E-14</v>
      </c>
      <c r="GV128" s="18">
        <f>GU128*VLOOKUP('Données projet'!$B$18,Paramètres!$A$1:$I$89,3,0)*VLOOKUP('Données projet'!$B$18,Paramètres!$A$1:$I$89,5,0)</f>
        <v>3.813056537183002E-14</v>
      </c>
      <c r="GW128" s="14">
        <f t="shared" si="105"/>
        <v>6.4086286045526829E-13</v>
      </c>
      <c r="GX128" s="22">
        <f t="shared" si="82"/>
        <v>1.1825802166488628E-12</v>
      </c>
      <c r="GY128" s="62">
        <f t="shared" si="83"/>
        <v>283.0486183689697</v>
      </c>
      <c r="GZ128" s="62">
        <f ca="1">AVERAGE(OFFSET($GY$3,0,0,'Données projet'!$E$18+1,1))-AVERAGE(OFFSET($H$3,0,0,'Données projet'!$E$18+1,1))</f>
        <v>273.21861937609918</v>
      </c>
      <c r="HA128" s="62">
        <f t="shared" si="106"/>
        <v>268.83004886965318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>
        <f>EXP(-LN(2)/35)*HG127+(1-EXP(-LN(2)/35))/(LN(2)/35)*HC128*HD128*VLOOKUP('Données projet'!$B$18,Paramètres!$A$1:$I$89,3,0)*0.475*44/12</f>
        <v>47.29620952804359</v>
      </c>
      <c r="HH128" s="23">
        <f>EXP(-LN(2)/25)*HH127+(1-EXP(-LN(2)/25))/(LN(2)/25)*Calculateur!HC128*Calculateur!HE128*VLOOKUP('Données projet'!$B$18,Paramètres!$A$1:$I$89,3,0)*0.475*44/12</f>
        <v>0</v>
      </c>
      <c r="HI128" s="23">
        <f>EXP(-LN(2)/2)*HI127+(1-EXP(-LN(2)/2))/(LN(2)/2)*HC128*HF128*VLOOKUP('Données projet'!$B$18,Paramètres!$A$1:$I$89,3,0)*0.475*44/12</f>
        <v>0</v>
      </c>
      <c r="HJ128" s="24">
        <f t="shared" si="84"/>
        <v>47.29620952804359</v>
      </c>
    </row>
    <row r="129" spans="1:218" s="5" customFormat="1" x14ac:dyDescent="0.4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5.6</v>
      </c>
      <c r="N129" s="14">
        <f>IF('Données projet'!$A$36&gt;35,N128+M129-V128,IF(A129&lt;'Données projet'!$A$36,$K$205^A129,IF(A129='Données projet'!$A$36,'Données projet'!$B$36,N128+M129-V128)))</f>
        <v>285.8</v>
      </c>
      <c r="O129" s="14">
        <f>N129*VLOOKUP('Données projet'!$B$9,Paramètres!$A$1:$I$89,3,0)*VLOOKUP('Données projet'!$B$9,Paramètres!$A$1:$I$89,5,0)</f>
        <v>258.59183999999999</v>
      </c>
      <c r="P129" s="14">
        <f t="shared" si="87"/>
        <v>62.422120343276589</v>
      </c>
      <c r="Q129" s="22">
        <f t="shared" si="107"/>
        <v>559.09931426454011</v>
      </c>
      <c r="R129" s="62">
        <f t="shared" si="55"/>
        <v>842.32634944496226</v>
      </c>
      <c r="S129" s="62">
        <f ca="1">AVERAGE(OFFSET($R$3,0,0,'Données projet'!$E$9+1,1))-AVERAGE(OFFSET($H$3,0,0,'Données projet'!$E$9+1,1))</f>
        <v>432.80275651765203</v>
      </c>
      <c r="T129" s="62">
        <f t="shared" si="88"/>
        <v>203.89279893419919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25.732889792407757</v>
      </c>
      <c r="AA129" s="23">
        <f>EXP(-LN(2)/25)*AA128+(1-EXP(-LN(2)/25))/(LN(2)/25)*Calculateur!V129*Calculateur!X129*VLOOKUP('Données projet'!$B$9,Paramètres!$A$1:$I$89,3,0)*0.475*44/12</f>
        <v>16.8331101745339</v>
      </c>
      <c r="AB129" s="23">
        <f>EXP(-LN(2)/2)*AB128+(1-EXP(-LN(2)/2))/(LN(2)/2)*V129*Y129*VLOOKUP('Données projet'!$B$9,Paramètres!$A$1:$I$89,3,0)*0.475*44/12</f>
        <v>0</v>
      </c>
      <c r="AC129" s="24">
        <f t="shared" si="57"/>
        <v>42.565999966941661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54.000000000000341</v>
      </c>
      <c r="AJ129" s="14">
        <f>AI129*VLOOKUP('Données projet'!$B$10,Paramètres!$A$1:$I$89,3,0)*VLOOKUP('Données projet'!$B$10,Paramètres!$A$1:$I$89,5,0)</f>
        <v>23.868000000000151</v>
      </c>
      <c r="AK129" s="14">
        <f t="shared" si="89"/>
        <v>7.6030930962115804</v>
      </c>
      <c r="AL129" s="22">
        <f t="shared" si="58"/>
        <v>54.812153809235433</v>
      </c>
      <c r="AM129" s="62">
        <f t="shared" si="59"/>
        <v>338.03918898965765</v>
      </c>
      <c r="AN129" s="62">
        <f ca="1">AVERAGE(OFFSET($AM$3,0,0,'Données projet'!$E$10+1,1))-AVERAGE(OFFSET($H$3,0,0,'Données projet'!$E$10+1,1))</f>
        <v>413.08876898406481</v>
      </c>
      <c r="AO129" s="62">
        <f t="shared" si="90"/>
        <v>520.31320932826566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74.351144142704314</v>
      </c>
      <c r="AV129" s="23">
        <f>EXP(-LN(2)/25)*AV128+(1-EXP(-LN(2)/25))/(LN(2)/25)*Calculateur!AQ129*Calculateur!AS129*VLOOKUP('Données projet'!$B$10,Paramètres!$A$1:$I$89,3,0)*0.475*44/12</f>
        <v>3.2371472713155827</v>
      </c>
      <c r="AW129" s="23">
        <f>EXP(-LN(2)/2)*AW128+(1-EXP(-LN(2)/2))/(LN(2)/2)*AQ129*AT129*VLOOKUP('Données projet'!$B$10,Paramètres!$A$1:$I$89,3,0)*0.475*44/12</f>
        <v>2.5905234589783829E-12</v>
      </c>
      <c r="AX129" s="23">
        <f t="shared" si="60"/>
        <v>77.588291414022478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54.000000000000341</v>
      </c>
      <c r="BE129" s="14">
        <f>BD129*VLOOKUP('Données projet'!$B$11,Paramètres!$A$1:$I$89,3,0)*VLOOKUP('Données projet'!$B$11,Paramètres!$A$1:$I$89,5,0)</f>
        <v>30.186000000000188</v>
      </c>
      <c r="BF129" s="14">
        <f t="shared" si="91"/>
        <v>9.3563888882899153</v>
      </c>
      <c r="BG129" s="22">
        <f t="shared" si="61"/>
        <v>68.869660647105263</v>
      </c>
      <c r="BH129" s="62">
        <f t="shared" si="62"/>
        <v>352.09669582752747</v>
      </c>
      <c r="BI129" s="62">
        <f ca="1">AVERAGE(OFFSET($BH$3,0,0,'Données projet'!$E$11+1,1))-AVERAGE(OFFSET($H$3,0,0,'Données projet'!$E$11+1,1))</f>
        <v>507.66185230065889</v>
      </c>
      <c r="BJ129" s="62">
        <f t="shared" si="92"/>
        <v>640.14375617778342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94.032329356949518</v>
      </c>
      <c r="BQ129" s="23">
        <f>EXP(-LN(2)/25)*BQ128+(1-EXP(-LN(2)/25))/(LN(2)/25)*Calculateur!BL129*Calculateur!BN129*VLOOKUP('Données projet'!$B$11,Paramètres!$A$1:$I$89,3,0)*0.475*44/12</f>
        <v>4.0940391960755935</v>
      </c>
      <c r="BR129" s="23">
        <f>EXP(-LN(2)/2)*BR128+(1-EXP(-LN(2)/2))/(LN(2)/2)*BL129*BO129*VLOOKUP('Données projet'!$B$11,Paramètres!$A$1:$I$89,3,0)*0.475*44/12</f>
        <v>3.2762502569432511E-12</v>
      </c>
      <c r="BS129" s="24">
        <f t="shared" si="63"/>
        <v>98.126368553028399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417.04879970000007</v>
      </c>
      <c r="BZ129" s="14">
        <f>BY129*VLOOKUP('Données projet'!$B$12,Paramètres!$A$1:$I$89,3,0)*VLOOKUP('Données projet'!$B$12,Paramètres!$A$1:$I$89,5,0)</f>
        <v>195.17883825960004</v>
      </c>
      <c r="CA129" s="14">
        <f t="shared" si="93"/>
        <v>48.683122291673484</v>
      </c>
      <c r="CB129" s="22">
        <f t="shared" si="64"/>
        <v>424.72624796013469</v>
      </c>
      <c r="CC129" s="62">
        <f t="shared" si="65"/>
        <v>707.95328314055689</v>
      </c>
      <c r="CD129" s="62">
        <f ca="1">AVERAGE(OFFSET($CC$3,0,0,'Données projet'!$E$12+1,1))-AVERAGE(OFFSET($H$3,0,0,'Données projet'!$E$12+1,1))</f>
        <v>289.21044803824958</v>
      </c>
      <c r="CE129" s="62">
        <f t="shared" si="94"/>
        <v>196.11836398299445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>
        <f>EXP(-LN(2)/35)*CK128+(1-EXP(-LN(2)/35))/(LN(2)/35)*CG129*CH129*VLOOKUP('Données projet'!$B$12,Paramètres!$A$1:$I$89,3,0)*0.475*44/12</f>
        <v>41.155079106513426</v>
      </c>
      <c r="CL129" s="23">
        <f>EXP(-LN(2)/25)*CL128+(1-EXP(-LN(2)/25))/(LN(2)/25)*Calculateur!CG129*Calculateur!CI129*VLOOKUP('Données projet'!$B$12,Paramètres!$A$1:$I$89,3,0)*0.475*44/12</f>
        <v>15.591211271794551</v>
      </c>
      <c r="CM129" s="23">
        <f>EXP(-LN(2)/2)*CM128+(1-EXP(-LN(2)/2))/(LN(2)/2)*CG129*CJ129*VLOOKUP('Données projet'!$B$12,Paramètres!$A$1:$I$89,3,0)*0.475*44/12</f>
        <v>0</v>
      </c>
      <c r="CN129" s="24">
        <f t="shared" si="66"/>
        <v>56.746290378307975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-5.6843418860808015E-14</v>
      </c>
      <c r="CU129" s="18">
        <f>CT129*VLOOKUP('Données projet'!$B$13,Paramètres!$A$1:$I$89,3,0)*VLOOKUP('Données projet'!$B$13,Paramètres!$A$1:$I$89,5,0)</f>
        <v>-5.1431925385259088E-14</v>
      </c>
      <c r="CV129" s="14" t="e">
        <f t="shared" si="95"/>
        <v>#NUM!</v>
      </c>
      <c r="CW129" s="22" t="e">
        <f t="shared" si="67"/>
        <v>#NUM!</v>
      </c>
      <c r="CX129" s="62" t="e">
        <f t="shared" si="68"/>
        <v>#NUM!</v>
      </c>
      <c r="CY129" s="62">
        <f ca="1">AVERAGE(OFFSET($CX$3,0,0,'Données projet'!$E$13+1,1))-AVERAGE(OFFSET($H$3,0,0,'Données projet'!$E$13+1,1))</f>
        <v>376.68007030857598</v>
      </c>
      <c r="CZ129" s="62">
        <f t="shared" si="96"/>
        <v>532.90758914457626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>
        <f>EXP(-LN(2)/35)*DF128+(1-EXP(-LN(2)/35))/(LN(2)/35)*DB129*DC129*VLOOKUP('Données projet'!$B$13,Paramètres!$A$1:$I$89,3,0)*0.475*44/12</f>
        <v>18.823749402249057</v>
      </c>
      <c r="DG129" s="23">
        <f>EXP(-LN(2)/25)*DG128+(1-EXP(-LN(2)/25))/(LN(2)/25)*Calculateur!DB129*Calculateur!DD129*VLOOKUP('Données projet'!$B$13,Paramètres!$A$1:$I$89,3,0)*0.475*44/12</f>
        <v>0.91479642432073682</v>
      </c>
      <c r="DH129" s="23">
        <f>EXP(-LN(2)/2)*DH128+(1-EXP(-LN(2)/2))/(LN(2)/2)*DB129*DE129*VLOOKUP('Données projet'!$B$13,Paramètres!$A$1:$I$89,3,0)*0.475*44/12</f>
        <v>0</v>
      </c>
      <c r="DI129" s="24">
        <f t="shared" si="69"/>
        <v>19.738545826569794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5.6843418860808015E-14</v>
      </c>
      <c r="DP129" s="18">
        <f>DO129*VLOOKUP('Données projet'!$B$14,Paramètres!$A$1:$I$89,3,0)*VLOOKUP('Données projet'!$B$14,Paramètres!$A$1:$I$89,5,0)</f>
        <v>5.4092197387944907E-14</v>
      </c>
      <c r="DQ129" s="14">
        <f t="shared" si="97"/>
        <v>8.7287050538073676E-13</v>
      </c>
      <c r="DR129" s="22">
        <f t="shared" si="70"/>
        <v>1.6144600406554537E-12</v>
      </c>
      <c r="DS129" s="62">
        <f t="shared" si="71"/>
        <v>283.2270351804238</v>
      </c>
      <c r="DT129" s="62">
        <f ca="1">AVERAGE(OFFSET($DS$3,0,0,'Données projet'!$E$14+1,1))-AVERAGE(OFFSET($H$3,0,0,'Données projet'!$E$14+1,1))</f>
        <v>364.63161066507769</v>
      </c>
      <c r="DU129" s="62">
        <f t="shared" si="98"/>
        <v>355.44729904860708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>
        <f>EXP(-LN(2)/35)*EA128+(1-EXP(-LN(2)/35))/(LN(2)/35)*DW129*DX129*VLOOKUP('Données projet'!$B$14,Paramètres!$A$1:$I$89,3,0)*0.475*44/12</f>
        <v>53.367817776024843</v>
      </c>
      <c r="EB129" s="23">
        <f>EXP(-LN(2)/25)*EB128+(1-EXP(-LN(2)/25))/(LN(2)/25)*Calculateur!DW129*Calculateur!DY129*VLOOKUP('Données projet'!$B$14,Paramètres!$A$1:$I$89,3,0)*0.475*44/12</f>
        <v>0</v>
      </c>
      <c r="EC129" s="23">
        <f>EXP(-LN(2)/2)*EC128+(1-EXP(-LN(2)/2))/(LN(2)/2)*DW129*DZ129*VLOOKUP('Données projet'!$B$14,Paramètres!$A$1:$I$89,3,0)*0.475*44/12</f>
        <v>0</v>
      </c>
      <c r="ED129" s="24">
        <f t="shared" si="72"/>
        <v>53.367817776024843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5.6843418860808015E-14</v>
      </c>
      <c r="EK129" s="18">
        <f>EJ129*VLOOKUP('Données projet'!$B$15,Paramètres!$A$1:$I$89,3,0)*VLOOKUP('Données projet'!$B$15,Paramètres!$A$1:$I$89,5,0)</f>
        <v>4.1677594708744434E-14</v>
      </c>
      <c r="EL129" s="14">
        <f t="shared" si="99"/>
        <v>6.9326303456159188E-13</v>
      </c>
      <c r="EM129" s="22">
        <f t="shared" si="73"/>
        <v>1.2800215959791691E-12</v>
      </c>
      <c r="EN129" s="62">
        <f t="shared" si="74"/>
        <v>283.22703518042351</v>
      </c>
      <c r="EO129" s="62">
        <f ca="1">AVERAGE(OFFSET($EN$3,0,0,'Données projet'!$E$15+1,1))-AVERAGE(OFFSET($H$3,0,0,'Données projet'!$E$15+1,1))</f>
        <v>293.59366973965774</v>
      </c>
      <c r="EP129" s="62">
        <f t="shared" si="100"/>
        <v>288.13804536120426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>
        <f>EXP(-LN(2)/35)*EV128+(1-EXP(-LN(2)/35))/(LN(2)/35)*ER129*ES129*VLOOKUP('Données projet'!$B$15,Paramètres!$A$1:$I$89,3,0)*0.475*44/12</f>
        <v>41.119466155297836</v>
      </c>
      <c r="EW129" s="23">
        <f>EXP(-LN(2)/25)*EW128+(1-EXP(-LN(2)/25))/(LN(2)/25)*Calculateur!ER129*Calculateur!ET129*VLOOKUP('Données projet'!$B$15,Paramètres!$A$1:$I$89,3,0)*0.475*44/12</f>
        <v>0</v>
      </c>
      <c r="EX129" s="23">
        <f>EXP(-LN(2)/2)*EX128+(1-EXP(-LN(2)/2))/(LN(2)/2)*ER129*EU129*VLOOKUP('Données projet'!$B$15,Paramètres!$A$1:$I$89,3,0)*0.475*44/12</f>
        <v>0</v>
      </c>
      <c r="EY129" s="24">
        <f t="shared" si="75"/>
        <v>41.119466155297836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5.6843418860808015E-14</v>
      </c>
      <c r="FF129" s="18">
        <f>FE129*VLOOKUP('Données projet'!$B$16,Paramètres!$A$1:$I$89,3,0)*VLOOKUP('Données projet'!$B$16,Paramètres!$A$1:$I$89,5,0)</f>
        <v>5.4978954722173515E-14</v>
      </c>
      <c r="FG129" s="14">
        <f t="shared" si="101"/>
        <v>8.8550225887742724E-13</v>
      </c>
      <c r="FH129" s="22">
        <f t="shared" si="76"/>
        <v>1.6380047803526383E-12</v>
      </c>
      <c r="FI129" s="62">
        <f t="shared" si="77"/>
        <v>283.22703518042385</v>
      </c>
      <c r="FJ129" s="62">
        <f ca="1">AVERAGE(OFFSET($FI$3,0,0,'Données projet'!$E$16+1,1))-AVERAGE(OFFSET($H$3,0,0,'Données projet'!$E$16+1,1))</f>
        <v>369.69145521630799</v>
      </c>
      <c r="FK129" s="62">
        <f t="shared" si="102"/>
        <v>360.24112103688719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>
        <f>EXP(-LN(2)/35)*FQ128+(1-EXP(-LN(2)/35))/(LN(2)/35)*FM129*FN129*VLOOKUP('Données projet'!$B$16,Paramètres!$A$1:$I$89,3,0)*0.475*44/12</f>
        <v>54.242700034648202</v>
      </c>
      <c r="FR129" s="23">
        <f>EXP(-LN(2)/25)*FR128+(1-EXP(-LN(2)/25))/(LN(2)/25)*Calculateur!FM129*Calculateur!FO129*VLOOKUP('Données projet'!$B$16,Paramètres!$A$1:$I$89,3,0)*0.475*44/12</f>
        <v>0</v>
      </c>
      <c r="FS129" s="23">
        <f>EXP(-LN(2)/2)*FS128+(1-EXP(-LN(2)/2))/(LN(2)/2)*FM129*FP129*VLOOKUP('Données projet'!$B$16,Paramètres!$A$1:$I$89,3,0)*0.475*44/12</f>
        <v>0</v>
      </c>
      <c r="FT129" s="24">
        <f t="shared" si="78"/>
        <v>54.242700034648202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5.6843418860808015E-14</v>
      </c>
      <c r="GA129" s="18">
        <f>FZ129*VLOOKUP('Données projet'!$B$17,Paramètres!$A$1:$I$89,3,0)*VLOOKUP('Données projet'!$B$17,Paramètres!$A$1:$I$89,5,0)</f>
        <v>6.1186256061773749E-14</v>
      </c>
      <c r="GB129" s="14">
        <f t="shared" si="103"/>
        <v>9.7328366192051127E-13</v>
      </c>
      <c r="GC129" s="22">
        <f t="shared" si="79"/>
        <v>1.8017017738191463E-12</v>
      </c>
      <c r="GD129" s="62">
        <f t="shared" si="80"/>
        <v>283.22703518042402</v>
      </c>
      <c r="GE129" s="62">
        <f ca="1">AVERAGE(OFFSET($GD$3,0,0,'Données projet'!$E$17+1,1))-AVERAGE(OFFSET($H$3,0,0,'Données projet'!$E$17+1,1))</f>
        <v>405.06394904053946</v>
      </c>
      <c r="GF129" s="62">
        <f t="shared" si="104"/>
        <v>393.75247087518198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>
        <f>EXP(-LN(2)/35)*GL128+(1-EXP(-LN(2)/35))/(LN(2)/35)*GH129*GI129*VLOOKUP('Données projet'!$B$17,Paramètres!$A$1:$I$89,3,0)*0.475*44/12</f>
        <v>60.366875845011691</v>
      </c>
      <c r="GM129" s="23">
        <f>EXP(-LN(2)/25)*GM128+(1-EXP(-LN(2)/25))/(LN(2)/25)*Calculateur!GH129*Calculateur!GJ129*VLOOKUP('Données projet'!$B$17,Paramètres!$A$1:$I$89,3,0)*0.475*44/12</f>
        <v>0</v>
      </c>
      <c r="GN129" s="23">
        <f>EXP(-LN(2)/2)*GN128+(1-EXP(-LN(2)/2))/(LN(2)/2)*GH129*GK129*VLOOKUP('Données projet'!$B$17,Paramètres!$A$1:$I$89,3,0)*0.475*44/12</f>
        <v>0</v>
      </c>
      <c r="GO129" s="23">
        <f t="shared" si="81"/>
        <v>60.366875845011691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5.6843418860808015E-14</v>
      </c>
      <c r="GV129" s="18">
        <f>GU129*VLOOKUP('Données projet'!$B$18,Paramètres!$A$1:$I$89,3,0)*VLOOKUP('Données projet'!$B$18,Paramètres!$A$1:$I$89,5,0)</f>
        <v>3.813056537183002E-14</v>
      </c>
      <c r="GW129" s="14">
        <f t="shared" si="105"/>
        <v>6.4086286045526829E-13</v>
      </c>
      <c r="GX129" s="22">
        <f t="shared" si="82"/>
        <v>1.1825802166488628E-12</v>
      </c>
      <c r="GY129" s="62">
        <f t="shared" si="83"/>
        <v>283.2270351804234</v>
      </c>
      <c r="GZ129" s="62">
        <f ca="1">AVERAGE(OFFSET($GY$3,0,0,'Données projet'!$E$18+1,1))-AVERAGE(OFFSET($H$3,0,0,'Données projet'!$E$18+1,1))</f>
        <v>273.21861937609918</v>
      </c>
      <c r="HA129" s="62">
        <f t="shared" si="106"/>
        <v>268.83004886965318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>
        <f>EXP(-LN(2)/35)*HG128+(1-EXP(-LN(2)/35))/(LN(2)/35)*HC129*HD129*VLOOKUP('Données projet'!$B$18,Paramètres!$A$1:$I$89,3,0)*0.475*44/12</f>
        <v>46.368759707037981</v>
      </c>
      <c r="HH129" s="23">
        <f>EXP(-LN(2)/25)*HH128+(1-EXP(-LN(2)/25))/(LN(2)/25)*Calculateur!HC129*Calculateur!HE129*VLOOKUP('Données projet'!$B$18,Paramètres!$A$1:$I$89,3,0)*0.475*44/12</f>
        <v>0</v>
      </c>
      <c r="HI129" s="23">
        <f>EXP(-LN(2)/2)*HI128+(1-EXP(-LN(2)/2))/(LN(2)/2)*HC129*HF129*VLOOKUP('Données projet'!$B$18,Paramètres!$A$1:$I$89,3,0)*0.475*44/12</f>
        <v>0</v>
      </c>
      <c r="HJ129" s="24">
        <f t="shared" si="84"/>
        <v>46.368759707037981</v>
      </c>
    </row>
    <row r="130" spans="1:218" s="5" customFormat="1" x14ac:dyDescent="0.4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5.6</v>
      </c>
      <c r="N130" s="14">
        <f>IF('Données projet'!$A$36&gt;35,N129+M130-V129,IF(A130&lt;'Données projet'!$A$36,$K$205^A130,IF(A130='Données projet'!$A$36,'Données projet'!$B$36,N129+M130-V129)))</f>
        <v>291.40000000000003</v>
      </c>
      <c r="O130" s="14">
        <f>N130*VLOOKUP('Données projet'!$B$9,Paramètres!$A$1:$I$89,3,0)*VLOOKUP('Données projet'!$B$9,Paramètres!$A$1:$I$89,5,0)</f>
        <v>263.65872000000002</v>
      </c>
      <c r="P130" s="14">
        <f t="shared" si="87"/>
        <v>63.50163380458158</v>
      </c>
      <c r="Q130" s="22">
        <f t="shared" si="107"/>
        <v>569.80428287631287</v>
      </c>
      <c r="R130" s="62">
        <f t="shared" si="55"/>
        <v>853.20663973539035</v>
      </c>
      <c r="S130" s="62">
        <f ca="1">AVERAGE(OFFSET($R$3,0,0,'Données projet'!$E$9+1,1))-AVERAGE(OFFSET($H$3,0,0,'Données projet'!$E$9+1,1))</f>
        <v>432.80275651765203</v>
      </c>
      <c r="T130" s="62">
        <f t="shared" si="88"/>
        <v>203.89279893419919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25.228283519091612</v>
      </c>
      <c r="AA130" s="23">
        <f>EXP(-LN(2)/25)*AA129+(1-EXP(-LN(2)/25))/(LN(2)/25)*Calculateur!V130*Calculateur!X130*VLOOKUP('Données projet'!$B$9,Paramètres!$A$1:$I$89,3,0)*0.475*44/12</f>
        <v>16.37280789159648</v>
      </c>
      <c r="AB130" s="23">
        <f>EXP(-LN(2)/2)*AB129+(1-EXP(-LN(2)/2))/(LN(2)/2)*V130*Y130*VLOOKUP('Données projet'!$B$9,Paramètres!$A$1:$I$89,3,0)*0.475*44/12</f>
        <v>0</v>
      </c>
      <c r="AC130" s="24">
        <f t="shared" si="57"/>
        <v>41.601091410688092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54.000000000000341</v>
      </c>
      <c r="AJ130" s="14">
        <f>AI130*VLOOKUP('Données projet'!$B$10,Paramètres!$A$1:$I$89,3,0)*VLOOKUP('Données projet'!$B$10,Paramètres!$A$1:$I$89,5,0)</f>
        <v>23.868000000000151</v>
      </c>
      <c r="AK130" s="14">
        <f t="shared" si="89"/>
        <v>7.6030930962115804</v>
      </c>
      <c r="AL130" s="22">
        <f t="shared" si="58"/>
        <v>54.812153809235433</v>
      </c>
      <c r="AM130" s="62">
        <f t="shared" si="59"/>
        <v>338.21451066831287</v>
      </c>
      <c r="AN130" s="62">
        <f ca="1">AVERAGE(OFFSET($AM$3,0,0,'Données projet'!$E$10+1,1))-AVERAGE(OFFSET($H$3,0,0,'Données projet'!$E$10+1,1))</f>
        <v>413.08876898406481</v>
      </c>
      <c r="AO130" s="62">
        <f t="shared" si="90"/>
        <v>520.31320932826566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72.89316355578589</v>
      </c>
      <c r="AV130" s="23">
        <f>EXP(-LN(2)/25)*AV129+(1-EXP(-LN(2)/25))/(LN(2)/25)*Calculateur!AQ130*Calculateur!AS130*VLOOKUP('Données projet'!$B$10,Paramètres!$A$1:$I$89,3,0)*0.475*44/12</f>
        <v>3.1486273089472818</v>
      </c>
      <c r="AW130" s="23">
        <f>EXP(-LN(2)/2)*AW129+(1-EXP(-LN(2)/2))/(LN(2)/2)*AQ130*AT130*VLOOKUP('Données projet'!$B$10,Paramètres!$A$1:$I$89,3,0)*0.475*44/12</f>
        <v>1.8317767046664455E-12</v>
      </c>
      <c r="AX130" s="23">
        <f t="shared" si="60"/>
        <v>76.041790864735006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54.000000000000341</v>
      </c>
      <c r="BE130" s="14">
        <f>BD130*VLOOKUP('Données projet'!$B$11,Paramètres!$A$1:$I$89,3,0)*VLOOKUP('Données projet'!$B$11,Paramètres!$A$1:$I$89,5,0)</f>
        <v>30.186000000000188</v>
      </c>
      <c r="BF130" s="14">
        <f t="shared" si="91"/>
        <v>9.3563888882899153</v>
      </c>
      <c r="BG130" s="22">
        <f t="shared" si="61"/>
        <v>68.869660647105263</v>
      </c>
      <c r="BH130" s="62">
        <f t="shared" si="62"/>
        <v>352.27201750618269</v>
      </c>
      <c r="BI130" s="62">
        <f ca="1">AVERAGE(OFFSET($BH$3,0,0,'Données projet'!$E$11+1,1))-AVERAGE(OFFSET($H$3,0,0,'Données projet'!$E$11+1,1))</f>
        <v>507.66185230065889</v>
      </c>
      <c r="BJ130" s="62">
        <f t="shared" si="92"/>
        <v>640.14375617778342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92.188412732317403</v>
      </c>
      <c r="BQ130" s="23">
        <f>EXP(-LN(2)/25)*BQ129+(1-EXP(-LN(2)/25))/(LN(2)/25)*Calculateur!BL130*Calculateur!BN130*VLOOKUP('Données projet'!$B$11,Paramètres!$A$1:$I$89,3,0)*0.475*44/12</f>
        <v>3.9820874789627423</v>
      </c>
      <c r="BR130" s="23">
        <f>EXP(-LN(2)/2)*BR129+(1-EXP(-LN(2)/2))/(LN(2)/2)*BL130*BO130*VLOOKUP('Données projet'!$B$11,Paramètres!$A$1:$I$89,3,0)*0.475*44/12</f>
        <v>2.3166587735487415E-12</v>
      </c>
      <c r="BS130" s="24">
        <f t="shared" si="63"/>
        <v>96.170500211282459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417.04879970000007</v>
      </c>
      <c r="BZ130" s="14">
        <f>BY130*VLOOKUP('Données projet'!$B$12,Paramètres!$A$1:$I$89,3,0)*VLOOKUP('Données projet'!$B$12,Paramètres!$A$1:$I$89,5,0)</f>
        <v>195.17883825960004</v>
      </c>
      <c r="CA130" s="14">
        <f t="shared" si="93"/>
        <v>48.683122291673484</v>
      </c>
      <c r="CB130" s="22">
        <f t="shared" si="64"/>
        <v>424.72624796013469</v>
      </c>
      <c r="CC130" s="62">
        <f t="shared" si="65"/>
        <v>708.12860481921211</v>
      </c>
      <c r="CD130" s="62">
        <f ca="1">AVERAGE(OFFSET($CC$3,0,0,'Données projet'!$E$12+1,1))-AVERAGE(OFFSET($H$3,0,0,'Données projet'!$E$12+1,1))</f>
        <v>289.21044803824958</v>
      </c>
      <c r="CE130" s="62">
        <f t="shared" si="94"/>
        <v>196.11836398299445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>
        <f>EXP(-LN(2)/35)*CK129+(1-EXP(-LN(2)/35))/(LN(2)/35)*CG130*CH130*VLOOKUP('Données projet'!$B$12,Paramètres!$A$1:$I$89,3,0)*0.475*44/12</f>
        <v>40.348053107354325</v>
      </c>
      <c r="CL130" s="23">
        <f>EXP(-LN(2)/25)*CL129+(1-EXP(-LN(2)/25))/(LN(2)/25)*Calculateur!CG130*Calculateur!CI130*VLOOKUP('Données projet'!$B$12,Paramètres!$A$1:$I$89,3,0)*0.475*44/12</f>
        <v>15.164868779661163</v>
      </c>
      <c r="CM130" s="23">
        <f>EXP(-LN(2)/2)*CM129+(1-EXP(-LN(2)/2))/(LN(2)/2)*CG130*CJ130*VLOOKUP('Données projet'!$B$12,Paramètres!$A$1:$I$89,3,0)*0.475*44/12</f>
        <v>0</v>
      </c>
      <c r="CN130" s="24">
        <f t="shared" si="66"/>
        <v>55.512921887015487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-5.6843418860808015E-14</v>
      </c>
      <c r="CU130" s="18">
        <f>CT130*VLOOKUP('Données projet'!$B$13,Paramètres!$A$1:$I$89,3,0)*VLOOKUP('Données projet'!$B$13,Paramètres!$A$1:$I$89,5,0)</f>
        <v>-5.1431925385259088E-14</v>
      </c>
      <c r="CV130" s="14" t="e">
        <f t="shared" si="95"/>
        <v>#NUM!</v>
      </c>
      <c r="CW130" s="22" t="e">
        <f t="shared" si="67"/>
        <v>#NUM!</v>
      </c>
      <c r="CX130" s="62" t="e">
        <f t="shared" si="68"/>
        <v>#NUM!</v>
      </c>
      <c r="CY130" s="62">
        <f ca="1">AVERAGE(OFFSET($CX$3,0,0,'Données projet'!$E$13+1,1))-AVERAGE(OFFSET($H$3,0,0,'Données projet'!$E$13+1,1))</f>
        <v>376.68007030857598</v>
      </c>
      <c r="CZ130" s="62">
        <f t="shared" si="96"/>
        <v>532.90758914457626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>
        <f>EXP(-LN(2)/35)*DF129+(1-EXP(-LN(2)/35))/(LN(2)/35)*DB130*DC130*VLOOKUP('Données projet'!$B$13,Paramètres!$A$1:$I$89,3,0)*0.475*44/12</f>
        <v>18.454627157824397</v>
      </c>
      <c r="DG130" s="23">
        <f>EXP(-LN(2)/25)*DG129+(1-EXP(-LN(2)/25))/(LN(2)/25)*Calculateur!DB130*Calculateur!DD130*VLOOKUP('Données projet'!$B$13,Paramètres!$A$1:$I$89,3,0)*0.475*44/12</f>
        <v>0.88978126799063306</v>
      </c>
      <c r="DH130" s="23">
        <f>EXP(-LN(2)/2)*DH129+(1-EXP(-LN(2)/2))/(LN(2)/2)*DB130*DE130*VLOOKUP('Données projet'!$B$13,Paramètres!$A$1:$I$89,3,0)*0.475*44/12</f>
        <v>0</v>
      </c>
      <c r="DI130" s="24">
        <f t="shared" si="69"/>
        <v>19.344408425815029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5.6843418860808015E-14</v>
      </c>
      <c r="DP130" s="18">
        <f>DO130*VLOOKUP('Données projet'!$B$14,Paramètres!$A$1:$I$89,3,0)*VLOOKUP('Données projet'!$B$14,Paramètres!$A$1:$I$89,5,0)</f>
        <v>5.4092197387944907E-14</v>
      </c>
      <c r="DQ130" s="14">
        <f t="shared" si="97"/>
        <v>8.7287050538073676E-13</v>
      </c>
      <c r="DR130" s="22">
        <f t="shared" si="70"/>
        <v>1.6144600406554537E-12</v>
      </c>
      <c r="DS130" s="62">
        <f t="shared" si="71"/>
        <v>283.40235685907902</v>
      </c>
      <c r="DT130" s="62">
        <f ca="1">AVERAGE(OFFSET($DS$3,0,0,'Données projet'!$E$14+1,1))-AVERAGE(OFFSET($H$3,0,0,'Données projet'!$E$14+1,1))</f>
        <v>364.63161066507769</v>
      </c>
      <c r="DU130" s="62">
        <f t="shared" si="98"/>
        <v>355.44729904860708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>
        <f>EXP(-LN(2)/35)*EA129+(1-EXP(-LN(2)/35))/(LN(2)/35)*DW130*DX130*VLOOKUP('Données projet'!$B$14,Paramètres!$A$1:$I$89,3,0)*0.475*44/12</f>
        <v>52.32130742059168</v>
      </c>
      <c r="EB130" s="23">
        <f>EXP(-LN(2)/25)*EB129+(1-EXP(-LN(2)/25))/(LN(2)/25)*Calculateur!DW130*Calculateur!DY130*VLOOKUP('Données projet'!$B$14,Paramètres!$A$1:$I$89,3,0)*0.475*44/12</f>
        <v>0</v>
      </c>
      <c r="EC130" s="23">
        <f>EXP(-LN(2)/2)*EC129+(1-EXP(-LN(2)/2))/(LN(2)/2)*DW130*DZ130*VLOOKUP('Données projet'!$B$14,Paramètres!$A$1:$I$89,3,0)*0.475*44/12</f>
        <v>0</v>
      </c>
      <c r="ED130" s="24">
        <f t="shared" si="72"/>
        <v>52.32130742059168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5.6843418860808015E-14</v>
      </c>
      <c r="EK130" s="18">
        <f>EJ130*VLOOKUP('Données projet'!$B$15,Paramètres!$A$1:$I$89,3,0)*VLOOKUP('Données projet'!$B$15,Paramètres!$A$1:$I$89,5,0)</f>
        <v>4.1677594708744434E-14</v>
      </c>
      <c r="EL130" s="14">
        <f t="shared" si="99"/>
        <v>6.9326303456159188E-13</v>
      </c>
      <c r="EM130" s="22">
        <f t="shared" si="73"/>
        <v>1.2800215959791691E-12</v>
      </c>
      <c r="EN130" s="62">
        <f t="shared" si="74"/>
        <v>283.40235685907874</v>
      </c>
      <c r="EO130" s="62">
        <f ca="1">AVERAGE(OFFSET($EN$3,0,0,'Données projet'!$E$15+1,1))-AVERAGE(OFFSET($H$3,0,0,'Données projet'!$E$15+1,1))</f>
        <v>293.59366973965774</v>
      </c>
      <c r="EP130" s="62">
        <f t="shared" si="100"/>
        <v>288.13804536120426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>
        <f>EXP(-LN(2)/35)*EV129+(1-EXP(-LN(2)/35))/(LN(2)/35)*ER130*ES130*VLOOKUP('Données projet'!$B$15,Paramètres!$A$1:$I$89,3,0)*0.475*44/12</f>
        <v>40.313138504390317</v>
      </c>
      <c r="EW130" s="23">
        <f>EXP(-LN(2)/25)*EW129+(1-EXP(-LN(2)/25))/(LN(2)/25)*Calculateur!ER130*Calculateur!ET130*VLOOKUP('Données projet'!$B$15,Paramètres!$A$1:$I$89,3,0)*0.475*44/12</f>
        <v>0</v>
      </c>
      <c r="EX130" s="23">
        <f>EXP(-LN(2)/2)*EX129+(1-EXP(-LN(2)/2))/(LN(2)/2)*ER130*EU130*VLOOKUP('Données projet'!$B$15,Paramètres!$A$1:$I$89,3,0)*0.475*44/12</f>
        <v>0</v>
      </c>
      <c r="EY130" s="24">
        <f t="shared" si="75"/>
        <v>40.313138504390317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5.6843418860808015E-14</v>
      </c>
      <c r="FF130" s="18">
        <f>FE130*VLOOKUP('Données projet'!$B$16,Paramètres!$A$1:$I$89,3,0)*VLOOKUP('Données projet'!$B$16,Paramètres!$A$1:$I$89,5,0)</f>
        <v>5.4978954722173515E-14</v>
      </c>
      <c r="FG130" s="14">
        <f t="shared" si="101"/>
        <v>8.8550225887742724E-13</v>
      </c>
      <c r="FH130" s="22">
        <f t="shared" si="76"/>
        <v>1.6380047803526383E-12</v>
      </c>
      <c r="FI130" s="62">
        <f t="shared" si="77"/>
        <v>283.40235685907908</v>
      </c>
      <c r="FJ130" s="62">
        <f ca="1">AVERAGE(OFFSET($FI$3,0,0,'Données projet'!$E$16+1,1))-AVERAGE(OFFSET($H$3,0,0,'Données projet'!$E$16+1,1))</f>
        <v>369.69145521630799</v>
      </c>
      <c r="FK130" s="62">
        <f t="shared" si="102"/>
        <v>360.24112103688719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>
        <f>EXP(-LN(2)/35)*FQ129+(1-EXP(-LN(2)/35))/(LN(2)/35)*FM130*FN130*VLOOKUP('Données projet'!$B$16,Paramètres!$A$1:$I$89,3,0)*0.475*44/12</f>
        <v>53.179033771748919</v>
      </c>
      <c r="FR130" s="23">
        <f>EXP(-LN(2)/25)*FR129+(1-EXP(-LN(2)/25))/(LN(2)/25)*Calculateur!FM130*Calculateur!FO130*VLOOKUP('Données projet'!$B$16,Paramètres!$A$1:$I$89,3,0)*0.475*44/12</f>
        <v>0</v>
      </c>
      <c r="FS130" s="23">
        <f>EXP(-LN(2)/2)*FS129+(1-EXP(-LN(2)/2))/(LN(2)/2)*FM130*FP130*VLOOKUP('Données projet'!$B$16,Paramètres!$A$1:$I$89,3,0)*0.475*44/12</f>
        <v>0</v>
      </c>
      <c r="FT130" s="24">
        <f t="shared" si="78"/>
        <v>53.179033771748919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5.6843418860808015E-14</v>
      </c>
      <c r="GA130" s="18">
        <f>FZ130*VLOOKUP('Données projet'!$B$17,Paramètres!$A$1:$I$89,3,0)*VLOOKUP('Données projet'!$B$17,Paramètres!$A$1:$I$89,5,0)</f>
        <v>6.1186256061773749E-14</v>
      </c>
      <c r="GB130" s="14">
        <f t="shared" si="103"/>
        <v>9.7328366192051127E-13</v>
      </c>
      <c r="GC130" s="22">
        <f t="shared" si="79"/>
        <v>1.8017017738191463E-12</v>
      </c>
      <c r="GD130" s="62">
        <f t="shared" si="80"/>
        <v>283.40235685907925</v>
      </c>
      <c r="GE130" s="62">
        <f ca="1">AVERAGE(OFFSET($GD$3,0,0,'Données projet'!$E$17+1,1))-AVERAGE(OFFSET($H$3,0,0,'Données projet'!$E$17+1,1))</f>
        <v>405.06394904053946</v>
      </c>
      <c r="GF130" s="62">
        <f t="shared" si="104"/>
        <v>393.75247087518198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>
        <f>EXP(-LN(2)/35)*GL129+(1-EXP(-LN(2)/35))/(LN(2)/35)*GH130*GI130*VLOOKUP('Données projet'!$B$17,Paramètres!$A$1:$I$89,3,0)*0.475*44/12</f>
        <v>59.18311822984959</v>
      </c>
      <c r="GM130" s="23">
        <f>EXP(-LN(2)/25)*GM129+(1-EXP(-LN(2)/25))/(LN(2)/25)*Calculateur!GH130*Calculateur!GJ130*VLOOKUP('Données projet'!$B$17,Paramètres!$A$1:$I$89,3,0)*0.475*44/12</f>
        <v>0</v>
      </c>
      <c r="GN130" s="23">
        <f>EXP(-LN(2)/2)*GN129+(1-EXP(-LN(2)/2))/(LN(2)/2)*GH130*GK130*VLOOKUP('Données projet'!$B$17,Paramètres!$A$1:$I$89,3,0)*0.475*44/12</f>
        <v>0</v>
      </c>
      <c r="GO130" s="23">
        <f t="shared" si="81"/>
        <v>59.18311822984959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5.6843418860808015E-14</v>
      </c>
      <c r="GV130" s="18">
        <f>GU130*VLOOKUP('Données projet'!$B$18,Paramètres!$A$1:$I$89,3,0)*VLOOKUP('Données projet'!$B$18,Paramètres!$A$1:$I$89,5,0)</f>
        <v>3.813056537183002E-14</v>
      </c>
      <c r="GW130" s="14">
        <f t="shared" si="105"/>
        <v>6.4086286045526829E-13</v>
      </c>
      <c r="GX130" s="22">
        <f t="shared" si="82"/>
        <v>1.1825802166488628E-12</v>
      </c>
      <c r="GY130" s="62">
        <f t="shared" si="83"/>
        <v>283.40235685907862</v>
      </c>
      <c r="GZ130" s="62">
        <f ca="1">AVERAGE(OFFSET($GY$3,0,0,'Données projet'!$E$18+1,1))-AVERAGE(OFFSET($H$3,0,0,'Données projet'!$E$18+1,1))</f>
        <v>273.21861937609918</v>
      </c>
      <c r="HA130" s="62">
        <f t="shared" si="106"/>
        <v>268.83004886965318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>
        <f>EXP(-LN(2)/35)*HG129+(1-EXP(-LN(2)/35))/(LN(2)/35)*HC130*HD130*VLOOKUP('Données projet'!$B$18,Paramètres!$A$1:$I$89,3,0)*0.475*44/12</f>
        <v>45.459496611333755</v>
      </c>
      <c r="HH130" s="23">
        <f>EXP(-LN(2)/25)*HH129+(1-EXP(-LN(2)/25))/(LN(2)/25)*Calculateur!HC130*Calculateur!HE130*VLOOKUP('Données projet'!$B$18,Paramètres!$A$1:$I$89,3,0)*0.475*44/12</f>
        <v>0</v>
      </c>
      <c r="HI130" s="23">
        <f>EXP(-LN(2)/2)*HI129+(1-EXP(-LN(2)/2))/(LN(2)/2)*HC130*HF130*VLOOKUP('Données projet'!$B$18,Paramètres!$A$1:$I$89,3,0)*0.475*44/12</f>
        <v>0</v>
      </c>
      <c r="HJ130" s="24">
        <f t="shared" si="84"/>
        <v>45.459496611333755</v>
      </c>
    </row>
    <row r="131" spans="1:218" s="5" customFormat="1" x14ac:dyDescent="0.4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>
        <f>VLOOKUP(A131,'Données projet'!$A$35:$I$55,2,0)</f>
        <v>297</v>
      </c>
      <c r="L131" s="13">
        <f>VLOOKUP(A131,'Données projet'!$A$35:$I$55,9,0)</f>
        <v>5.6</v>
      </c>
      <c r="M131" s="13">
        <f t="array" ref="M131">INDEX(L:L,MIN(IF(ISNUMBER(L131:L327),ROW(L131:L327),"")))</f>
        <v>5.6</v>
      </c>
      <c r="N131" s="14">
        <f>IF('Données projet'!$A$36&gt;35,N130+M131-V130,IF(A131&lt;'Données projet'!$A$36,$K$205^A131,IF(A131='Données projet'!$A$36,'Données projet'!$B$36,N130+M131-V130)))</f>
        <v>297.00000000000006</v>
      </c>
      <c r="O131" s="14">
        <f>N131*VLOOKUP('Données projet'!$B$9,Paramètres!$A$1:$I$89,3,0)*VLOOKUP('Données projet'!$B$9,Paramètres!$A$1:$I$89,5,0)</f>
        <v>268.72560000000004</v>
      </c>
      <c r="P131" s="14">
        <f t="shared" si="87"/>
        <v>64.578735016913868</v>
      </c>
      <c r="Q131" s="22">
        <f t="shared" ref="Q131:Q153" si="108">(O131+P131)*0.475*44/12</f>
        <v>580.50505015445833</v>
      </c>
      <c r="R131" s="62">
        <f t="shared" ref="R131:R194" si="109">Q131+(I131+J131)*44/12</f>
        <v>864.0796872530268</v>
      </c>
      <c r="S131" s="62">
        <f ca="1">AVERAGE(OFFSET($R$3,0,0,'Données projet'!$E$9+1,1))-AVERAGE(OFFSET($H$3,0,0,'Données projet'!$E$9+1,1))</f>
        <v>432.80275651765203</v>
      </c>
      <c r="T131" s="62">
        <f t="shared" si="88"/>
        <v>203.89279893419919</v>
      </c>
      <c r="U131" s="16">
        <f>IF(ISNA(VLOOKUP(A131,'Données projet'!$A$35:$I$55,3,0)),0,VLOOKUP(A131,'Données projet'!$A$35:$I$55,3,0))</f>
        <v>9</v>
      </c>
      <c r="V131" s="16">
        <f>IF(ISNA(VLOOKUP(A131,'Données projet'!$A$35:$I$55,4,0)),0,VLOOKUP(A131,'Données projet'!$A$35:$I$55,4,0))</f>
        <v>39</v>
      </c>
      <c r="W131" s="17">
        <f>IF(ISNA(VLOOKUP(A131,'Données projet'!$A$35:$I$55,5,0)),0%,VLOOKUP(A131,'Données projet'!$A$35:$I$55,5,0)*VLOOKUP('Données projet'!$B$9,Paramètres!$A$1:$I$89,7,0))</f>
        <v>0.215</v>
      </c>
      <c r="X131" s="17">
        <f>IF(ISNA(VLOOKUP(A131,'Données projet'!$A$35:$I$55,6,0)),0%,VLOOKUP(A131,'Données projet'!$A$35:$I$55,6,0)*VLOOKUP('Données projet'!$B$9,Paramètres!$A$1:$I$89,7,0))</f>
        <v>0.17200000000000001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33.120497457996606</v>
      </c>
      <c r="AA131" s="23">
        <f>EXP(-LN(2)/25)*AA130+(1-EXP(-LN(2)/25))/(LN(2)/25)*Calculateur!V131*Calculateur!X131*VLOOKUP('Données projet'!$B$9,Paramètres!$A$1:$I$89,3,0)*0.475*44/12</f>
        <v>22.608214735460166</v>
      </c>
      <c r="AB131" s="23">
        <f>EXP(-LN(2)/2)*AB130+(1-EXP(-LN(2)/2))/(LN(2)/2)*V131*Y131*VLOOKUP('Données projet'!$B$9,Paramètres!$A$1:$I$89,3,0)*0.475*44/12</f>
        <v>0</v>
      </c>
      <c r="AC131" s="24">
        <f t="shared" si="57"/>
        <v>55.728712193456772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54.000000000000341</v>
      </c>
      <c r="AJ131" s="14">
        <f>AI131*VLOOKUP('Données projet'!$B$10,Paramètres!$A$1:$I$89,3,0)*VLOOKUP('Données projet'!$B$10,Paramètres!$A$1:$I$89,5,0)</f>
        <v>23.868000000000151</v>
      </c>
      <c r="AK131" s="14">
        <f t="shared" si="89"/>
        <v>7.6030930962115804</v>
      </c>
      <c r="AL131" s="22">
        <f t="shared" si="58"/>
        <v>54.812153809235433</v>
      </c>
      <c r="AM131" s="62">
        <f t="shared" si="59"/>
        <v>338.38679090780397</v>
      </c>
      <c r="AN131" s="62">
        <f ca="1">AVERAGE(OFFSET($AM$3,0,0,'Données projet'!$E$10+1,1))-AVERAGE(OFFSET($H$3,0,0,'Données projet'!$E$10+1,1))</f>
        <v>413.08876898406481</v>
      </c>
      <c r="AO131" s="62">
        <f t="shared" si="90"/>
        <v>520.31320932826566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71.463773078896594</v>
      </c>
      <c r="AV131" s="23">
        <f>EXP(-LN(2)/25)*AV130+(1-EXP(-LN(2)/25))/(LN(2)/25)*Calculateur!AQ131*Calculateur!AS131*VLOOKUP('Données projet'!$B$10,Paramètres!$A$1:$I$89,3,0)*0.475*44/12</f>
        <v>3.0625279296050043</v>
      </c>
      <c r="AW131" s="23">
        <f>EXP(-LN(2)/2)*AW130+(1-EXP(-LN(2)/2))/(LN(2)/2)*AQ131*AT131*VLOOKUP('Données projet'!$B$10,Paramètres!$A$1:$I$89,3,0)*0.475*44/12</f>
        <v>1.2952617294891914E-12</v>
      </c>
      <c r="AX131" s="23">
        <f t="shared" si="60"/>
        <v>74.526301008502898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54.000000000000341</v>
      </c>
      <c r="BE131" s="14">
        <f>BD131*VLOOKUP('Données projet'!$B$11,Paramètres!$A$1:$I$89,3,0)*VLOOKUP('Données projet'!$B$11,Paramètres!$A$1:$I$89,5,0)</f>
        <v>30.186000000000188</v>
      </c>
      <c r="BF131" s="14">
        <f t="shared" si="91"/>
        <v>9.3563888882899153</v>
      </c>
      <c r="BG131" s="22">
        <f t="shared" si="61"/>
        <v>68.869660647105263</v>
      </c>
      <c r="BH131" s="62">
        <f t="shared" si="62"/>
        <v>352.44429774567379</v>
      </c>
      <c r="BI131" s="62">
        <f ca="1">AVERAGE(OFFSET($BH$3,0,0,'Données projet'!$E$11+1,1))-AVERAGE(OFFSET($H$3,0,0,'Données projet'!$E$11+1,1))</f>
        <v>507.66185230065889</v>
      </c>
      <c r="BJ131" s="62">
        <f t="shared" si="92"/>
        <v>640.14375617778342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90.380654188016237</v>
      </c>
      <c r="BQ131" s="23">
        <f>EXP(-LN(2)/25)*BQ130+(1-EXP(-LN(2)/25))/(LN(2)/25)*Calculateur!BL131*Calculateur!BN131*VLOOKUP('Données projet'!$B$11,Paramètres!$A$1:$I$89,3,0)*0.475*44/12</f>
        <v>3.8731970874416266</v>
      </c>
      <c r="BR131" s="23">
        <f>EXP(-LN(2)/2)*BR130+(1-EXP(-LN(2)/2))/(LN(2)/2)*BL131*BO131*VLOOKUP('Données projet'!$B$11,Paramètres!$A$1:$I$89,3,0)*0.475*44/12</f>
        <v>1.6381251284716256E-12</v>
      </c>
      <c r="BS131" s="24">
        <f t="shared" si="63"/>
        <v>94.253851275459496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417.04879970000007</v>
      </c>
      <c r="BZ131" s="14">
        <f>BY131*VLOOKUP('Données projet'!$B$12,Paramètres!$A$1:$I$89,3,0)*VLOOKUP('Données projet'!$B$12,Paramètres!$A$1:$I$89,5,0)</f>
        <v>195.17883825960004</v>
      </c>
      <c r="CA131" s="14">
        <f t="shared" si="93"/>
        <v>48.683122291673484</v>
      </c>
      <c r="CB131" s="22">
        <f t="shared" si="64"/>
        <v>424.72624796013469</v>
      </c>
      <c r="CC131" s="62">
        <f t="shared" si="65"/>
        <v>708.30088505870322</v>
      </c>
      <c r="CD131" s="62">
        <f ca="1">AVERAGE(OFFSET($CC$3,0,0,'Données projet'!$E$12+1,1))-AVERAGE(OFFSET($H$3,0,0,'Données projet'!$E$12+1,1))</f>
        <v>289.21044803824958</v>
      </c>
      <c r="CE131" s="62">
        <f t="shared" si="94"/>
        <v>196.11836398299445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>
        <f>EXP(-LN(2)/35)*CK130+(1-EXP(-LN(2)/35))/(LN(2)/35)*CG131*CH131*VLOOKUP('Données projet'!$B$12,Paramètres!$A$1:$I$89,3,0)*0.475*44/12</f>
        <v>39.556852395801478</v>
      </c>
      <c r="CL131" s="23">
        <f>EXP(-LN(2)/25)*CL130+(1-EXP(-LN(2)/25))/(LN(2)/25)*Calculateur!CG131*Calculateur!CI131*VLOOKUP('Données projet'!$B$12,Paramètres!$A$1:$I$89,3,0)*0.475*44/12</f>
        <v>14.750184645395539</v>
      </c>
      <c r="CM131" s="23">
        <f>EXP(-LN(2)/2)*CM130+(1-EXP(-LN(2)/2))/(LN(2)/2)*CG131*CJ131*VLOOKUP('Données projet'!$B$12,Paramètres!$A$1:$I$89,3,0)*0.475*44/12</f>
        <v>0</v>
      </c>
      <c r="CN131" s="24">
        <f t="shared" si="66"/>
        <v>54.30703704119702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-5.6843418860808015E-14</v>
      </c>
      <c r="CU131" s="18">
        <f>CT131*VLOOKUP('Données projet'!$B$13,Paramètres!$A$1:$I$89,3,0)*VLOOKUP('Données projet'!$B$13,Paramètres!$A$1:$I$89,5,0)</f>
        <v>-5.1431925385259088E-14</v>
      </c>
      <c r="CV131" s="14" t="e">
        <f t="shared" si="95"/>
        <v>#NUM!</v>
      </c>
      <c r="CW131" s="22" t="e">
        <f t="shared" si="67"/>
        <v>#NUM!</v>
      </c>
      <c r="CX131" s="62" t="e">
        <f t="shared" si="68"/>
        <v>#NUM!</v>
      </c>
      <c r="CY131" s="62">
        <f ca="1">AVERAGE(OFFSET($CX$3,0,0,'Données projet'!$E$13+1,1))-AVERAGE(OFFSET($H$3,0,0,'Données projet'!$E$13+1,1))</f>
        <v>376.68007030857598</v>
      </c>
      <c r="CZ131" s="62">
        <f t="shared" si="96"/>
        <v>532.90758914457626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>
        <f>EXP(-LN(2)/35)*DF130+(1-EXP(-LN(2)/35))/(LN(2)/35)*DB131*DC131*VLOOKUP('Données projet'!$B$13,Paramètres!$A$1:$I$89,3,0)*0.475*44/12</f>
        <v>18.09274317547057</v>
      </c>
      <c r="DG131" s="23">
        <f>EXP(-LN(2)/25)*DG130+(1-EXP(-LN(2)/25))/(LN(2)/25)*Calculateur!DB131*Calculateur!DD131*VLOOKUP('Données projet'!$B$13,Paramètres!$A$1:$I$89,3,0)*0.475*44/12</f>
        <v>0.86545015242586598</v>
      </c>
      <c r="DH131" s="23">
        <f>EXP(-LN(2)/2)*DH130+(1-EXP(-LN(2)/2))/(LN(2)/2)*DB131*DE131*VLOOKUP('Données projet'!$B$13,Paramètres!$A$1:$I$89,3,0)*0.475*44/12</f>
        <v>0</v>
      </c>
      <c r="DI131" s="24">
        <f t="shared" si="69"/>
        <v>18.958193327896435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5.6843418860808015E-14</v>
      </c>
      <c r="DP131" s="18">
        <f>DO131*VLOOKUP('Données projet'!$B$14,Paramètres!$A$1:$I$89,3,0)*VLOOKUP('Données projet'!$B$14,Paramètres!$A$1:$I$89,5,0)</f>
        <v>5.4092197387944907E-14</v>
      </c>
      <c r="DQ131" s="14">
        <f t="shared" si="97"/>
        <v>8.7287050538073676E-13</v>
      </c>
      <c r="DR131" s="22">
        <f t="shared" si="70"/>
        <v>1.6144600406554537E-12</v>
      </c>
      <c r="DS131" s="62">
        <f t="shared" si="71"/>
        <v>283.57463709857012</v>
      </c>
      <c r="DT131" s="62">
        <f ca="1">AVERAGE(OFFSET($DS$3,0,0,'Données projet'!$E$14+1,1))-AVERAGE(OFFSET($H$3,0,0,'Données projet'!$E$14+1,1))</f>
        <v>364.63161066507769</v>
      </c>
      <c r="DU131" s="62">
        <f t="shared" si="98"/>
        <v>355.44729904860708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>
        <f>EXP(-LN(2)/35)*EA130+(1-EXP(-LN(2)/35))/(LN(2)/35)*DW131*DX131*VLOOKUP('Données projet'!$B$14,Paramètres!$A$1:$I$89,3,0)*0.475*44/12</f>
        <v>51.295318494920274</v>
      </c>
      <c r="EB131" s="23">
        <f>EXP(-LN(2)/25)*EB130+(1-EXP(-LN(2)/25))/(LN(2)/25)*Calculateur!DW131*Calculateur!DY131*VLOOKUP('Données projet'!$B$14,Paramètres!$A$1:$I$89,3,0)*0.475*44/12</f>
        <v>0</v>
      </c>
      <c r="EC131" s="23">
        <f>EXP(-LN(2)/2)*EC130+(1-EXP(-LN(2)/2))/(LN(2)/2)*DW131*DZ131*VLOOKUP('Données projet'!$B$14,Paramètres!$A$1:$I$89,3,0)*0.475*44/12</f>
        <v>0</v>
      </c>
      <c r="ED131" s="24">
        <f t="shared" si="72"/>
        <v>51.295318494920274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5.6843418860808015E-14</v>
      </c>
      <c r="EK131" s="18">
        <f>EJ131*VLOOKUP('Données projet'!$B$15,Paramètres!$A$1:$I$89,3,0)*VLOOKUP('Données projet'!$B$15,Paramètres!$A$1:$I$89,5,0)</f>
        <v>4.1677594708744434E-14</v>
      </c>
      <c r="EL131" s="14">
        <f t="shared" si="99"/>
        <v>6.9326303456159188E-13</v>
      </c>
      <c r="EM131" s="22">
        <f t="shared" si="73"/>
        <v>1.2800215959791691E-12</v>
      </c>
      <c r="EN131" s="62">
        <f t="shared" si="74"/>
        <v>283.57463709856984</v>
      </c>
      <c r="EO131" s="62">
        <f ca="1">AVERAGE(OFFSET($EN$3,0,0,'Données projet'!$E$15+1,1))-AVERAGE(OFFSET($H$3,0,0,'Données projet'!$E$15+1,1))</f>
        <v>293.59366973965774</v>
      </c>
      <c r="EP131" s="62">
        <f t="shared" si="100"/>
        <v>288.13804536120426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>
        <f>EXP(-LN(2)/35)*EV130+(1-EXP(-LN(2)/35))/(LN(2)/35)*ER131*ES131*VLOOKUP('Données projet'!$B$15,Paramètres!$A$1:$I$89,3,0)*0.475*44/12</f>
        <v>39.522622446905785</v>
      </c>
      <c r="EW131" s="23">
        <f>EXP(-LN(2)/25)*EW130+(1-EXP(-LN(2)/25))/(LN(2)/25)*Calculateur!ER131*Calculateur!ET131*VLOOKUP('Données projet'!$B$15,Paramètres!$A$1:$I$89,3,0)*0.475*44/12</f>
        <v>0</v>
      </c>
      <c r="EX131" s="23">
        <f>EXP(-LN(2)/2)*EX130+(1-EXP(-LN(2)/2))/(LN(2)/2)*ER131*EU131*VLOOKUP('Données projet'!$B$15,Paramètres!$A$1:$I$89,3,0)*0.475*44/12</f>
        <v>0</v>
      </c>
      <c r="EY131" s="24">
        <f t="shared" si="75"/>
        <v>39.522622446905785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5.6843418860808015E-14</v>
      </c>
      <c r="FF131" s="18">
        <f>FE131*VLOOKUP('Données projet'!$B$16,Paramètres!$A$1:$I$89,3,0)*VLOOKUP('Données projet'!$B$16,Paramètres!$A$1:$I$89,5,0)</f>
        <v>5.4978954722173515E-14</v>
      </c>
      <c r="FG131" s="14">
        <f t="shared" si="101"/>
        <v>8.8550225887742724E-13</v>
      </c>
      <c r="FH131" s="22">
        <f t="shared" si="76"/>
        <v>1.6380047803526383E-12</v>
      </c>
      <c r="FI131" s="62">
        <f t="shared" si="77"/>
        <v>283.57463709857018</v>
      </c>
      <c r="FJ131" s="62">
        <f ca="1">AVERAGE(OFFSET($FI$3,0,0,'Données projet'!$E$16+1,1))-AVERAGE(OFFSET($H$3,0,0,'Données projet'!$E$16+1,1))</f>
        <v>369.69145521630799</v>
      </c>
      <c r="FK131" s="62">
        <f t="shared" si="102"/>
        <v>360.24112103688719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>
        <f>EXP(-LN(2)/35)*FQ130+(1-EXP(-LN(2)/35))/(LN(2)/35)*FM131*FN131*VLOOKUP('Données projet'!$B$16,Paramètres!$A$1:$I$89,3,0)*0.475*44/12</f>
        <v>52.136225355492734</v>
      </c>
      <c r="FR131" s="23">
        <f>EXP(-LN(2)/25)*FR130+(1-EXP(-LN(2)/25))/(LN(2)/25)*Calculateur!FM131*Calculateur!FO131*VLOOKUP('Données projet'!$B$16,Paramètres!$A$1:$I$89,3,0)*0.475*44/12</f>
        <v>0</v>
      </c>
      <c r="FS131" s="23">
        <f>EXP(-LN(2)/2)*FS130+(1-EXP(-LN(2)/2))/(LN(2)/2)*FM131*FP131*VLOOKUP('Données projet'!$B$16,Paramètres!$A$1:$I$89,3,0)*0.475*44/12</f>
        <v>0</v>
      </c>
      <c r="FT131" s="24">
        <f t="shared" si="78"/>
        <v>52.136225355492734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5.6843418860808015E-14</v>
      </c>
      <c r="GA131" s="18">
        <f>FZ131*VLOOKUP('Données projet'!$B$17,Paramètres!$A$1:$I$89,3,0)*VLOOKUP('Données projet'!$B$17,Paramètres!$A$1:$I$89,5,0)</f>
        <v>6.1186256061773749E-14</v>
      </c>
      <c r="GB131" s="14">
        <f t="shared" si="103"/>
        <v>9.7328366192051127E-13</v>
      </c>
      <c r="GC131" s="22">
        <f t="shared" si="79"/>
        <v>1.8017017738191463E-12</v>
      </c>
      <c r="GD131" s="62">
        <f t="shared" si="80"/>
        <v>283.57463709857035</v>
      </c>
      <c r="GE131" s="62">
        <f ca="1">AVERAGE(OFFSET($GD$3,0,0,'Données projet'!$E$17+1,1))-AVERAGE(OFFSET($H$3,0,0,'Données projet'!$E$17+1,1))</f>
        <v>405.06394904053946</v>
      </c>
      <c r="GF131" s="62">
        <f t="shared" si="104"/>
        <v>393.75247087518198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>
        <f>EXP(-LN(2)/35)*GL130+(1-EXP(-LN(2)/35))/(LN(2)/35)*GH131*GI131*VLOOKUP('Données projet'!$B$17,Paramètres!$A$1:$I$89,3,0)*0.475*44/12</f>
        <v>58.022573379499967</v>
      </c>
      <c r="GM131" s="23">
        <f>EXP(-LN(2)/25)*GM130+(1-EXP(-LN(2)/25))/(LN(2)/25)*Calculateur!GH131*Calculateur!GJ131*VLOOKUP('Données projet'!$B$17,Paramètres!$A$1:$I$89,3,0)*0.475*44/12</f>
        <v>0</v>
      </c>
      <c r="GN131" s="23">
        <f>EXP(-LN(2)/2)*GN130+(1-EXP(-LN(2)/2))/(LN(2)/2)*GH131*GK131*VLOOKUP('Données projet'!$B$17,Paramètres!$A$1:$I$89,3,0)*0.475*44/12</f>
        <v>0</v>
      </c>
      <c r="GO131" s="23">
        <f t="shared" si="81"/>
        <v>58.022573379499967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5.6843418860808015E-14</v>
      </c>
      <c r="GV131" s="18">
        <f>GU131*VLOOKUP('Données projet'!$B$18,Paramètres!$A$1:$I$89,3,0)*VLOOKUP('Données projet'!$B$18,Paramètres!$A$1:$I$89,5,0)</f>
        <v>3.813056537183002E-14</v>
      </c>
      <c r="GW131" s="14">
        <f t="shared" si="105"/>
        <v>6.4086286045526829E-13</v>
      </c>
      <c r="GX131" s="22">
        <f t="shared" si="82"/>
        <v>1.1825802166488628E-12</v>
      </c>
      <c r="GY131" s="62">
        <f t="shared" si="83"/>
        <v>283.57463709856972</v>
      </c>
      <c r="GZ131" s="62">
        <f ca="1">AVERAGE(OFFSET($GY$3,0,0,'Données projet'!$E$18+1,1))-AVERAGE(OFFSET($H$3,0,0,'Données projet'!$E$18+1,1))</f>
        <v>273.21861937609918</v>
      </c>
      <c r="HA131" s="62">
        <f t="shared" si="106"/>
        <v>268.83004886965318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>
        <f>EXP(-LN(2)/35)*HG130+(1-EXP(-LN(2)/35))/(LN(2)/35)*HC131*HD131*VLOOKUP('Données projet'!$B$18,Paramètres!$A$1:$I$89,3,0)*0.475*44/12</f>
        <v>44.568063610340566</v>
      </c>
      <c r="HH131" s="23">
        <f>EXP(-LN(2)/25)*HH130+(1-EXP(-LN(2)/25))/(LN(2)/25)*Calculateur!HC131*Calculateur!HE131*VLOOKUP('Données projet'!$B$18,Paramètres!$A$1:$I$89,3,0)*0.475*44/12</f>
        <v>0</v>
      </c>
      <c r="HI131" s="23">
        <f>EXP(-LN(2)/2)*HI130+(1-EXP(-LN(2)/2))/(LN(2)/2)*HC131*HF131*VLOOKUP('Données projet'!$B$18,Paramètres!$A$1:$I$89,3,0)*0.475*44/12</f>
        <v>0</v>
      </c>
      <c r="HJ131" s="24">
        <f t="shared" si="84"/>
        <v>44.568063610340566</v>
      </c>
    </row>
    <row r="132" spans="1:218" s="5" customFormat="1" x14ac:dyDescent="0.4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5.7</v>
      </c>
      <c r="N132" s="14">
        <f>IF('Données projet'!$A$36&gt;35,N131+M132-V131,IF(A132&lt;'Données projet'!$A$36,$K$205^A132,IF(A132='Données projet'!$A$36,'Données projet'!$B$36,N131+M132-V131)))</f>
        <v>263.70000000000005</v>
      </c>
      <c r="O132" s="14">
        <f>N132*VLOOKUP('Données projet'!$B$9,Paramètres!$A$1:$I$89,3,0)*VLOOKUP('Données projet'!$B$9,Paramètres!$A$1:$I$89,5,0)</f>
        <v>238.59576000000004</v>
      </c>
      <c r="P132" s="14">
        <f t="shared" si="87"/>
        <v>58.137298297430824</v>
      </c>
      <c r="Q132" s="22">
        <f t="shared" si="108"/>
        <v>516.81007653469214</v>
      </c>
      <c r="R132" s="62">
        <f t="shared" si="109"/>
        <v>800.55400519575755</v>
      </c>
      <c r="S132" s="62">
        <f ca="1">AVERAGE(OFFSET($R$3,0,0,'Données projet'!$E$9+1,1))-AVERAGE(OFFSET($H$3,0,0,'Données projet'!$E$9+1,1))</f>
        <v>432.80275651765203</v>
      </c>
      <c r="T132" s="62">
        <f t="shared" si="88"/>
        <v>203.89279893419919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32.471024704354008</v>
      </c>
      <c r="AA132" s="23">
        <f>EXP(-LN(2)/25)*AA131+(1-EXP(-LN(2)/25))/(LN(2)/25)*Calculateur!V132*Calculateur!X132*VLOOKUP('Données projet'!$B$9,Paramètres!$A$1:$I$89,3,0)*0.475*44/12</f>
        <v>21.989991914604666</v>
      </c>
      <c r="AB132" s="23">
        <f>EXP(-LN(2)/2)*AB131+(1-EXP(-LN(2)/2))/(LN(2)/2)*V132*Y132*VLOOKUP('Données projet'!$B$9,Paramètres!$A$1:$I$89,3,0)*0.475*44/12</f>
        <v>0</v>
      </c>
      <c r="AC132" s="24">
        <f t="shared" ref="AC132:AC153" si="111">SUM(Z132:AB132)</f>
        <v>54.461016618958674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54.000000000000341</v>
      </c>
      <c r="AJ132" s="14">
        <f>AI132*VLOOKUP('Données projet'!$B$10,Paramètres!$A$1:$I$89,3,0)*VLOOKUP('Données projet'!$B$10,Paramètres!$A$1:$I$89,5,0)</f>
        <v>23.868000000000151</v>
      </c>
      <c r="AK132" s="14">
        <f t="shared" si="89"/>
        <v>7.6030930962115804</v>
      </c>
      <c r="AL132" s="22">
        <f t="shared" ref="AL132:AL153" si="112">(AJ132+AK132)*0.475*44/12</f>
        <v>54.812153809235433</v>
      </c>
      <c r="AM132" s="62">
        <f t="shared" ref="AM132:AM195" si="113">AL132+(AD132+AE132)*44/12</f>
        <v>338.55608247030079</v>
      </c>
      <c r="AN132" s="62">
        <f ca="1">AVERAGE(OFFSET($AM$3,0,0,'Données projet'!$E$10+1,1))-AVERAGE(OFFSET($H$3,0,0,'Données projet'!$E$10+1,1))</f>
        <v>413.08876898406481</v>
      </c>
      <c r="AO132" s="62">
        <f t="shared" si="90"/>
        <v>520.31320932826566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70.062412077416994</v>
      </c>
      <c r="AV132" s="23">
        <f>EXP(-LN(2)/25)*AV131+(1-EXP(-LN(2)/25))/(LN(2)/25)*Calculateur!AQ132*Calculateur!AS132*VLOOKUP('Données projet'!$B$10,Paramètres!$A$1:$I$89,3,0)*0.475*44/12</f>
        <v>2.978782942318611</v>
      </c>
      <c r="AW132" s="23">
        <f>EXP(-LN(2)/2)*AW131+(1-EXP(-LN(2)/2))/(LN(2)/2)*AQ132*AT132*VLOOKUP('Données projet'!$B$10,Paramètres!$A$1:$I$89,3,0)*0.475*44/12</f>
        <v>9.1588835233322276E-13</v>
      </c>
      <c r="AX132" s="23">
        <f t="shared" ref="AX132:AX153" si="114">SUM(AU132:AW132)</f>
        <v>73.04119501973652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54.000000000000341</v>
      </c>
      <c r="BE132" s="14">
        <f>BD132*VLOOKUP('Données projet'!$B$11,Paramètres!$A$1:$I$89,3,0)*VLOOKUP('Données projet'!$B$11,Paramètres!$A$1:$I$89,5,0)</f>
        <v>30.186000000000188</v>
      </c>
      <c r="BF132" s="14">
        <f t="shared" si="91"/>
        <v>9.3563888882899153</v>
      </c>
      <c r="BG132" s="22">
        <f t="shared" ref="BG132:BG153" si="115">(BE132+BF132)*0.475*44/12</f>
        <v>68.869660647105263</v>
      </c>
      <c r="BH132" s="62">
        <f t="shared" ref="BH132:BH195" si="116">BG132+(AY132+AZ132)*44/12</f>
        <v>352.61358930817062</v>
      </c>
      <c r="BI132" s="62">
        <f ca="1">AVERAGE(OFFSET($BH$3,0,0,'Données projet'!$E$11+1,1))-AVERAGE(OFFSET($H$3,0,0,'Données projet'!$E$11+1,1))</f>
        <v>507.66185230065889</v>
      </c>
      <c r="BJ132" s="62">
        <f t="shared" si="92"/>
        <v>640.14375617778342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88.608344686144974</v>
      </c>
      <c r="BQ132" s="23">
        <f>EXP(-LN(2)/25)*BQ131+(1-EXP(-LN(2)/25))/(LN(2)/25)*Calculateur!BL132*Calculateur!BN132*VLOOKUP('Données projet'!$B$11,Paramètres!$A$1:$I$89,3,0)*0.475*44/12</f>
        <v>3.7672843094029527</v>
      </c>
      <c r="BR132" s="23">
        <f>EXP(-LN(2)/2)*BR131+(1-EXP(-LN(2)/2))/(LN(2)/2)*BL132*BO132*VLOOKUP('Données projet'!$B$11,Paramètres!$A$1:$I$89,3,0)*0.475*44/12</f>
        <v>1.1583293867743708E-12</v>
      </c>
      <c r="BS132" s="24">
        <f t="shared" ref="BS132:BS153" si="117">SUM(BP132:BR132)</f>
        <v>92.375628995549093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417.04879970000007</v>
      </c>
      <c r="BZ132" s="14">
        <f>BY132*VLOOKUP('Données projet'!$B$12,Paramètres!$A$1:$I$89,3,0)*VLOOKUP('Données projet'!$B$12,Paramètres!$A$1:$I$89,5,0)</f>
        <v>195.17883825960004</v>
      </c>
      <c r="CA132" s="14">
        <f t="shared" si="93"/>
        <v>48.683122291673484</v>
      </c>
      <c r="CB132" s="22">
        <f t="shared" ref="CB132:CB153" si="118">(BZ132+CA132)*0.475*44/12</f>
        <v>424.72624796013469</v>
      </c>
      <c r="CC132" s="62">
        <f t="shared" ref="CC132:CC195" si="119">CB132+(BT132+BU132)*44/12</f>
        <v>708.47017662120004</v>
      </c>
      <c r="CD132" s="62">
        <f ca="1">AVERAGE(OFFSET($CC$3,0,0,'Données projet'!$E$12+1,1))-AVERAGE(OFFSET($H$3,0,0,'Données projet'!$E$12+1,1))</f>
        <v>289.21044803824958</v>
      </c>
      <c r="CE132" s="62">
        <f t="shared" si="94"/>
        <v>196.11836398299445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>
        <f>EXP(-LN(2)/35)*CK131+(1-EXP(-LN(2)/35))/(LN(2)/35)*CG132*CH132*VLOOKUP('Données projet'!$B$12,Paramètres!$A$1:$I$89,3,0)*0.475*44/12</f>
        <v>38.781166647617397</v>
      </c>
      <c r="CL132" s="23">
        <f>EXP(-LN(2)/25)*CL131+(1-EXP(-LN(2)/25))/(LN(2)/25)*Calculateur!CG132*Calculateur!CI132*VLOOKUP('Données projet'!$B$12,Paramètres!$A$1:$I$89,3,0)*0.475*44/12</f>
        <v>14.3468400705887</v>
      </c>
      <c r="CM132" s="23">
        <f>EXP(-LN(2)/2)*CM131+(1-EXP(-LN(2)/2))/(LN(2)/2)*CG132*CJ132*VLOOKUP('Données projet'!$B$12,Paramètres!$A$1:$I$89,3,0)*0.475*44/12</f>
        <v>0</v>
      </c>
      <c r="CN132" s="24">
        <f t="shared" ref="CN132:CN153" si="120">SUM(CK132:CM132)</f>
        <v>53.128006718206095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-5.6843418860808015E-14</v>
      </c>
      <c r="CU132" s="18">
        <f>CT132*VLOOKUP('Données projet'!$B$13,Paramètres!$A$1:$I$89,3,0)*VLOOKUP('Données projet'!$B$13,Paramètres!$A$1:$I$89,5,0)</f>
        <v>-5.1431925385259088E-14</v>
      </c>
      <c r="CV132" s="14" t="e">
        <f t="shared" si="95"/>
        <v>#NUM!</v>
      </c>
      <c r="CW132" s="22" t="e">
        <f t="shared" ref="CW132:CW153" si="121">(CU132+CV132)*0.475*44/12</f>
        <v>#NUM!</v>
      </c>
      <c r="CX132" s="62" t="e">
        <f t="shared" ref="CX132:CX195" si="122">CW132+(CO132+CP132)*44/12</f>
        <v>#NUM!</v>
      </c>
      <c r="CY132" s="62">
        <f ca="1">AVERAGE(OFFSET($CX$3,0,0,'Données projet'!$E$13+1,1))-AVERAGE(OFFSET($H$3,0,0,'Données projet'!$E$13+1,1))</f>
        <v>376.68007030857598</v>
      </c>
      <c r="CZ132" s="62">
        <f t="shared" si="96"/>
        <v>532.90758914457626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>
        <f>EXP(-LN(2)/35)*DF131+(1-EXP(-LN(2)/35))/(LN(2)/35)*DB132*DC132*VLOOKUP('Données projet'!$B$13,Paramètres!$A$1:$I$89,3,0)*0.475*44/12</f>
        <v>17.737955517283265</v>
      </c>
      <c r="DG132" s="23">
        <f>EXP(-LN(2)/25)*DG131+(1-EXP(-LN(2)/25))/(LN(2)/25)*Calculateur!DB132*Calculateur!DD132*VLOOKUP('Données projet'!$B$13,Paramètres!$A$1:$I$89,3,0)*0.475*44/12</f>
        <v>0.84178437249573512</v>
      </c>
      <c r="DH132" s="23">
        <f>EXP(-LN(2)/2)*DH131+(1-EXP(-LN(2)/2))/(LN(2)/2)*DB132*DE132*VLOOKUP('Données projet'!$B$13,Paramètres!$A$1:$I$89,3,0)*0.475*44/12</f>
        <v>0</v>
      </c>
      <c r="DI132" s="24">
        <f t="shared" ref="DI132:DI153" si="123">SUM(DF132:DH132)</f>
        <v>18.579739889778999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5.6843418860808015E-14</v>
      </c>
      <c r="DP132" s="18">
        <f>DO132*VLOOKUP('Données projet'!$B$14,Paramètres!$A$1:$I$89,3,0)*VLOOKUP('Données projet'!$B$14,Paramètres!$A$1:$I$89,5,0)</f>
        <v>5.4092197387944907E-14</v>
      </c>
      <c r="DQ132" s="14">
        <f t="shared" si="97"/>
        <v>8.7287050538073676E-13</v>
      </c>
      <c r="DR132" s="22">
        <f t="shared" ref="DR132:DR153" si="124">(DP132+DQ132)*0.475*44/12</f>
        <v>1.6144600406554537E-12</v>
      </c>
      <c r="DS132" s="62">
        <f t="shared" ref="DS132:DS195" si="125">DR132+(DJ132+DK132)*44/12</f>
        <v>283.74392866106695</v>
      </c>
      <c r="DT132" s="62">
        <f ca="1">AVERAGE(OFFSET($DS$3,0,0,'Données projet'!$E$14+1,1))-AVERAGE(OFFSET($H$3,0,0,'Données projet'!$E$14+1,1))</f>
        <v>364.63161066507769</v>
      </c>
      <c r="DU132" s="62">
        <f t="shared" si="98"/>
        <v>355.44729904860708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>
        <f>EXP(-LN(2)/35)*EA131+(1-EXP(-LN(2)/35))/(LN(2)/35)*DW132*DX132*VLOOKUP('Données projet'!$B$14,Paramètres!$A$1:$I$89,3,0)*0.475*44/12</f>
        <v>50.289448586289829</v>
      </c>
      <c r="EB132" s="23">
        <f>EXP(-LN(2)/25)*EB131+(1-EXP(-LN(2)/25))/(LN(2)/25)*Calculateur!DW132*Calculateur!DY132*VLOOKUP('Données projet'!$B$14,Paramètres!$A$1:$I$89,3,0)*0.475*44/12</f>
        <v>0</v>
      </c>
      <c r="EC132" s="23">
        <f>EXP(-LN(2)/2)*EC131+(1-EXP(-LN(2)/2))/(LN(2)/2)*DW132*DZ132*VLOOKUP('Données projet'!$B$14,Paramètres!$A$1:$I$89,3,0)*0.475*44/12</f>
        <v>0</v>
      </c>
      <c r="ED132" s="24">
        <f t="shared" ref="ED132:ED153" si="126">SUM(EA132:EC132)</f>
        <v>50.289448586289829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5.6843418860808015E-14</v>
      </c>
      <c r="EK132" s="18">
        <f>EJ132*VLOOKUP('Données projet'!$B$15,Paramètres!$A$1:$I$89,3,0)*VLOOKUP('Données projet'!$B$15,Paramètres!$A$1:$I$89,5,0)</f>
        <v>4.1677594708744434E-14</v>
      </c>
      <c r="EL132" s="14">
        <f t="shared" si="99"/>
        <v>6.9326303456159188E-13</v>
      </c>
      <c r="EM132" s="22">
        <f t="shared" ref="EM132:EM153" si="127">(EK132+EL132)*0.475*44/12</f>
        <v>1.2800215959791691E-12</v>
      </c>
      <c r="EN132" s="62">
        <f t="shared" ref="EN132:EN195" si="128">EM132+(EE132+EF132)*44/12</f>
        <v>283.74392866106666</v>
      </c>
      <c r="EO132" s="62">
        <f ca="1">AVERAGE(OFFSET($EN$3,0,0,'Données projet'!$E$15+1,1))-AVERAGE(OFFSET($H$3,0,0,'Données projet'!$E$15+1,1))</f>
        <v>293.59366973965774</v>
      </c>
      <c r="EP132" s="62">
        <f t="shared" si="100"/>
        <v>288.13804536120426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>
        <f>EXP(-LN(2)/35)*EV131+(1-EXP(-LN(2)/35))/(LN(2)/35)*ER132*ES132*VLOOKUP('Données projet'!$B$15,Paramètres!$A$1:$I$89,3,0)*0.475*44/12</f>
        <v>38.747607927141345</v>
      </c>
      <c r="EW132" s="23">
        <f>EXP(-LN(2)/25)*EW131+(1-EXP(-LN(2)/25))/(LN(2)/25)*Calculateur!ER132*Calculateur!ET132*VLOOKUP('Données projet'!$B$15,Paramètres!$A$1:$I$89,3,0)*0.475*44/12</f>
        <v>0</v>
      </c>
      <c r="EX132" s="23">
        <f>EXP(-LN(2)/2)*EX131+(1-EXP(-LN(2)/2))/(LN(2)/2)*ER132*EU132*VLOOKUP('Données projet'!$B$15,Paramètres!$A$1:$I$89,3,0)*0.475*44/12</f>
        <v>0</v>
      </c>
      <c r="EY132" s="24">
        <f t="shared" ref="EY132:EY153" si="129">SUM(EV132:EX132)</f>
        <v>38.747607927141345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5.6843418860808015E-14</v>
      </c>
      <c r="FF132" s="18">
        <f>FE132*VLOOKUP('Données projet'!$B$16,Paramètres!$A$1:$I$89,3,0)*VLOOKUP('Données projet'!$B$16,Paramètres!$A$1:$I$89,5,0)</f>
        <v>5.4978954722173515E-14</v>
      </c>
      <c r="FG132" s="14">
        <f t="shared" si="101"/>
        <v>8.8550225887742724E-13</v>
      </c>
      <c r="FH132" s="22">
        <f t="shared" ref="FH132:FH153" si="130">(FF132+FG132)*0.475*44/12</f>
        <v>1.6380047803526383E-12</v>
      </c>
      <c r="FI132" s="62">
        <f t="shared" ref="FI132:FI195" si="131">FH132+(EZ132+FA132)*44/12</f>
        <v>283.743928661067</v>
      </c>
      <c r="FJ132" s="62">
        <f ca="1">AVERAGE(OFFSET($FI$3,0,0,'Données projet'!$E$16+1,1))-AVERAGE(OFFSET($H$3,0,0,'Données projet'!$E$16+1,1))</f>
        <v>369.69145521630799</v>
      </c>
      <c r="FK132" s="62">
        <f t="shared" si="102"/>
        <v>360.24112103688719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>
        <f>EXP(-LN(2)/35)*FQ131+(1-EXP(-LN(2)/35))/(LN(2)/35)*FM132*FN132*VLOOKUP('Données projet'!$B$16,Paramètres!$A$1:$I$89,3,0)*0.475*44/12</f>
        <v>51.113865776229005</v>
      </c>
      <c r="FR132" s="23">
        <f>EXP(-LN(2)/25)*FR131+(1-EXP(-LN(2)/25))/(LN(2)/25)*Calculateur!FM132*Calculateur!FO132*VLOOKUP('Données projet'!$B$16,Paramètres!$A$1:$I$89,3,0)*0.475*44/12</f>
        <v>0</v>
      </c>
      <c r="FS132" s="23">
        <f>EXP(-LN(2)/2)*FS131+(1-EXP(-LN(2)/2))/(LN(2)/2)*FM132*FP132*VLOOKUP('Données projet'!$B$16,Paramètres!$A$1:$I$89,3,0)*0.475*44/12</f>
        <v>0</v>
      </c>
      <c r="FT132" s="24">
        <f t="shared" ref="FT132:FT153" si="132">SUM(FQ132:FS132)</f>
        <v>51.113865776229005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5.6843418860808015E-14</v>
      </c>
      <c r="GA132" s="18">
        <f>FZ132*VLOOKUP('Données projet'!$B$17,Paramètres!$A$1:$I$89,3,0)*VLOOKUP('Données projet'!$B$17,Paramètres!$A$1:$I$89,5,0)</f>
        <v>6.1186256061773749E-14</v>
      </c>
      <c r="GB132" s="14">
        <f t="shared" si="103"/>
        <v>9.7328366192051127E-13</v>
      </c>
      <c r="GC132" s="22">
        <f t="shared" ref="GC132:GC153" si="133">(GA132+GB132)*0.475*44/12</f>
        <v>1.8017017738191463E-12</v>
      </c>
      <c r="GD132" s="62">
        <f t="shared" ref="GD132:GD195" si="134">GC132+(FU132+FV132)*44/12</f>
        <v>283.74392866106717</v>
      </c>
      <c r="GE132" s="62">
        <f ca="1">AVERAGE(OFFSET($GD$3,0,0,'Données projet'!$E$17+1,1))-AVERAGE(OFFSET($H$3,0,0,'Données projet'!$E$17+1,1))</f>
        <v>405.06394904053946</v>
      </c>
      <c r="GF132" s="62">
        <f t="shared" si="104"/>
        <v>393.75247087518198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>
        <f>EXP(-LN(2)/35)*GL131+(1-EXP(-LN(2)/35))/(LN(2)/35)*GH132*GI132*VLOOKUP('Données projet'!$B$17,Paramètres!$A$1:$I$89,3,0)*0.475*44/12</f>
        <v>56.884786105803236</v>
      </c>
      <c r="GM132" s="23">
        <f>EXP(-LN(2)/25)*GM131+(1-EXP(-LN(2)/25))/(LN(2)/25)*Calculateur!GH132*Calculateur!GJ132*VLOOKUP('Données projet'!$B$17,Paramètres!$A$1:$I$89,3,0)*0.475*44/12</f>
        <v>0</v>
      </c>
      <c r="GN132" s="23">
        <f>EXP(-LN(2)/2)*GN131+(1-EXP(-LN(2)/2))/(LN(2)/2)*GH132*GK132*VLOOKUP('Données projet'!$B$17,Paramètres!$A$1:$I$89,3,0)*0.475*44/12</f>
        <v>0</v>
      </c>
      <c r="GO132" s="23">
        <f t="shared" ref="GO132:GO153" si="135">SUM(GL132:GN132)</f>
        <v>56.884786105803236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5.6843418860808015E-14</v>
      </c>
      <c r="GV132" s="18">
        <f>GU132*VLOOKUP('Données projet'!$B$18,Paramètres!$A$1:$I$89,3,0)*VLOOKUP('Données projet'!$B$18,Paramètres!$A$1:$I$89,5,0)</f>
        <v>3.813056537183002E-14</v>
      </c>
      <c r="GW132" s="14">
        <f t="shared" si="105"/>
        <v>6.4086286045526829E-13</v>
      </c>
      <c r="GX132" s="22">
        <f t="shared" ref="GX132:GX153" si="136">(GV132+GW132)*0.475*44/12</f>
        <v>1.1825802166488628E-12</v>
      </c>
      <c r="GY132" s="62">
        <f t="shared" ref="GY132:GY195" si="137">GX132+(GP132+GQ132)*44/12</f>
        <v>283.74392866106655</v>
      </c>
      <c r="GZ132" s="62">
        <f ca="1">AVERAGE(OFFSET($GY$3,0,0,'Données projet'!$E$18+1,1))-AVERAGE(OFFSET($H$3,0,0,'Données projet'!$E$18+1,1))</f>
        <v>273.21861937609918</v>
      </c>
      <c r="HA132" s="62">
        <f t="shared" si="106"/>
        <v>268.83004886965318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>
        <f>EXP(-LN(2)/35)*HG131+(1-EXP(-LN(2)/35))/(LN(2)/35)*HC132*HD132*VLOOKUP('Données projet'!$B$18,Paramètres!$A$1:$I$89,3,0)*0.475*44/12</f>
        <v>43.694111066776408</v>
      </c>
      <c r="HH132" s="23">
        <f>EXP(-LN(2)/25)*HH131+(1-EXP(-LN(2)/25))/(LN(2)/25)*Calculateur!HC132*Calculateur!HE132*VLOOKUP('Données projet'!$B$18,Paramètres!$A$1:$I$89,3,0)*0.475*44/12</f>
        <v>0</v>
      </c>
      <c r="HI132" s="23">
        <f>EXP(-LN(2)/2)*HI131+(1-EXP(-LN(2)/2))/(LN(2)/2)*HC132*HF132*VLOOKUP('Données projet'!$B$18,Paramètres!$A$1:$I$89,3,0)*0.475*44/12</f>
        <v>0</v>
      </c>
      <c r="HJ132" s="24">
        <f t="shared" ref="HJ132:HJ153" si="138">SUM(HG132:HI132)</f>
        <v>43.694111066776408</v>
      </c>
    </row>
    <row r="133" spans="1:218" s="5" customFormat="1" x14ac:dyDescent="0.4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5.7</v>
      </c>
      <c r="N133" s="14">
        <f>IF('Données projet'!$A$36&gt;35,N132+M133-V132,IF(A133&lt;'Données projet'!$A$36,$K$205^A133,IF(A133='Données projet'!$A$36,'Données projet'!$B$36,N132+M133-V132)))</f>
        <v>269.40000000000003</v>
      </c>
      <c r="O133" s="14">
        <f>N133*VLOOKUP('Données projet'!$B$9,Paramètres!$A$1:$I$89,3,0)*VLOOKUP('Données projet'!$B$9,Paramètres!$A$1:$I$89,5,0)</f>
        <v>243.75312000000002</v>
      </c>
      <c r="P133" s="14">
        <f t="shared" ref="P133:P196" si="141">EXP(-1.0587+0.8836*LN(O133)+0.284)</f>
        <v>59.246301841839156</v>
      </c>
      <c r="Q133" s="22">
        <f t="shared" si="108"/>
        <v>527.72399304120324</v>
      </c>
      <c r="R133" s="62">
        <f t="shared" si="109"/>
        <v>811.63427643463535</v>
      </c>
      <c r="S133" s="62">
        <f ca="1">AVERAGE(OFFSET($R$3,0,0,'Données projet'!$E$9+1,1))-AVERAGE(OFFSET($H$3,0,0,'Données projet'!$E$9+1,1))</f>
        <v>432.80275651765203</v>
      </c>
      <c r="T133" s="62">
        <f t="shared" ref="T133:T196" si="142">$T$3</f>
        <v>203.89279893419919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31.834287715271078</v>
      </c>
      <c r="AA133" s="23">
        <f>EXP(-LN(2)/25)*AA132+(1-EXP(-LN(2)/25))/(LN(2)/25)*Calculateur!V133*Calculateur!X133*VLOOKUP('Données projet'!$B$9,Paramètres!$A$1:$I$89,3,0)*0.475*44/12</f>
        <v>21.388674429296383</v>
      </c>
      <c r="AB133" s="23">
        <f>EXP(-LN(2)/2)*AB132+(1-EXP(-LN(2)/2))/(LN(2)/2)*V133*Y133*VLOOKUP('Données projet'!$B$9,Paramètres!$A$1:$I$89,3,0)*0.475*44/12</f>
        <v>0</v>
      </c>
      <c r="AC133" s="24">
        <f t="shared" si="111"/>
        <v>53.222962144567461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54.000000000000341</v>
      </c>
      <c r="AJ133" s="14">
        <f>AI133*VLOOKUP('Données projet'!$B$10,Paramètres!$A$1:$I$89,3,0)*VLOOKUP('Données projet'!$B$10,Paramètres!$A$1:$I$89,5,0)</f>
        <v>23.868000000000151</v>
      </c>
      <c r="AK133" s="14">
        <f t="shared" ref="AK133:AK153" si="143">EXP(-1.0587+0.8836*LN(AJ133)+0.284)</f>
        <v>7.6030930962115804</v>
      </c>
      <c r="AL133" s="22">
        <f t="shared" si="112"/>
        <v>54.812153809235433</v>
      </c>
      <c r="AM133" s="62">
        <f t="shared" si="113"/>
        <v>338.72243720266755</v>
      </c>
      <c r="AN133" s="62">
        <f ca="1">AVERAGE(OFFSET($AM$3,0,0,'Données projet'!$E$10+1,1))-AVERAGE(OFFSET($H$3,0,0,'Données projet'!$E$10+1,1))</f>
        <v>413.08876898406481</v>
      </c>
      <c r="AO133" s="62">
        <f t="shared" ref="AO133:AO196" si="144">$AO$3</f>
        <v>520.31320932826566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68.6885309104306</v>
      </c>
      <c r="AV133" s="23">
        <f>EXP(-LN(2)/25)*AV132+(1-EXP(-LN(2)/25))/(LN(2)/25)*Calculateur!AQ133*Calculateur!AS133*VLOOKUP('Données projet'!$B$10,Paramètres!$A$1:$I$89,3,0)*0.475*44/12</f>
        <v>2.8973279661135218</v>
      </c>
      <c r="AW133" s="23">
        <f>EXP(-LN(2)/2)*AW132+(1-EXP(-LN(2)/2))/(LN(2)/2)*AQ133*AT133*VLOOKUP('Données projet'!$B$10,Paramètres!$A$1:$I$89,3,0)*0.475*44/12</f>
        <v>6.4763086474459572E-13</v>
      </c>
      <c r="AX133" s="23">
        <f t="shared" si="114"/>
        <v>71.585858876544776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54.000000000000341</v>
      </c>
      <c r="BE133" s="14">
        <f>BD133*VLOOKUP('Données projet'!$B$11,Paramètres!$A$1:$I$89,3,0)*VLOOKUP('Données projet'!$B$11,Paramètres!$A$1:$I$89,5,0)</f>
        <v>30.186000000000188</v>
      </c>
      <c r="BF133" s="14">
        <f t="shared" ref="BF133:BF153" si="145">EXP(-1.0587+0.8836*LN(BE133)+0.284)</f>
        <v>9.3563888882899153</v>
      </c>
      <c r="BG133" s="22">
        <f t="shared" si="115"/>
        <v>68.869660647105263</v>
      </c>
      <c r="BH133" s="62">
        <f t="shared" si="116"/>
        <v>352.77994404053737</v>
      </c>
      <c r="BI133" s="62">
        <f ca="1">AVERAGE(OFFSET($BH$3,0,0,'Données projet'!$E$11+1,1))-AVERAGE(OFFSET($H$3,0,0,'Données projet'!$E$11+1,1))</f>
        <v>507.66185230065889</v>
      </c>
      <c r="BJ133" s="62">
        <f t="shared" ref="BJ133:BJ196" si="146">$BJ$3</f>
        <v>640.14375617778342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86.87078909260336</v>
      </c>
      <c r="BQ133" s="23">
        <f>EXP(-LN(2)/25)*BQ132+(1-EXP(-LN(2)/25))/(LN(2)/25)*Calculateur!BL133*Calculateur!BN133*VLOOKUP('Données projet'!$B$11,Paramètres!$A$1:$I$89,3,0)*0.475*44/12</f>
        <v>3.6642677218494573</v>
      </c>
      <c r="BR133" s="23">
        <f>EXP(-LN(2)/2)*BR132+(1-EXP(-LN(2)/2))/(LN(2)/2)*BL133*BO133*VLOOKUP('Données projet'!$B$11,Paramètres!$A$1:$I$89,3,0)*0.475*44/12</f>
        <v>8.1906256423581278E-13</v>
      </c>
      <c r="BS133" s="24">
        <f t="shared" si="117"/>
        <v>90.53505681445364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417.04879970000007</v>
      </c>
      <c r="BZ133" s="14">
        <f>BY133*VLOOKUP('Données projet'!$B$12,Paramètres!$A$1:$I$89,3,0)*VLOOKUP('Données projet'!$B$12,Paramètres!$A$1:$I$89,5,0)</f>
        <v>195.17883825960004</v>
      </c>
      <c r="CA133" s="14">
        <f t="shared" ref="CA133:CA153" si="147">EXP(-1.0587+0.8836*LN(BZ133)+0.284)</f>
        <v>48.683122291673484</v>
      </c>
      <c r="CB133" s="22">
        <f t="shared" si="118"/>
        <v>424.72624796013469</v>
      </c>
      <c r="CC133" s="62">
        <f t="shared" si="119"/>
        <v>708.63653135356685</v>
      </c>
      <c r="CD133" s="62">
        <f ca="1">AVERAGE(OFFSET($CC$3,0,0,'Données projet'!$E$12+1,1))-AVERAGE(OFFSET($H$3,0,0,'Données projet'!$E$12+1,1))</f>
        <v>289.21044803824958</v>
      </c>
      <c r="CE133" s="62">
        <f t="shared" ref="CE133:CE196" si="148">$CE$3</f>
        <v>196.11836398299445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>
        <f>EXP(-LN(2)/35)*CK132+(1-EXP(-LN(2)/35))/(LN(2)/35)*CG133*CH133*VLOOKUP('Données projet'!$B$12,Paramètres!$A$1:$I$89,3,0)*0.475*44/12</f>
        <v>38.020691623833621</v>
      </c>
      <c r="CL133" s="23">
        <f>EXP(-LN(2)/25)*CL132+(1-EXP(-LN(2)/25))/(LN(2)/25)*Calculateur!CG133*Calculateur!CI133*VLOOKUP('Données projet'!$B$12,Paramètres!$A$1:$I$89,3,0)*0.475*44/12</f>
        <v>13.954524974390923</v>
      </c>
      <c r="CM133" s="23">
        <f>EXP(-LN(2)/2)*CM132+(1-EXP(-LN(2)/2))/(LN(2)/2)*CG133*CJ133*VLOOKUP('Données projet'!$B$12,Paramètres!$A$1:$I$89,3,0)*0.475*44/12</f>
        <v>0</v>
      </c>
      <c r="CN133" s="24">
        <f t="shared" si="120"/>
        <v>51.975216598224542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-5.6843418860808015E-14</v>
      </c>
      <c r="CU133" s="18">
        <f>CT133*VLOOKUP('Données projet'!$B$13,Paramètres!$A$1:$I$89,3,0)*VLOOKUP('Données projet'!$B$13,Paramètres!$A$1:$I$89,5,0)</f>
        <v>-5.1431925385259088E-14</v>
      </c>
      <c r="CV133" s="14" t="e">
        <f t="shared" ref="CV133:CV153" si="149">EXP(-1.0587+0.8836*LN(CU133)+0.284)</f>
        <v>#NUM!</v>
      </c>
      <c r="CW133" s="22" t="e">
        <f t="shared" si="121"/>
        <v>#NUM!</v>
      </c>
      <c r="CX133" s="62" t="e">
        <f t="shared" si="122"/>
        <v>#NUM!</v>
      </c>
      <c r="CY133" s="62">
        <f ca="1">AVERAGE(OFFSET($CX$3,0,0,'Données projet'!$E$13+1,1))-AVERAGE(OFFSET($H$3,0,0,'Données projet'!$E$13+1,1))</f>
        <v>376.68007030857598</v>
      </c>
      <c r="CZ133" s="62">
        <f t="shared" ref="CZ133:CZ196" si="150">$CZ$3</f>
        <v>532.90758914457626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>
        <f>EXP(-LN(2)/35)*DF132+(1-EXP(-LN(2)/35))/(LN(2)/35)*DB133*DC133*VLOOKUP('Données projet'!$B$13,Paramètres!$A$1:$I$89,3,0)*0.475*44/12</f>
        <v>17.390125028673911</v>
      </c>
      <c r="DG133" s="23">
        <f>EXP(-LN(2)/25)*DG132+(1-EXP(-LN(2)/25))/(LN(2)/25)*Calculateur!DB133*Calculateur!DD133*VLOOKUP('Données projet'!$B$13,Paramètres!$A$1:$I$89,3,0)*0.475*44/12</f>
        <v>0.81876573456232304</v>
      </c>
      <c r="DH133" s="23">
        <f>EXP(-LN(2)/2)*DH132+(1-EXP(-LN(2)/2))/(LN(2)/2)*DB133*DE133*VLOOKUP('Données projet'!$B$13,Paramètres!$A$1:$I$89,3,0)*0.475*44/12</f>
        <v>0</v>
      </c>
      <c r="DI133" s="24">
        <f t="shared" si="123"/>
        <v>18.208890763236234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5.6843418860808015E-14</v>
      </c>
      <c r="DP133" s="18">
        <f>DO133*VLOOKUP('Données projet'!$B$14,Paramètres!$A$1:$I$89,3,0)*VLOOKUP('Données projet'!$B$14,Paramètres!$A$1:$I$89,5,0)</f>
        <v>5.4092197387944907E-14</v>
      </c>
      <c r="DQ133" s="14">
        <f t="shared" ref="DQ133:DQ153" si="151">EXP(-1.0587+0.8836*LN(DP133)+0.284)</f>
        <v>8.7287050538073676E-13</v>
      </c>
      <c r="DR133" s="22">
        <f t="shared" si="124"/>
        <v>1.6144600406554537E-12</v>
      </c>
      <c r="DS133" s="62">
        <f t="shared" si="125"/>
        <v>283.9102833934337</v>
      </c>
      <c r="DT133" s="62">
        <f ca="1">AVERAGE(OFFSET($DS$3,0,0,'Données projet'!$E$14+1,1))-AVERAGE(OFFSET($H$3,0,0,'Données projet'!$E$14+1,1))</f>
        <v>364.63161066507769</v>
      </c>
      <c r="DU133" s="62">
        <f t="shared" ref="DU133:DU196" si="152">$DU$3</f>
        <v>355.44729904860708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>
        <f>EXP(-LN(2)/35)*EA132+(1-EXP(-LN(2)/35))/(LN(2)/35)*DW133*DX133*VLOOKUP('Données projet'!$B$14,Paramètres!$A$1:$I$89,3,0)*0.475*44/12</f>
        <v>49.30330317304756</v>
      </c>
      <c r="EB133" s="23">
        <f>EXP(-LN(2)/25)*EB132+(1-EXP(-LN(2)/25))/(LN(2)/25)*Calculateur!DW133*Calculateur!DY133*VLOOKUP('Données projet'!$B$14,Paramètres!$A$1:$I$89,3,0)*0.475*44/12</f>
        <v>0</v>
      </c>
      <c r="EC133" s="23">
        <f>EXP(-LN(2)/2)*EC132+(1-EXP(-LN(2)/2))/(LN(2)/2)*DW133*DZ133*VLOOKUP('Données projet'!$B$14,Paramètres!$A$1:$I$89,3,0)*0.475*44/12</f>
        <v>0</v>
      </c>
      <c r="ED133" s="24">
        <f t="shared" si="126"/>
        <v>49.30330317304756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5.6843418860808015E-14</v>
      </c>
      <c r="EK133" s="18">
        <f>EJ133*VLOOKUP('Données projet'!$B$15,Paramètres!$A$1:$I$89,3,0)*VLOOKUP('Données projet'!$B$15,Paramètres!$A$1:$I$89,5,0)</f>
        <v>4.1677594708744434E-14</v>
      </c>
      <c r="EL133" s="14">
        <f t="shared" ref="EL133:EL153" si="153">EXP(-1.0587+0.8836*LN(EK133)+0.284)</f>
        <v>6.9326303456159188E-13</v>
      </c>
      <c r="EM133" s="22">
        <f t="shared" si="127"/>
        <v>1.2800215959791691E-12</v>
      </c>
      <c r="EN133" s="62">
        <f t="shared" si="128"/>
        <v>283.91028339343342</v>
      </c>
      <c r="EO133" s="62">
        <f ca="1">AVERAGE(OFFSET($EN$3,0,0,'Données projet'!$E$15+1,1))-AVERAGE(OFFSET($H$3,0,0,'Données projet'!$E$15+1,1))</f>
        <v>293.59366973965774</v>
      </c>
      <c r="EP133" s="62">
        <f t="shared" ref="EP133:EP196" si="154">$EP$3</f>
        <v>288.13804536120426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>
        <f>EXP(-LN(2)/35)*EV132+(1-EXP(-LN(2)/35))/(LN(2)/35)*ER133*ES133*VLOOKUP('Données projet'!$B$15,Paramètres!$A$1:$I$89,3,0)*0.475*44/12</f>
        <v>37.987790969397302</v>
      </c>
      <c r="EW133" s="23">
        <f>EXP(-LN(2)/25)*EW132+(1-EXP(-LN(2)/25))/(LN(2)/25)*Calculateur!ER133*Calculateur!ET133*VLOOKUP('Données projet'!$B$15,Paramètres!$A$1:$I$89,3,0)*0.475*44/12</f>
        <v>0</v>
      </c>
      <c r="EX133" s="23">
        <f>EXP(-LN(2)/2)*EX132+(1-EXP(-LN(2)/2))/(LN(2)/2)*ER133*EU133*VLOOKUP('Données projet'!$B$15,Paramètres!$A$1:$I$89,3,0)*0.475*44/12</f>
        <v>0</v>
      </c>
      <c r="EY133" s="24">
        <f t="shared" si="129"/>
        <v>37.987790969397302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5.6843418860808015E-14</v>
      </c>
      <c r="FF133" s="18">
        <f>FE133*VLOOKUP('Données projet'!$B$16,Paramètres!$A$1:$I$89,3,0)*VLOOKUP('Données projet'!$B$16,Paramètres!$A$1:$I$89,5,0)</f>
        <v>5.4978954722173515E-14</v>
      </c>
      <c r="FG133" s="14">
        <f t="shared" ref="FG133:FG153" si="155">EXP(-1.0587+0.8836*LN(FF133)+0.284)</f>
        <v>8.8550225887742724E-13</v>
      </c>
      <c r="FH133" s="22">
        <f t="shared" si="130"/>
        <v>1.6380047803526383E-12</v>
      </c>
      <c r="FI133" s="62">
        <f t="shared" si="131"/>
        <v>283.91028339343376</v>
      </c>
      <c r="FJ133" s="62">
        <f ca="1">AVERAGE(OFFSET($FI$3,0,0,'Données projet'!$E$16+1,1))-AVERAGE(OFFSET($H$3,0,0,'Données projet'!$E$16+1,1))</f>
        <v>369.69145521630799</v>
      </c>
      <c r="FK133" s="62">
        <f t="shared" ref="FK133:FK196" si="156">$FK$3</f>
        <v>360.24112103688719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>
        <f>EXP(-LN(2)/35)*FQ132+(1-EXP(-LN(2)/35))/(LN(2)/35)*FM133*FN133*VLOOKUP('Données projet'!$B$16,Paramètres!$A$1:$I$89,3,0)*0.475*44/12</f>
        <v>50.111554044736863</v>
      </c>
      <c r="FR133" s="23">
        <f>EXP(-LN(2)/25)*FR132+(1-EXP(-LN(2)/25))/(LN(2)/25)*Calculateur!FM133*Calculateur!FO133*VLOOKUP('Données projet'!$B$16,Paramètres!$A$1:$I$89,3,0)*0.475*44/12</f>
        <v>0</v>
      </c>
      <c r="FS133" s="23">
        <f>EXP(-LN(2)/2)*FS132+(1-EXP(-LN(2)/2))/(LN(2)/2)*FM133*FP133*VLOOKUP('Données projet'!$B$16,Paramètres!$A$1:$I$89,3,0)*0.475*44/12</f>
        <v>0</v>
      </c>
      <c r="FT133" s="24">
        <f t="shared" si="132"/>
        <v>50.111554044736863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5.6843418860808015E-14</v>
      </c>
      <c r="GA133" s="18">
        <f>FZ133*VLOOKUP('Données projet'!$B$17,Paramètres!$A$1:$I$89,3,0)*VLOOKUP('Données projet'!$B$17,Paramètres!$A$1:$I$89,5,0)</f>
        <v>6.1186256061773749E-14</v>
      </c>
      <c r="GB133" s="14">
        <f t="shared" ref="GB133:GB153" si="157">EXP(-1.0587+0.8836*LN(GA133)+0.284)</f>
        <v>9.7328366192051127E-13</v>
      </c>
      <c r="GC133" s="22">
        <f t="shared" si="133"/>
        <v>1.8017017738191463E-12</v>
      </c>
      <c r="GD133" s="62">
        <f t="shared" si="134"/>
        <v>283.91028339343393</v>
      </c>
      <c r="GE133" s="62">
        <f ca="1">AVERAGE(OFFSET($GD$3,0,0,'Données projet'!$E$17+1,1))-AVERAGE(OFFSET($H$3,0,0,'Données projet'!$E$17+1,1))</f>
        <v>405.06394904053946</v>
      </c>
      <c r="GF133" s="62">
        <f t="shared" ref="GF133:GF196" si="158">$GF$3</f>
        <v>393.75247087518198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>
        <f>EXP(-LN(2)/35)*GL132+(1-EXP(-LN(2)/35))/(LN(2)/35)*GH133*GI133*VLOOKUP('Données projet'!$B$17,Paramètres!$A$1:$I$89,3,0)*0.475*44/12</f>
        <v>55.769310146561985</v>
      </c>
      <c r="GM133" s="23">
        <f>EXP(-LN(2)/25)*GM132+(1-EXP(-LN(2)/25))/(LN(2)/25)*Calculateur!GH133*Calculateur!GJ133*VLOOKUP('Données projet'!$B$17,Paramètres!$A$1:$I$89,3,0)*0.475*44/12</f>
        <v>0</v>
      </c>
      <c r="GN133" s="23">
        <f>EXP(-LN(2)/2)*GN132+(1-EXP(-LN(2)/2))/(LN(2)/2)*GH133*GK133*VLOOKUP('Données projet'!$B$17,Paramètres!$A$1:$I$89,3,0)*0.475*44/12</f>
        <v>0</v>
      </c>
      <c r="GO133" s="23">
        <f t="shared" si="135"/>
        <v>55.769310146561985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5.6843418860808015E-14</v>
      </c>
      <c r="GV133" s="18">
        <f>GU133*VLOOKUP('Données projet'!$B$18,Paramètres!$A$1:$I$89,3,0)*VLOOKUP('Données projet'!$B$18,Paramètres!$A$1:$I$89,5,0)</f>
        <v>3.813056537183002E-14</v>
      </c>
      <c r="GW133" s="14">
        <f t="shared" ref="GW133:GW153" si="159">EXP(-1.0587+0.8836*LN(GV133)+0.284)</f>
        <v>6.4086286045526829E-13</v>
      </c>
      <c r="GX133" s="22">
        <f t="shared" si="136"/>
        <v>1.1825802166488628E-12</v>
      </c>
      <c r="GY133" s="62">
        <f t="shared" si="137"/>
        <v>283.9102833934333</v>
      </c>
      <c r="GZ133" s="62">
        <f ca="1">AVERAGE(OFFSET($GY$3,0,0,'Données projet'!$E$18+1,1))-AVERAGE(OFFSET($H$3,0,0,'Données projet'!$E$18+1,1))</f>
        <v>273.21861937609918</v>
      </c>
      <c r="HA133" s="62">
        <f t="shared" ref="HA133:HA196" si="160">$HA$3</f>
        <v>268.83004886965318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>
        <f>EXP(-LN(2)/35)*HG132+(1-EXP(-LN(2)/35))/(LN(2)/35)*HC133*HD133*VLOOKUP('Données projet'!$B$18,Paramètres!$A$1:$I$89,3,0)*0.475*44/12</f>
        <v>42.837296199533128</v>
      </c>
      <c r="HH133" s="23">
        <f>EXP(-LN(2)/25)*HH132+(1-EXP(-LN(2)/25))/(LN(2)/25)*Calculateur!HC133*Calculateur!HE133*VLOOKUP('Données projet'!$B$18,Paramètres!$A$1:$I$89,3,0)*0.475*44/12</f>
        <v>0</v>
      </c>
      <c r="HI133" s="23">
        <f>EXP(-LN(2)/2)*HI132+(1-EXP(-LN(2)/2))/(LN(2)/2)*HC133*HF133*VLOOKUP('Données projet'!$B$18,Paramètres!$A$1:$I$89,3,0)*0.475*44/12</f>
        <v>0</v>
      </c>
      <c r="HJ133" s="24">
        <f t="shared" si="138"/>
        <v>42.837296199533128</v>
      </c>
    </row>
    <row r="134" spans="1:218" s="5" customFormat="1" x14ac:dyDescent="0.4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5.7</v>
      </c>
      <c r="N134" s="14">
        <f>IF('Données projet'!$A$36&gt;35,N133+M134-V133,IF(A134&lt;'Données projet'!$A$36,$K$205^A134,IF(A134='Données projet'!$A$36,'Données projet'!$B$36,N133+M134-V133)))</f>
        <v>275.10000000000002</v>
      </c>
      <c r="O134" s="14">
        <f>N134*VLOOKUP('Données projet'!$B$9,Paramètres!$A$1:$I$89,3,0)*VLOOKUP('Données projet'!$B$9,Paramètres!$A$1:$I$89,5,0)</f>
        <v>248.91048000000001</v>
      </c>
      <c r="P134" s="14">
        <f t="shared" si="141"/>
        <v>60.352577270773921</v>
      </c>
      <c r="Q134" s="22">
        <f t="shared" si="108"/>
        <v>538.63315807993115</v>
      </c>
      <c r="R134" s="62">
        <f t="shared" si="109"/>
        <v>822.70691032303694</v>
      </c>
      <c r="S134" s="62">
        <f ca="1">AVERAGE(OFFSET($R$3,0,0,'Données projet'!$E$9+1,1))-AVERAGE(OFFSET($H$3,0,0,'Données projet'!$E$9+1,1))</f>
        <v>432.80275651765203</v>
      </c>
      <c r="T134" s="62">
        <f t="shared" si="142"/>
        <v>203.89279893419919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31.210036750172851</v>
      </c>
      <c r="AA134" s="23">
        <f>EXP(-LN(2)/25)*AA133+(1-EXP(-LN(2)/25))/(LN(2)/25)*Calculateur!V134*Calculateur!X134*VLOOKUP('Données projet'!$B$9,Paramètres!$A$1:$I$89,3,0)*0.475*44/12</f>
        <v>20.803800002245769</v>
      </c>
      <c r="AB134" s="23">
        <f>EXP(-LN(2)/2)*AB133+(1-EXP(-LN(2)/2))/(LN(2)/2)*V134*Y134*VLOOKUP('Données projet'!$B$9,Paramètres!$A$1:$I$89,3,0)*0.475*44/12</f>
        <v>0</v>
      </c>
      <c r="AC134" s="24">
        <f t="shared" si="111"/>
        <v>52.013836752418619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54.000000000000341</v>
      </c>
      <c r="AJ134" s="14">
        <f>AI134*VLOOKUP('Données projet'!$B$10,Paramètres!$A$1:$I$89,3,0)*VLOOKUP('Données projet'!$B$10,Paramètres!$A$1:$I$89,5,0)</f>
        <v>23.868000000000151</v>
      </c>
      <c r="AK134" s="14">
        <f t="shared" si="143"/>
        <v>7.6030930962115804</v>
      </c>
      <c r="AL134" s="22">
        <f t="shared" si="112"/>
        <v>54.812153809235433</v>
      </c>
      <c r="AM134" s="62">
        <f t="shared" si="113"/>
        <v>338.88590605234117</v>
      </c>
      <c r="AN134" s="62">
        <f ca="1">AVERAGE(OFFSET($AM$3,0,0,'Données projet'!$E$10+1,1))-AVERAGE(OFFSET($H$3,0,0,'Données projet'!$E$10+1,1))</f>
        <v>413.08876898406481</v>
      </c>
      <c r="AO134" s="62">
        <f t="shared" si="144"/>
        <v>520.31320932826566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67.341590715144036</v>
      </c>
      <c r="AV134" s="23">
        <f>EXP(-LN(2)/25)*AV133+(1-EXP(-LN(2)/25))/(LN(2)/25)*Calculateur!AQ134*Calculateur!AS134*VLOOKUP('Données projet'!$B$10,Paramètres!$A$1:$I$89,3,0)*0.475*44/12</f>
        <v>2.8181003805162916</v>
      </c>
      <c r="AW134" s="23">
        <f>EXP(-LN(2)/2)*AW133+(1-EXP(-LN(2)/2))/(LN(2)/2)*AQ134*AT134*VLOOKUP('Données projet'!$B$10,Paramètres!$A$1:$I$89,3,0)*0.475*44/12</f>
        <v>4.5794417616661138E-13</v>
      </c>
      <c r="AX134" s="23">
        <f t="shared" si="114"/>
        <v>70.159691095660776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54.000000000000341</v>
      </c>
      <c r="BE134" s="14">
        <f>BD134*VLOOKUP('Données projet'!$B$11,Paramètres!$A$1:$I$89,3,0)*VLOOKUP('Données projet'!$B$11,Paramètres!$A$1:$I$89,5,0)</f>
        <v>30.186000000000188</v>
      </c>
      <c r="BF134" s="14">
        <f t="shared" si="145"/>
        <v>9.3563888882899153</v>
      </c>
      <c r="BG134" s="22">
        <f t="shared" si="115"/>
        <v>68.869660647105263</v>
      </c>
      <c r="BH134" s="62">
        <f t="shared" si="116"/>
        <v>352.94341289021099</v>
      </c>
      <c r="BI134" s="62">
        <f ca="1">AVERAGE(OFFSET($BH$3,0,0,'Données projet'!$E$11+1,1))-AVERAGE(OFFSET($H$3,0,0,'Données projet'!$E$11+1,1))</f>
        <v>507.66185230065889</v>
      </c>
      <c r="BJ134" s="62">
        <f t="shared" si="146"/>
        <v>640.14375617778342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85.16730590444682</v>
      </c>
      <c r="BQ134" s="23">
        <f>EXP(-LN(2)/25)*BQ133+(1-EXP(-LN(2)/25))/(LN(2)/25)*Calculateur!BL134*Calculateur!BN134*VLOOKUP('Données projet'!$B$11,Paramètres!$A$1:$I$89,3,0)*0.475*44/12</f>
        <v>3.5640681283000193</v>
      </c>
      <c r="BR134" s="23">
        <f>EXP(-LN(2)/2)*BR133+(1-EXP(-LN(2)/2))/(LN(2)/2)*BL134*BO134*VLOOKUP('Données projet'!$B$11,Paramètres!$A$1:$I$89,3,0)*0.475*44/12</f>
        <v>5.7916469338718539E-13</v>
      </c>
      <c r="BS134" s="24">
        <f t="shared" si="117"/>
        <v>88.731374032747425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417.04879970000007</v>
      </c>
      <c r="BZ134" s="14">
        <f>BY134*VLOOKUP('Données projet'!$B$12,Paramètres!$A$1:$I$89,3,0)*VLOOKUP('Données projet'!$B$12,Paramètres!$A$1:$I$89,5,0)</f>
        <v>195.17883825960004</v>
      </c>
      <c r="CA134" s="14">
        <f t="shared" si="147"/>
        <v>48.683122291673484</v>
      </c>
      <c r="CB134" s="22">
        <f t="shared" si="118"/>
        <v>424.72624796013469</v>
      </c>
      <c r="CC134" s="62">
        <f t="shared" si="119"/>
        <v>708.80000020324042</v>
      </c>
      <c r="CD134" s="62">
        <f ca="1">AVERAGE(OFFSET($CC$3,0,0,'Données projet'!$E$12+1,1))-AVERAGE(OFFSET($H$3,0,0,'Données projet'!$E$12+1,1))</f>
        <v>289.21044803824958</v>
      </c>
      <c r="CE134" s="62">
        <f t="shared" si="148"/>
        <v>196.11836398299445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>
        <f>EXP(-LN(2)/35)*CK133+(1-EXP(-LN(2)/35))/(LN(2)/35)*CG134*CH134*VLOOKUP('Données projet'!$B$12,Paramètres!$A$1:$I$89,3,0)*0.475*44/12</f>
        <v>37.275129051422276</v>
      </c>
      <c r="CL134" s="23">
        <f>EXP(-LN(2)/25)*CL133+(1-EXP(-LN(2)/25))/(LN(2)/25)*Calculateur!CG134*Calculateur!CI134*VLOOKUP('Données projet'!$B$12,Paramètres!$A$1:$I$89,3,0)*0.475*44/12</f>
        <v>13.572937755129628</v>
      </c>
      <c r="CM134" s="23">
        <f>EXP(-LN(2)/2)*CM133+(1-EXP(-LN(2)/2))/(LN(2)/2)*CG134*CJ134*VLOOKUP('Données projet'!$B$12,Paramètres!$A$1:$I$89,3,0)*0.475*44/12</f>
        <v>0</v>
      </c>
      <c r="CN134" s="24">
        <f t="shared" si="120"/>
        <v>50.848066806551905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-5.6843418860808015E-14</v>
      </c>
      <c r="CU134" s="18">
        <f>CT134*VLOOKUP('Données projet'!$B$13,Paramètres!$A$1:$I$89,3,0)*VLOOKUP('Données projet'!$B$13,Paramètres!$A$1:$I$89,5,0)</f>
        <v>-5.1431925385259088E-14</v>
      </c>
      <c r="CV134" s="14" t="e">
        <f t="shared" si="149"/>
        <v>#NUM!</v>
      </c>
      <c r="CW134" s="22" t="e">
        <f t="shared" si="121"/>
        <v>#NUM!</v>
      </c>
      <c r="CX134" s="62" t="e">
        <f t="shared" si="122"/>
        <v>#NUM!</v>
      </c>
      <c r="CY134" s="62">
        <f ca="1">AVERAGE(OFFSET($CX$3,0,0,'Données projet'!$E$13+1,1))-AVERAGE(OFFSET($H$3,0,0,'Données projet'!$E$13+1,1))</f>
        <v>376.68007030857598</v>
      </c>
      <c r="CZ134" s="62">
        <f t="shared" si="150"/>
        <v>532.90758914457626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>
        <f>EXP(-LN(2)/35)*DF133+(1-EXP(-LN(2)/35))/(LN(2)/35)*DB134*DC134*VLOOKUP('Données projet'!$B$13,Paramètres!$A$1:$I$89,3,0)*0.475*44/12</f>
        <v>17.049115283790535</v>
      </c>
      <c r="DG134" s="23">
        <f>EXP(-LN(2)/25)*DG133+(1-EXP(-LN(2)/25))/(LN(2)/25)*Calculateur!DB134*Calculateur!DD134*VLOOKUP('Données projet'!$B$13,Paramètres!$A$1:$I$89,3,0)*0.475*44/12</f>
        <v>0.7963765424936976</v>
      </c>
      <c r="DH134" s="23">
        <f>EXP(-LN(2)/2)*DH133+(1-EXP(-LN(2)/2))/(LN(2)/2)*DB134*DE134*VLOOKUP('Données projet'!$B$13,Paramètres!$A$1:$I$89,3,0)*0.475*44/12</f>
        <v>0</v>
      </c>
      <c r="DI134" s="24">
        <f t="shared" si="123"/>
        <v>17.845491826284231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5.6843418860808015E-14</v>
      </c>
      <c r="DP134" s="18">
        <f>DO134*VLOOKUP('Données projet'!$B$14,Paramètres!$A$1:$I$89,3,0)*VLOOKUP('Données projet'!$B$14,Paramètres!$A$1:$I$89,5,0)</f>
        <v>5.4092197387944907E-14</v>
      </c>
      <c r="DQ134" s="14">
        <f t="shared" si="151"/>
        <v>8.7287050538073676E-13</v>
      </c>
      <c r="DR134" s="22">
        <f t="shared" si="124"/>
        <v>1.6144600406554537E-12</v>
      </c>
      <c r="DS134" s="62">
        <f t="shared" si="125"/>
        <v>284.07375224310732</v>
      </c>
      <c r="DT134" s="62">
        <f ca="1">AVERAGE(OFFSET($DS$3,0,0,'Données projet'!$E$14+1,1))-AVERAGE(OFFSET($H$3,0,0,'Données projet'!$E$14+1,1))</f>
        <v>364.63161066507769</v>
      </c>
      <c r="DU134" s="62">
        <f t="shared" si="152"/>
        <v>355.44729904860708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>
        <f>EXP(-LN(2)/35)*EA133+(1-EXP(-LN(2)/35))/(LN(2)/35)*DW134*DX134*VLOOKUP('Données projet'!$B$14,Paramètres!$A$1:$I$89,3,0)*0.475*44/12</f>
        <v>48.336495469869668</v>
      </c>
      <c r="EB134" s="23">
        <f>EXP(-LN(2)/25)*EB133+(1-EXP(-LN(2)/25))/(LN(2)/25)*Calculateur!DW134*Calculateur!DY134*VLOOKUP('Données projet'!$B$14,Paramètres!$A$1:$I$89,3,0)*0.475*44/12</f>
        <v>0</v>
      </c>
      <c r="EC134" s="23">
        <f>EXP(-LN(2)/2)*EC133+(1-EXP(-LN(2)/2))/(LN(2)/2)*DW134*DZ134*VLOOKUP('Données projet'!$B$14,Paramètres!$A$1:$I$89,3,0)*0.475*44/12</f>
        <v>0</v>
      </c>
      <c r="ED134" s="24">
        <f t="shared" si="126"/>
        <v>48.336495469869668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5.6843418860808015E-14</v>
      </c>
      <c r="EK134" s="18">
        <f>EJ134*VLOOKUP('Données projet'!$B$15,Paramètres!$A$1:$I$89,3,0)*VLOOKUP('Données projet'!$B$15,Paramètres!$A$1:$I$89,5,0)</f>
        <v>4.1677594708744434E-14</v>
      </c>
      <c r="EL134" s="14">
        <f t="shared" si="153"/>
        <v>6.9326303456159188E-13</v>
      </c>
      <c r="EM134" s="22">
        <f t="shared" si="127"/>
        <v>1.2800215959791691E-12</v>
      </c>
      <c r="EN134" s="62">
        <f t="shared" si="128"/>
        <v>284.07375224310704</v>
      </c>
      <c r="EO134" s="62">
        <f ca="1">AVERAGE(OFFSET($EN$3,0,0,'Données projet'!$E$15+1,1))-AVERAGE(OFFSET($H$3,0,0,'Données projet'!$E$15+1,1))</f>
        <v>293.59366973965774</v>
      </c>
      <c r="EP134" s="62">
        <f t="shared" si="154"/>
        <v>288.13804536120426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>
        <f>EXP(-LN(2)/35)*EV133+(1-EXP(-LN(2)/35))/(LN(2)/35)*ER134*ES134*VLOOKUP('Données projet'!$B$15,Paramètres!$A$1:$I$89,3,0)*0.475*44/12</f>
        <v>37.242873558752038</v>
      </c>
      <c r="EW134" s="23">
        <f>EXP(-LN(2)/25)*EW133+(1-EXP(-LN(2)/25))/(LN(2)/25)*Calculateur!ER134*Calculateur!ET134*VLOOKUP('Données projet'!$B$15,Paramètres!$A$1:$I$89,3,0)*0.475*44/12</f>
        <v>0</v>
      </c>
      <c r="EX134" s="23">
        <f>EXP(-LN(2)/2)*EX133+(1-EXP(-LN(2)/2))/(LN(2)/2)*ER134*EU134*VLOOKUP('Données projet'!$B$15,Paramètres!$A$1:$I$89,3,0)*0.475*44/12</f>
        <v>0</v>
      </c>
      <c r="EY134" s="24">
        <f t="shared" si="129"/>
        <v>37.242873558752038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5.6843418860808015E-14</v>
      </c>
      <c r="FF134" s="18">
        <f>FE134*VLOOKUP('Données projet'!$B$16,Paramètres!$A$1:$I$89,3,0)*VLOOKUP('Données projet'!$B$16,Paramètres!$A$1:$I$89,5,0)</f>
        <v>5.4978954722173515E-14</v>
      </c>
      <c r="FG134" s="14">
        <f t="shared" si="155"/>
        <v>8.8550225887742724E-13</v>
      </c>
      <c r="FH134" s="22">
        <f t="shared" si="130"/>
        <v>1.6380047803526383E-12</v>
      </c>
      <c r="FI134" s="62">
        <f t="shared" si="131"/>
        <v>284.07375224310738</v>
      </c>
      <c r="FJ134" s="62">
        <f ca="1">AVERAGE(OFFSET($FI$3,0,0,'Données projet'!$E$16+1,1))-AVERAGE(OFFSET($H$3,0,0,'Données projet'!$E$16+1,1))</f>
        <v>369.69145521630799</v>
      </c>
      <c r="FK134" s="62">
        <f t="shared" si="156"/>
        <v>360.24112103688719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>
        <f>EXP(-LN(2)/35)*FQ133+(1-EXP(-LN(2)/35))/(LN(2)/35)*FM134*FN134*VLOOKUP('Données projet'!$B$16,Paramètres!$A$1:$I$89,3,0)*0.475*44/12</f>
        <v>49.128897034949496</v>
      </c>
      <c r="FR134" s="23">
        <f>EXP(-LN(2)/25)*FR133+(1-EXP(-LN(2)/25))/(LN(2)/25)*Calculateur!FM134*Calculateur!FO134*VLOOKUP('Données projet'!$B$16,Paramètres!$A$1:$I$89,3,0)*0.475*44/12</f>
        <v>0</v>
      </c>
      <c r="FS134" s="23">
        <f>EXP(-LN(2)/2)*FS133+(1-EXP(-LN(2)/2))/(LN(2)/2)*FM134*FP134*VLOOKUP('Données projet'!$B$16,Paramètres!$A$1:$I$89,3,0)*0.475*44/12</f>
        <v>0</v>
      </c>
      <c r="FT134" s="24">
        <f t="shared" si="132"/>
        <v>49.128897034949496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5.6843418860808015E-14</v>
      </c>
      <c r="GA134" s="18">
        <f>FZ134*VLOOKUP('Données projet'!$B$17,Paramètres!$A$1:$I$89,3,0)*VLOOKUP('Données projet'!$B$17,Paramètres!$A$1:$I$89,5,0)</f>
        <v>6.1186256061773749E-14</v>
      </c>
      <c r="GB134" s="14">
        <f t="shared" si="157"/>
        <v>9.7328366192051127E-13</v>
      </c>
      <c r="GC134" s="22">
        <f t="shared" si="133"/>
        <v>1.8017017738191463E-12</v>
      </c>
      <c r="GD134" s="62">
        <f t="shared" si="134"/>
        <v>284.07375224310755</v>
      </c>
      <c r="GE134" s="62">
        <f ca="1">AVERAGE(OFFSET($GD$3,0,0,'Données projet'!$E$17+1,1))-AVERAGE(OFFSET($H$3,0,0,'Données projet'!$E$17+1,1))</f>
        <v>405.06394904053946</v>
      </c>
      <c r="GF134" s="62">
        <f t="shared" si="158"/>
        <v>393.75247087518198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>
        <f>EXP(-LN(2)/35)*GL133+(1-EXP(-LN(2)/35))/(LN(2)/35)*GH134*GI134*VLOOKUP('Données projet'!$B$17,Paramètres!$A$1:$I$89,3,0)*0.475*44/12</f>
        <v>54.6757079905083</v>
      </c>
      <c r="GM134" s="23">
        <f>EXP(-LN(2)/25)*GM133+(1-EXP(-LN(2)/25))/(LN(2)/25)*Calculateur!GH134*Calculateur!GJ134*VLOOKUP('Données projet'!$B$17,Paramètres!$A$1:$I$89,3,0)*0.475*44/12</f>
        <v>0</v>
      </c>
      <c r="GN134" s="23">
        <f>EXP(-LN(2)/2)*GN133+(1-EXP(-LN(2)/2))/(LN(2)/2)*GH134*GK134*VLOOKUP('Données projet'!$B$17,Paramètres!$A$1:$I$89,3,0)*0.475*44/12</f>
        <v>0</v>
      </c>
      <c r="GO134" s="23">
        <f t="shared" si="135"/>
        <v>54.6757079905083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5.6843418860808015E-14</v>
      </c>
      <c r="GV134" s="18">
        <f>GU134*VLOOKUP('Données projet'!$B$18,Paramètres!$A$1:$I$89,3,0)*VLOOKUP('Données projet'!$B$18,Paramètres!$A$1:$I$89,5,0)</f>
        <v>3.813056537183002E-14</v>
      </c>
      <c r="GW134" s="14">
        <f t="shared" si="159"/>
        <v>6.4086286045526829E-13</v>
      </c>
      <c r="GX134" s="22">
        <f t="shared" si="136"/>
        <v>1.1825802166488628E-12</v>
      </c>
      <c r="GY134" s="62">
        <f t="shared" si="137"/>
        <v>284.07375224310692</v>
      </c>
      <c r="GZ134" s="62">
        <f ca="1">AVERAGE(OFFSET($GY$3,0,0,'Données projet'!$E$18+1,1))-AVERAGE(OFFSET($H$3,0,0,'Données projet'!$E$18+1,1))</f>
        <v>273.21861937609918</v>
      </c>
      <c r="HA134" s="62">
        <f t="shared" si="160"/>
        <v>268.83004886965318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>
        <f>EXP(-LN(2)/35)*HG133+(1-EXP(-LN(2)/35))/(LN(2)/35)*HC134*HD134*VLOOKUP('Données projet'!$B$18,Paramètres!$A$1:$I$89,3,0)*0.475*44/12</f>
        <v>41.997282949231021</v>
      </c>
      <c r="HH134" s="23">
        <f>EXP(-LN(2)/25)*HH133+(1-EXP(-LN(2)/25))/(LN(2)/25)*Calculateur!HC134*Calculateur!HE134*VLOOKUP('Données projet'!$B$18,Paramètres!$A$1:$I$89,3,0)*0.475*44/12</f>
        <v>0</v>
      </c>
      <c r="HI134" s="23">
        <f>EXP(-LN(2)/2)*HI133+(1-EXP(-LN(2)/2))/(LN(2)/2)*HC134*HF134*VLOOKUP('Données projet'!$B$18,Paramètres!$A$1:$I$89,3,0)*0.475*44/12</f>
        <v>0</v>
      </c>
      <c r="HJ134" s="24">
        <f t="shared" si="138"/>
        <v>41.997282949231021</v>
      </c>
    </row>
    <row r="135" spans="1:218" s="5" customFormat="1" x14ac:dyDescent="0.4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5.7</v>
      </c>
      <c r="N135" s="14">
        <f>IF('Données projet'!$A$36&gt;35,N134+M135-V134,IF(A135&lt;'Données projet'!$A$36,$K$205^A135,IF(A135='Données projet'!$A$36,'Données projet'!$B$36,N134+M135-V134)))</f>
        <v>280.8</v>
      </c>
      <c r="O135" s="14">
        <f>N135*VLOOKUP('Données projet'!$B$9,Paramètres!$A$1:$I$89,3,0)*VLOOKUP('Données projet'!$B$9,Paramètres!$A$1:$I$89,5,0)</f>
        <v>254.06784000000002</v>
      </c>
      <c r="P135" s="14">
        <f t="shared" si="141"/>
        <v>61.456187622750775</v>
      </c>
      <c r="Q135" s="22">
        <f t="shared" si="108"/>
        <v>549.53768144295771</v>
      </c>
      <c r="R135" s="62">
        <f t="shared" si="109"/>
        <v>833.77206671665681</v>
      </c>
      <c r="S135" s="62">
        <f ca="1">AVERAGE(OFFSET($R$3,0,0,'Données projet'!$E$9+1,1))-AVERAGE(OFFSET($H$3,0,0,'Données projet'!$E$9+1,1))</f>
        <v>432.80275651765203</v>
      </c>
      <c r="T135" s="62">
        <f t="shared" si="142"/>
        <v>203.89279893419919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30.598026965744705</v>
      </c>
      <c r="AA135" s="23">
        <f>EXP(-LN(2)/25)*AA134+(1-EXP(-LN(2)/25))/(LN(2)/25)*Calculateur!V135*Calculateur!X135*VLOOKUP('Données projet'!$B$9,Paramètres!$A$1:$I$89,3,0)*0.475*44/12</f>
        <v>20.234918997160065</v>
      </c>
      <c r="AB135" s="23">
        <f>EXP(-LN(2)/2)*AB134+(1-EXP(-LN(2)/2))/(LN(2)/2)*V135*Y135*VLOOKUP('Données projet'!$B$9,Paramètres!$A$1:$I$89,3,0)*0.475*44/12</f>
        <v>0</v>
      </c>
      <c r="AC135" s="24">
        <f t="shared" si="111"/>
        <v>50.832945962904773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54.000000000000341</v>
      </c>
      <c r="AJ135" s="14">
        <f>AI135*VLOOKUP('Données projet'!$B$10,Paramètres!$A$1:$I$89,3,0)*VLOOKUP('Données projet'!$B$10,Paramètres!$A$1:$I$89,5,0)</f>
        <v>23.868000000000151</v>
      </c>
      <c r="AK135" s="14">
        <f t="shared" si="143"/>
        <v>7.6030930962115804</v>
      </c>
      <c r="AL135" s="22">
        <f t="shared" si="112"/>
        <v>54.812153809235433</v>
      </c>
      <c r="AM135" s="62">
        <f t="shared" si="113"/>
        <v>339.0465390829346</v>
      </c>
      <c r="AN135" s="62">
        <f ca="1">AVERAGE(OFFSET($AM$3,0,0,'Données projet'!$E$10+1,1))-AVERAGE(OFFSET($H$3,0,0,'Données projet'!$E$10+1,1))</f>
        <v>413.08876898406481</v>
      </c>
      <c r="AO135" s="62">
        <f t="shared" si="144"/>
        <v>520.31320932826566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66.021063195534651</v>
      </c>
      <c r="AV135" s="23">
        <f>EXP(-LN(2)/25)*AV134+(1-EXP(-LN(2)/25))/(LN(2)/25)*Calculateur!AQ135*Calculateur!AS135*VLOOKUP('Données projet'!$B$10,Paramètres!$A$1:$I$89,3,0)*0.475*44/12</f>
        <v>2.7410392774136154</v>
      </c>
      <c r="AW135" s="23">
        <f>EXP(-LN(2)/2)*AW134+(1-EXP(-LN(2)/2))/(LN(2)/2)*AQ135*AT135*VLOOKUP('Données projet'!$B$10,Paramètres!$A$1:$I$89,3,0)*0.475*44/12</f>
        <v>3.2381543237229786E-13</v>
      </c>
      <c r="AX135" s="23">
        <f t="shared" si="114"/>
        <v>68.762102472948598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54.000000000000341</v>
      </c>
      <c r="BE135" s="14">
        <f>BD135*VLOOKUP('Données projet'!$B$11,Paramètres!$A$1:$I$89,3,0)*VLOOKUP('Données projet'!$B$11,Paramètres!$A$1:$I$89,5,0)</f>
        <v>30.186000000000188</v>
      </c>
      <c r="BF135" s="14">
        <f t="shared" si="145"/>
        <v>9.3563888882899153</v>
      </c>
      <c r="BG135" s="22">
        <f t="shared" si="115"/>
        <v>68.869660647105263</v>
      </c>
      <c r="BH135" s="62">
        <f t="shared" si="116"/>
        <v>353.10404592080442</v>
      </c>
      <c r="BI135" s="62">
        <f ca="1">AVERAGE(OFFSET($BH$3,0,0,'Données projet'!$E$11+1,1))-AVERAGE(OFFSET($H$3,0,0,'Données projet'!$E$11+1,1))</f>
        <v>507.66185230065889</v>
      </c>
      <c r="BJ135" s="62">
        <f t="shared" si="146"/>
        <v>640.14375617778342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83.49722698258789</v>
      </c>
      <c r="BQ135" s="23">
        <f>EXP(-LN(2)/25)*BQ134+(1-EXP(-LN(2)/25))/(LN(2)/25)*Calculateur!BL135*Calculateur!BN135*VLOOKUP('Données projet'!$B$11,Paramètres!$A$1:$I$89,3,0)*0.475*44/12</f>
        <v>3.4666084979054581</v>
      </c>
      <c r="BR135" s="23">
        <f>EXP(-LN(2)/2)*BR134+(1-EXP(-LN(2)/2))/(LN(2)/2)*BL135*BO135*VLOOKUP('Données projet'!$B$11,Paramètres!$A$1:$I$89,3,0)*0.475*44/12</f>
        <v>4.0953128211790639E-13</v>
      </c>
      <c r="BS135" s="24">
        <f t="shared" si="117"/>
        <v>86.963835480493756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417.04879970000007</v>
      </c>
      <c r="BZ135" s="14">
        <f>BY135*VLOOKUP('Données projet'!$B$12,Paramètres!$A$1:$I$89,3,0)*VLOOKUP('Données projet'!$B$12,Paramètres!$A$1:$I$89,5,0)</f>
        <v>195.17883825960004</v>
      </c>
      <c r="CA135" s="14">
        <f t="shared" si="147"/>
        <v>48.683122291673484</v>
      </c>
      <c r="CB135" s="22">
        <f t="shared" si="118"/>
        <v>424.72624796013469</v>
      </c>
      <c r="CC135" s="62">
        <f t="shared" si="119"/>
        <v>708.96063323383385</v>
      </c>
      <c r="CD135" s="62">
        <f ca="1">AVERAGE(OFFSET($CC$3,0,0,'Données projet'!$E$12+1,1))-AVERAGE(OFFSET($H$3,0,0,'Données projet'!$E$12+1,1))</f>
        <v>289.21044803824958</v>
      </c>
      <c r="CE135" s="62">
        <f t="shared" si="148"/>
        <v>196.11836398299445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>
        <f>EXP(-LN(2)/35)*CK134+(1-EXP(-LN(2)/35))/(LN(2)/35)*CG135*CH135*VLOOKUP('Données projet'!$B$12,Paramètres!$A$1:$I$89,3,0)*0.475*44/12</f>
        <v>36.544186506307653</v>
      </c>
      <c r="CL135" s="23">
        <f>EXP(-LN(2)/25)*CL134+(1-EXP(-LN(2)/25))/(LN(2)/25)*Calculateur!CG135*Calculateur!CI135*VLOOKUP('Données projet'!$B$12,Paramètres!$A$1:$I$89,3,0)*0.475*44/12</f>
        <v>13.201785058445832</v>
      </c>
      <c r="CM135" s="23">
        <f>EXP(-LN(2)/2)*CM134+(1-EXP(-LN(2)/2))/(LN(2)/2)*CG135*CJ135*VLOOKUP('Données projet'!$B$12,Paramètres!$A$1:$I$89,3,0)*0.475*44/12</f>
        <v>0</v>
      </c>
      <c r="CN135" s="24">
        <f t="shared" si="120"/>
        <v>49.745971564753489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-5.6843418860808015E-14</v>
      </c>
      <c r="CU135" s="18">
        <f>CT135*VLOOKUP('Données projet'!$B$13,Paramètres!$A$1:$I$89,3,0)*VLOOKUP('Données projet'!$B$13,Paramètres!$A$1:$I$89,5,0)</f>
        <v>-5.1431925385259088E-14</v>
      </c>
      <c r="CV135" s="14" t="e">
        <f t="shared" si="149"/>
        <v>#NUM!</v>
      </c>
      <c r="CW135" s="22" t="e">
        <f t="shared" si="121"/>
        <v>#NUM!</v>
      </c>
      <c r="CX135" s="62" t="e">
        <f t="shared" si="122"/>
        <v>#NUM!</v>
      </c>
      <c r="CY135" s="62">
        <f ca="1">AVERAGE(OFFSET($CX$3,0,0,'Données projet'!$E$13+1,1))-AVERAGE(OFFSET($H$3,0,0,'Données projet'!$E$13+1,1))</f>
        <v>376.68007030857598</v>
      </c>
      <c r="CZ135" s="62">
        <f t="shared" si="150"/>
        <v>532.90758914457626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>
        <f>EXP(-LN(2)/35)*DF134+(1-EXP(-LN(2)/35))/(LN(2)/35)*DB135*DC135*VLOOKUP('Données projet'!$B$13,Paramètres!$A$1:$I$89,3,0)*0.475*44/12</f>
        <v>16.714792532008914</v>
      </c>
      <c r="DG135" s="23">
        <f>EXP(-LN(2)/25)*DG134+(1-EXP(-LN(2)/25))/(LN(2)/25)*Calculateur!DB135*Calculateur!DD135*VLOOKUP('Données projet'!$B$13,Paramètres!$A$1:$I$89,3,0)*0.475*44/12</f>
        <v>0.77459958405958518</v>
      </c>
      <c r="DH135" s="23">
        <f>EXP(-LN(2)/2)*DH134+(1-EXP(-LN(2)/2))/(LN(2)/2)*DB135*DE135*VLOOKUP('Données projet'!$B$13,Paramètres!$A$1:$I$89,3,0)*0.475*44/12</f>
        <v>0</v>
      </c>
      <c r="DI135" s="24">
        <f t="shared" si="123"/>
        <v>17.489392116068501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5.6843418860808015E-14</v>
      </c>
      <c r="DP135" s="18">
        <f>DO135*VLOOKUP('Données projet'!$B$14,Paramètres!$A$1:$I$89,3,0)*VLOOKUP('Données projet'!$B$14,Paramètres!$A$1:$I$89,5,0)</f>
        <v>5.4092197387944907E-14</v>
      </c>
      <c r="DQ135" s="14">
        <f t="shared" si="151"/>
        <v>8.7287050538073676E-13</v>
      </c>
      <c r="DR135" s="22">
        <f t="shared" si="124"/>
        <v>1.6144600406554537E-12</v>
      </c>
      <c r="DS135" s="62">
        <f t="shared" si="125"/>
        <v>284.23438527370075</v>
      </c>
      <c r="DT135" s="62">
        <f ca="1">AVERAGE(OFFSET($DS$3,0,0,'Données projet'!$E$14+1,1))-AVERAGE(OFFSET($H$3,0,0,'Données projet'!$E$14+1,1))</f>
        <v>364.63161066507769</v>
      </c>
      <c r="DU135" s="62">
        <f t="shared" si="152"/>
        <v>355.44729904860708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>
        <f>EXP(-LN(2)/35)*EA134+(1-EXP(-LN(2)/35))/(LN(2)/35)*DW135*DX135*VLOOKUP('Données projet'!$B$14,Paramètres!$A$1:$I$89,3,0)*0.475*44/12</f>
        <v>47.388646276056619</v>
      </c>
      <c r="EB135" s="23">
        <f>EXP(-LN(2)/25)*EB134+(1-EXP(-LN(2)/25))/(LN(2)/25)*Calculateur!DW135*Calculateur!DY135*VLOOKUP('Données projet'!$B$14,Paramètres!$A$1:$I$89,3,0)*0.475*44/12</f>
        <v>0</v>
      </c>
      <c r="EC135" s="23">
        <f>EXP(-LN(2)/2)*EC134+(1-EXP(-LN(2)/2))/(LN(2)/2)*DW135*DZ135*VLOOKUP('Données projet'!$B$14,Paramètres!$A$1:$I$89,3,0)*0.475*44/12</f>
        <v>0</v>
      </c>
      <c r="ED135" s="24">
        <f t="shared" si="126"/>
        <v>47.388646276056619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5.6843418860808015E-14</v>
      </c>
      <c r="EK135" s="18">
        <f>EJ135*VLOOKUP('Données projet'!$B$15,Paramètres!$A$1:$I$89,3,0)*VLOOKUP('Données projet'!$B$15,Paramètres!$A$1:$I$89,5,0)</f>
        <v>4.1677594708744434E-14</v>
      </c>
      <c r="EL135" s="14">
        <f t="shared" si="153"/>
        <v>6.9326303456159188E-13</v>
      </c>
      <c r="EM135" s="22">
        <f t="shared" si="127"/>
        <v>1.2800215959791691E-12</v>
      </c>
      <c r="EN135" s="62">
        <f t="shared" si="128"/>
        <v>284.23438527370047</v>
      </c>
      <c r="EO135" s="62">
        <f ca="1">AVERAGE(OFFSET($EN$3,0,0,'Données projet'!$E$15+1,1))-AVERAGE(OFFSET($H$3,0,0,'Données projet'!$E$15+1,1))</f>
        <v>293.59366973965774</v>
      </c>
      <c r="EP135" s="62">
        <f t="shared" si="154"/>
        <v>288.13804536120426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>
        <f>EXP(-LN(2)/35)*EV134+(1-EXP(-LN(2)/35))/(LN(2)/35)*ER135*ES135*VLOOKUP('Données projet'!$B$15,Paramètres!$A$1:$I$89,3,0)*0.475*44/12</f>
        <v>36.512563524174773</v>
      </c>
      <c r="EW135" s="23">
        <f>EXP(-LN(2)/25)*EW134+(1-EXP(-LN(2)/25))/(LN(2)/25)*Calculateur!ER135*Calculateur!ET135*VLOOKUP('Données projet'!$B$15,Paramètres!$A$1:$I$89,3,0)*0.475*44/12</f>
        <v>0</v>
      </c>
      <c r="EX135" s="23">
        <f>EXP(-LN(2)/2)*EX134+(1-EXP(-LN(2)/2))/(LN(2)/2)*ER135*EU135*VLOOKUP('Données projet'!$B$15,Paramètres!$A$1:$I$89,3,0)*0.475*44/12</f>
        <v>0</v>
      </c>
      <c r="EY135" s="24">
        <f t="shared" si="129"/>
        <v>36.512563524174773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5.6843418860808015E-14</v>
      </c>
      <c r="FF135" s="18">
        <f>FE135*VLOOKUP('Données projet'!$B$16,Paramètres!$A$1:$I$89,3,0)*VLOOKUP('Données projet'!$B$16,Paramètres!$A$1:$I$89,5,0)</f>
        <v>5.4978954722173515E-14</v>
      </c>
      <c r="FG135" s="14">
        <f t="shared" si="155"/>
        <v>8.8550225887742724E-13</v>
      </c>
      <c r="FH135" s="22">
        <f t="shared" si="130"/>
        <v>1.6380047803526383E-12</v>
      </c>
      <c r="FI135" s="62">
        <f t="shared" si="131"/>
        <v>284.23438527370081</v>
      </c>
      <c r="FJ135" s="62">
        <f ca="1">AVERAGE(OFFSET($FI$3,0,0,'Données projet'!$E$16+1,1))-AVERAGE(OFFSET($H$3,0,0,'Données projet'!$E$16+1,1))</f>
        <v>369.69145521630799</v>
      </c>
      <c r="FK135" s="62">
        <f t="shared" si="156"/>
        <v>360.24112103688719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>
        <f>EXP(-LN(2)/35)*FQ134+(1-EXP(-LN(2)/35))/(LN(2)/35)*FM135*FN135*VLOOKUP('Données projet'!$B$16,Paramètres!$A$1:$I$89,3,0)*0.475*44/12</f>
        <v>48.165509329762465</v>
      </c>
      <c r="FR135" s="23">
        <f>EXP(-LN(2)/25)*FR134+(1-EXP(-LN(2)/25))/(LN(2)/25)*Calculateur!FM135*Calculateur!FO135*VLOOKUP('Données projet'!$B$16,Paramètres!$A$1:$I$89,3,0)*0.475*44/12</f>
        <v>0</v>
      </c>
      <c r="FS135" s="23">
        <f>EXP(-LN(2)/2)*FS134+(1-EXP(-LN(2)/2))/(LN(2)/2)*FM135*FP135*VLOOKUP('Données projet'!$B$16,Paramètres!$A$1:$I$89,3,0)*0.475*44/12</f>
        <v>0</v>
      </c>
      <c r="FT135" s="24">
        <f t="shared" si="132"/>
        <v>48.165509329762465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5.6843418860808015E-14</v>
      </c>
      <c r="GA135" s="18">
        <f>FZ135*VLOOKUP('Données projet'!$B$17,Paramètres!$A$1:$I$89,3,0)*VLOOKUP('Données projet'!$B$17,Paramètres!$A$1:$I$89,5,0)</f>
        <v>6.1186256061773749E-14</v>
      </c>
      <c r="GB135" s="14">
        <f t="shared" si="157"/>
        <v>9.7328366192051127E-13</v>
      </c>
      <c r="GC135" s="22">
        <f t="shared" si="133"/>
        <v>1.8017017738191463E-12</v>
      </c>
      <c r="GD135" s="62">
        <f t="shared" si="134"/>
        <v>284.23438527370098</v>
      </c>
      <c r="GE135" s="62">
        <f ca="1">AVERAGE(OFFSET($GD$3,0,0,'Données projet'!$E$17+1,1))-AVERAGE(OFFSET($H$3,0,0,'Données projet'!$E$17+1,1))</f>
        <v>405.06394904053946</v>
      </c>
      <c r="GF135" s="62">
        <f t="shared" si="158"/>
        <v>393.75247087518198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>
        <f>EXP(-LN(2)/35)*GL134+(1-EXP(-LN(2)/35))/(LN(2)/35)*GH135*GI135*VLOOKUP('Données projet'!$B$17,Paramètres!$A$1:$I$89,3,0)*0.475*44/12</f>
        <v>53.603550705703377</v>
      </c>
      <c r="GM135" s="23">
        <f>EXP(-LN(2)/25)*GM134+(1-EXP(-LN(2)/25))/(LN(2)/25)*Calculateur!GH135*Calculateur!GJ135*VLOOKUP('Données projet'!$B$17,Paramètres!$A$1:$I$89,3,0)*0.475*44/12</f>
        <v>0</v>
      </c>
      <c r="GN135" s="23">
        <f>EXP(-LN(2)/2)*GN134+(1-EXP(-LN(2)/2))/(LN(2)/2)*GH135*GK135*VLOOKUP('Données projet'!$B$17,Paramètres!$A$1:$I$89,3,0)*0.475*44/12</f>
        <v>0</v>
      </c>
      <c r="GO135" s="23">
        <f t="shared" si="135"/>
        <v>53.603550705703377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5.6843418860808015E-14</v>
      </c>
      <c r="GV135" s="18">
        <f>GU135*VLOOKUP('Données projet'!$B$18,Paramètres!$A$1:$I$89,3,0)*VLOOKUP('Données projet'!$B$18,Paramètres!$A$1:$I$89,5,0)</f>
        <v>3.813056537183002E-14</v>
      </c>
      <c r="GW135" s="14">
        <f t="shared" si="159"/>
        <v>6.4086286045526829E-13</v>
      </c>
      <c r="GX135" s="22">
        <f t="shared" si="136"/>
        <v>1.1825802166488628E-12</v>
      </c>
      <c r="GY135" s="62">
        <f t="shared" si="137"/>
        <v>284.23438527370035</v>
      </c>
      <c r="GZ135" s="62">
        <f ca="1">AVERAGE(OFFSET($GY$3,0,0,'Données projet'!$E$18+1,1))-AVERAGE(OFFSET($H$3,0,0,'Données projet'!$E$18+1,1))</f>
        <v>273.21861937609918</v>
      </c>
      <c r="HA135" s="62">
        <f t="shared" si="160"/>
        <v>268.83004886965318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>
        <f>EXP(-LN(2)/35)*HG134+(1-EXP(-LN(2)/35))/(LN(2)/35)*HC135*HD135*VLOOKUP('Données projet'!$B$18,Paramètres!$A$1:$I$89,3,0)*0.475*44/12</f>
        <v>41.173741846409847</v>
      </c>
      <c r="HH135" s="23">
        <f>EXP(-LN(2)/25)*HH134+(1-EXP(-LN(2)/25))/(LN(2)/25)*Calculateur!HC135*Calculateur!HE135*VLOOKUP('Données projet'!$B$18,Paramètres!$A$1:$I$89,3,0)*0.475*44/12</f>
        <v>0</v>
      </c>
      <c r="HI135" s="23">
        <f>EXP(-LN(2)/2)*HI134+(1-EXP(-LN(2)/2))/(LN(2)/2)*HC135*HF135*VLOOKUP('Données projet'!$B$18,Paramètres!$A$1:$I$89,3,0)*0.475*44/12</f>
        <v>0</v>
      </c>
      <c r="HJ135" s="24">
        <f t="shared" si="138"/>
        <v>41.173741846409847</v>
      </c>
    </row>
    <row r="136" spans="1:218" s="5" customFormat="1" x14ac:dyDescent="0.4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5.7</v>
      </c>
      <c r="N136" s="14">
        <f>IF('Données projet'!$A$36&gt;35,N135+M136-V135,IF(A136&lt;'Données projet'!$A$36,$K$205^A136,IF(A136='Données projet'!$A$36,'Données projet'!$B$36,N135+M136-V135)))</f>
        <v>286.5</v>
      </c>
      <c r="O136" s="14">
        <f>N136*VLOOKUP('Données projet'!$B$9,Paramètres!$A$1:$I$89,3,0)*VLOOKUP('Données projet'!$B$9,Paramètres!$A$1:$I$89,5,0)</f>
        <v>259.22519999999997</v>
      </c>
      <c r="P136" s="14">
        <f t="shared" si="141"/>
        <v>62.557193230719982</v>
      </c>
      <c r="Q136" s="22">
        <f t="shared" si="108"/>
        <v>560.4376682101705</v>
      </c>
      <c r="R136" s="62">
        <f t="shared" si="109"/>
        <v>844.82989989050384</v>
      </c>
      <c r="S136" s="62">
        <f ca="1">AVERAGE(OFFSET($R$3,0,0,'Données projet'!$E$9+1,1))-AVERAGE(OFFSET($H$3,0,0,'Données projet'!$E$9+1,1))</f>
        <v>432.80275651765203</v>
      </c>
      <c r="T136" s="62">
        <f t="shared" si="142"/>
        <v>203.89279893419919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29.998018319900087</v>
      </c>
      <c r="AA136" s="23">
        <f>EXP(-LN(2)/25)*AA135+(1-EXP(-LN(2)/25))/(LN(2)/25)*Calculateur!V136*Calculateur!X136*VLOOKUP('Données projet'!$B$9,Paramètres!$A$1:$I$89,3,0)*0.475*44/12</f>
        <v>19.681594073074582</v>
      </c>
      <c r="AB136" s="23">
        <f>EXP(-LN(2)/2)*AB135+(1-EXP(-LN(2)/2))/(LN(2)/2)*V136*Y136*VLOOKUP('Données projet'!$B$9,Paramètres!$A$1:$I$89,3,0)*0.475*44/12</f>
        <v>0</v>
      </c>
      <c r="AC136" s="24">
        <f t="shared" si="111"/>
        <v>49.679612392974668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54.000000000000341</v>
      </c>
      <c r="AJ136" s="14">
        <f>AI136*VLOOKUP('Données projet'!$B$10,Paramètres!$A$1:$I$89,3,0)*VLOOKUP('Données projet'!$B$10,Paramètres!$A$1:$I$89,5,0)</f>
        <v>23.868000000000151</v>
      </c>
      <c r="AK136" s="14">
        <f t="shared" si="143"/>
        <v>7.6030930962115804</v>
      </c>
      <c r="AL136" s="22">
        <f t="shared" si="112"/>
        <v>54.812153809235433</v>
      </c>
      <c r="AM136" s="62">
        <f t="shared" si="113"/>
        <v>339.20438548956884</v>
      </c>
      <c r="AN136" s="62">
        <f ca="1">AVERAGE(OFFSET($AM$3,0,0,'Données projet'!$E$10+1,1))-AVERAGE(OFFSET($H$3,0,0,'Données projet'!$E$10+1,1))</f>
        <v>413.08876898406481</v>
      </c>
      <c r="AO136" s="62">
        <f t="shared" si="144"/>
        <v>520.31320932826566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64.726430415142545</v>
      </c>
      <c r="AV136" s="23">
        <f>EXP(-LN(2)/25)*AV135+(1-EXP(-LN(2)/25))/(LN(2)/25)*Calculateur!AQ136*Calculateur!AS136*VLOOKUP('Données projet'!$B$10,Paramètres!$A$1:$I$89,3,0)*0.475*44/12</f>
        <v>2.6660854142277493</v>
      </c>
      <c r="AW136" s="23">
        <f>EXP(-LN(2)/2)*AW135+(1-EXP(-LN(2)/2))/(LN(2)/2)*AQ136*AT136*VLOOKUP('Données projet'!$B$10,Paramètres!$A$1:$I$89,3,0)*0.475*44/12</f>
        <v>2.2897208808330569E-13</v>
      </c>
      <c r="AX136" s="23">
        <f t="shared" si="114"/>
        <v>67.392515829370524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54.000000000000341</v>
      </c>
      <c r="BE136" s="14">
        <f>BD136*VLOOKUP('Données projet'!$B$11,Paramètres!$A$1:$I$89,3,0)*VLOOKUP('Données projet'!$B$11,Paramètres!$A$1:$I$89,5,0)</f>
        <v>30.186000000000188</v>
      </c>
      <c r="BF136" s="14">
        <f t="shared" si="145"/>
        <v>9.3563888882899153</v>
      </c>
      <c r="BG136" s="22">
        <f t="shared" si="115"/>
        <v>68.869660647105263</v>
      </c>
      <c r="BH136" s="62">
        <f t="shared" si="116"/>
        <v>353.26189232743866</v>
      </c>
      <c r="BI136" s="62">
        <f ca="1">AVERAGE(OFFSET($BH$3,0,0,'Données projet'!$E$11+1,1))-AVERAGE(OFFSET($H$3,0,0,'Données projet'!$E$11+1,1))</f>
        <v>507.66185230065889</v>
      </c>
      <c r="BJ136" s="62">
        <f t="shared" si="146"/>
        <v>640.14375617778342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81.859897289739052</v>
      </c>
      <c r="BQ136" s="23">
        <f>EXP(-LN(2)/25)*BQ135+(1-EXP(-LN(2)/25))/(LN(2)/25)*Calculateur!BL136*Calculateur!BN136*VLOOKUP('Données projet'!$B$11,Paramètres!$A$1:$I$89,3,0)*0.475*44/12</f>
        <v>3.3718139062292156</v>
      </c>
      <c r="BR136" s="23">
        <f>EXP(-LN(2)/2)*BR135+(1-EXP(-LN(2)/2))/(LN(2)/2)*BL136*BO136*VLOOKUP('Données projet'!$B$11,Paramètres!$A$1:$I$89,3,0)*0.475*44/12</f>
        <v>2.8958234669359269E-13</v>
      </c>
      <c r="BS136" s="24">
        <f t="shared" si="117"/>
        <v>85.231711195968558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417.04879970000007</v>
      </c>
      <c r="BZ136" s="14">
        <f>BY136*VLOOKUP('Données projet'!$B$12,Paramètres!$A$1:$I$89,3,0)*VLOOKUP('Données projet'!$B$12,Paramètres!$A$1:$I$89,5,0)</f>
        <v>195.17883825960004</v>
      </c>
      <c r="CA136" s="14">
        <f t="shared" si="147"/>
        <v>48.683122291673484</v>
      </c>
      <c r="CB136" s="22">
        <f t="shared" si="118"/>
        <v>424.72624796013469</v>
      </c>
      <c r="CC136" s="62">
        <f t="shared" si="119"/>
        <v>709.11847964046808</v>
      </c>
      <c r="CD136" s="62">
        <f ca="1">AVERAGE(OFFSET($CC$3,0,0,'Données projet'!$E$12+1,1))-AVERAGE(OFFSET($H$3,0,0,'Données projet'!$E$12+1,1))</f>
        <v>289.21044803824958</v>
      </c>
      <c r="CE136" s="62">
        <f t="shared" si="148"/>
        <v>196.11836398299445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>
        <f>EXP(-LN(2)/35)*CK135+(1-EXP(-LN(2)/35))/(LN(2)/35)*CG136*CH136*VLOOKUP('Données projet'!$B$12,Paramètres!$A$1:$I$89,3,0)*0.475*44/12</f>
        <v>35.827577298671798</v>
      </c>
      <c r="CL136" s="23">
        <f>EXP(-LN(2)/25)*CL135+(1-EXP(-LN(2)/25))/(LN(2)/25)*Calculateur!CG136*Calculateur!CI136*VLOOKUP('Données projet'!$B$12,Paramètres!$A$1:$I$89,3,0)*0.475*44/12</f>
        <v>12.840781551770927</v>
      </c>
      <c r="CM136" s="23">
        <f>EXP(-LN(2)/2)*CM135+(1-EXP(-LN(2)/2))/(LN(2)/2)*CG136*CJ136*VLOOKUP('Données projet'!$B$12,Paramètres!$A$1:$I$89,3,0)*0.475*44/12</f>
        <v>0</v>
      </c>
      <c r="CN136" s="24">
        <f t="shared" si="120"/>
        <v>48.668358850442729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-5.6843418860808015E-14</v>
      </c>
      <c r="CU136" s="18">
        <f>CT136*VLOOKUP('Données projet'!$B$13,Paramètres!$A$1:$I$89,3,0)*VLOOKUP('Données projet'!$B$13,Paramètres!$A$1:$I$89,5,0)</f>
        <v>-5.1431925385259088E-14</v>
      </c>
      <c r="CV136" s="14" t="e">
        <f t="shared" si="149"/>
        <v>#NUM!</v>
      </c>
      <c r="CW136" s="22" t="e">
        <f t="shared" si="121"/>
        <v>#NUM!</v>
      </c>
      <c r="CX136" s="62" t="e">
        <f t="shared" si="122"/>
        <v>#NUM!</v>
      </c>
      <c r="CY136" s="62">
        <f ca="1">AVERAGE(OFFSET($CX$3,0,0,'Données projet'!$E$13+1,1))-AVERAGE(OFFSET($H$3,0,0,'Données projet'!$E$13+1,1))</f>
        <v>376.68007030857598</v>
      </c>
      <c r="CZ136" s="62">
        <f t="shared" si="150"/>
        <v>532.90758914457626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>
        <f>EXP(-LN(2)/35)*DF135+(1-EXP(-LN(2)/35))/(LN(2)/35)*DB136*DC136*VLOOKUP('Données projet'!$B$13,Paramètres!$A$1:$I$89,3,0)*0.475*44/12</f>
        <v>16.387025645472988</v>
      </c>
      <c r="DG136" s="23">
        <f>EXP(-LN(2)/25)*DG135+(1-EXP(-LN(2)/25))/(LN(2)/25)*Calculateur!DB136*Calculateur!DD136*VLOOKUP('Données projet'!$B$13,Paramètres!$A$1:$I$89,3,0)*0.475*44/12</f>
        <v>0.75341811769905409</v>
      </c>
      <c r="DH136" s="23">
        <f>EXP(-LN(2)/2)*DH135+(1-EXP(-LN(2)/2))/(LN(2)/2)*DB136*DE136*VLOOKUP('Données projet'!$B$13,Paramètres!$A$1:$I$89,3,0)*0.475*44/12</f>
        <v>0</v>
      </c>
      <c r="DI136" s="24">
        <f t="shared" si="123"/>
        <v>17.140443763172044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5.6843418860808015E-14</v>
      </c>
      <c r="DP136" s="18">
        <f>DO136*VLOOKUP('Données projet'!$B$14,Paramètres!$A$1:$I$89,3,0)*VLOOKUP('Données projet'!$B$14,Paramètres!$A$1:$I$89,5,0)</f>
        <v>5.4092197387944907E-14</v>
      </c>
      <c r="DQ136" s="14">
        <f t="shared" si="151"/>
        <v>8.7287050538073676E-13</v>
      </c>
      <c r="DR136" s="22">
        <f t="shared" si="124"/>
        <v>1.6144600406554537E-12</v>
      </c>
      <c r="DS136" s="62">
        <f t="shared" si="125"/>
        <v>284.39223168033499</v>
      </c>
      <c r="DT136" s="62">
        <f ca="1">AVERAGE(OFFSET($DS$3,0,0,'Données projet'!$E$14+1,1))-AVERAGE(OFFSET($H$3,0,0,'Données projet'!$E$14+1,1))</f>
        <v>364.63161066507769</v>
      </c>
      <c r="DU136" s="62">
        <f t="shared" si="152"/>
        <v>355.44729904860708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>
        <f>EXP(-LN(2)/35)*EA135+(1-EXP(-LN(2)/35))/(LN(2)/35)*DW136*DX136*VLOOKUP('Données projet'!$B$14,Paramètres!$A$1:$I$89,3,0)*0.475*44/12</f>
        <v>46.459383826803325</v>
      </c>
      <c r="EB136" s="23">
        <f>EXP(-LN(2)/25)*EB135+(1-EXP(-LN(2)/25))/(LN(2)/25)*Calculateur!DW136*Calculateur!DY136*VLOOKUP('Données projet'!$B$14,Paramètres!$A$1:$I$89,3,0)*0.475*44/12</f>
        <v>0</v>
      </c>
      <c r="EC136" s="23">
        <f>EXP(-LN(2)/2)*EC135+(1-EXP(-LN(2)/2))/(LN(2)/2)*DW136*DZ136*VLOOKUP('Données projet'!$B$14,Paramètres!$A$1:$I$89,3,0)*0.475*44/12</f>
        <v>0</v>
      </c>
      <c r="ED136" s="24">
        <f t="shared" si="126"/>
        <v>46.459383826803325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5.6843418860808015E-14</v>
      </c>
      <c r="EK136" s="18">
        <f>EJ136*VLOOKUP('Données projet'!$B$15,Paramètres!$A$1:$I$89,3,0)*VLOOKUP('Données projet'!$B$15,Paramètres!$A$1:$I$89,5,0)</f>
        <v>4.1677594708744434E-14</v>
      </c>
      <c r="EL136" s="14">
        <f t="shared" si="153"/>
        <v>6.9326303456159188E-13</v>
      </c>
      <c r="EM136" s="22">
        <f t="shared" si="127"/>
        <v>1.2800215959791691E-12</v>
      </c>
      <c r="EN136" s="62">
        <f t="shared" si="128"/>
        <v>284.3922316803347</v>
      </c>
      <c r="EO136" s="62">
        <f ca="1">AVERAGE(OFFSET($EN$3,0,0,'Données projet'!$E$15+1,1))-AVERAGE(OFFSET($H$3,0,0,'Données projet'!$E$15+1,1))</f>
        <v>293.59366973965774</v>
      </c>
      <c r="EP136" s="62">
        <f t="shared" si="154"/>
        <v>288.13804536120426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>
        <f>EXP(-LN(2)/35)*EV135+(1-EXP(-LN(2)/35))/(LN(2)/35)*ER136*ES136*VLOOKUP('Données projet'!$B$15,Paramètres!$A$1:$I$89,3,0)*0.475*44/12</f>
        <v>35.79657442393043</v>
      </c>
      <c r="EW136" s="23">
        <f>EXP(-LN(2)/25)*EW135+(1-EXP(-LN(2)/25))/(LN(2)/25)*Calculateur!ER136*Calculateur!ET136*VLOOKUP('Données projet'!$B$15,Paramètres!$A$1:$I$89,3,0)*0.475*44/12</f>
        <v>0</v>
      </c>
      <c r="EX136" s="23">
        <f>EXP(-LN(2)/2)*EX135+(1-EXP(-LN(2)/2))/(LN(2)/2)*ER136*EU136*VLOOKUP('Données projet'!$B$15,Paramètres!$A$1:$I$89,3,0)*0.475*44/12</f>
        <v>0</v>
      </c>
      <c r="EY136" s="24">
        <f t="shared" si="129"/>
        <v>35.79657442393043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5.6843418860808015E-14</v>
      </c>
      <c r="FF136" s="18">
        <f>FE136*VLOOKUP('Données projet'!$B$16,Paramètres!$A$1:$I$89,3,0)*VLOOKUP('Données projet'!$B$16,Paramètres!$A$1:$I$89,5,0)</f>
        <v>5.4978954722173515E-14</v>
      </c>
      <c r="FG136" s="14">
        <f t="shared" si="155"/>
        <v>8.8550225887742724E-13</v>
      </c>
      <c r="FH136" s="22">
        <f t="shared" si="130"/>
        <v>1.6380047803526383E-12</v>
      </c>
      <c r="FI136" s="62">
        <f t="shared" si="131"/>
        <v>284.39223168033504</v>
      </c>
      <c r="FJ136" s="62">
        <f ca="1">AVERAGE(OFFSET($FI$3,0,0,'Données projet'!$E$16+1,1))-AVERAGE(OFFSET($H$3,0,0,'Données projet'!$E$16+1,1))</f>
        <v>369.69145521630799</v>
      </c>
      <c r="FK136" s="62">
        <f t="shared" si="156"/>
        <v>360.24112103688719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>
        <f>EXP(-LN(2)/35)*FQ135+(1-EXP(-LN(2)/35))/(LN(2)/35)*FM136*FN136*VLOOKUP('Données projet'!$B$16,Paramètres!$A$1:$I$89,3,0)*0.475*44/12</f>
        <v>47.22101306986567</v>
      </c>
      <c r="FR136" s="23">
        <f>EXP(-LN(2)/25)*FR135+(1-EXP(-LN(2)/25))/(LN(2)/25)*Calculateur!FM136*Calculateur!FO136*VLOOKUP('Données projet'!$B$16,Paramètres!$A$1:$I$89,3,0)*0.475*44/12</f>
        <v>0</v>
      </c>
      <c r="FS136" s="23">
        <f>EXP(-LN(2)/2)*FS135+(1-EXP(-LN(2)/2))/(LN(2)/2)*FM136*FP136*VLOOKUP('Données projet'!$B$16,Paramètres!$A$1:$I$89,3,0)*0.475*44/12</f>
        <v>0</v>
      </c>
      <c r="FT136" s="24">
        <f t="shared" si="132"/>
        <v>47.22101306986567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5.6843418860808015E-14</v>
      </c>
      <c r="GA136" s="18">
        <f>FZ136*VLOOKUP('Données projet'!$B$17,Paramètres!$A$1:$I$89,3,0)*VLOOKUP('Données projet'!$B$17,Paramètres!$A$1:$I$89,5,0)</f>
        <v>6.1186256061773749E-14</v>
      </c>
      <c r="GB136" s="14">
        <f t="shared" si="157"/>
        <v>9.7328366192051127E-13</v>
      </c>
      <c r="GC136" s="22">
        <f t="shared" si="133"/>
        <v>1.8017017738191463E-12</v>
      </c>
      <c r="GD136" s="62">
        <f t="shared" si="134"/>
        <v>284.39223168033521</v>
      </c>
      <c r="GE136" s="62">
        <f ca="1">AVERAGE(OFFSET($GD$3,0,0,'Données projet'!$E$17+1,1))-AVERAGE(OFFSET($H$3,0,0,'Données projet'!$E$17+1,1))</f>
        <v>405.06394904053946</v>
      </c>
      <c r="GF136" s="62">
        <f t="shared" si="158"/>
        <v>393.75247087518198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>
        <f>EXP(-LN(2)/35)*GL135+(1-EXP(-LN(2)/35))/(LN(2)/35)*GH136*GI136*VLOOKUP('Données projet'!$B$17,Paramètres!$A$1:$I$89,3,0)*0.475*44/12</f>
        <v>52.55241777130211</v>
      </c>
      <c r="GM136" s="23">
        <f>EXP(-LN(2)/25)*GM135+(1-EXP(-LN(2)/25))/(LN(2)/25)*Calculateur!GH136*Calculateur!GJ136*VLOOKUP('Données projet'!$B$17,Paramètres!$A$1:$I$89,3,0)*0.475*44/12</f>
        <v>0</v>
      </c>
      <c r="GN136" s="23">
        <f>EXP(-LN(2)/2)*GN135+(1-EXP(-LN(2)/2))/(LN(2)/2)*GH136*GK136*VLOOKUP('Données projet'!$B$17,Paramètres!$A$1:$I$89,3,0)*0.475*44/12</f>
        <v>0</v>
      </c>
      <c r="GO136" s="23">
        <f t="shared" si="135"/>
        <v>52.55241777130211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5.6843418860808015E-14</v>
      </c>
      <c r="GV136" s="18">
        <f>GU136*VLOOKUP('Données projet'!$B$18,Paramètres!$A$1:$I$89,3,0)*VLOOKUP('Données projet'!$B$18,Paramètres!$A$1:$I$89,5,0)</f>
        <v>3.813056537183002E-14</v>
      </c>
      <c r="GW136" s="14">
        <f t="shared" si="159"/>
        <v>6.4086286045526829E-13</v>
      </c>
      <c r="GX136" s="22">
        <f t="shared" si="136"/>
        <v>1.1825802166488628E-12</v>
      </c>
      <c r="GY136" s="62">
        <f t="shared" si="137"/>
        <v>284.39223168033459</v>
      </c>
      <c r="GZ136" s="62">
        <f ca="1">AVERAGE(OFFSET($GY$3,0,0,'Données projet'!$E$18+1,1))-AVERAGE(OFFSET($H$3,0,0,'Données projet'!$E$18+1,1))</f>
        <v>273.21861937609918</v>
      </c>
      <c r="HA136" s="62">
        <f t="shared" si="160"/>
        <v>268.83004886965318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>
        <f>EXP(-LN(2)/35)*HG135+(1-EXP(-LN(2)/35))/(LN(2)/35)*HC136*HD136*VLOOKUP('Données projet'!$B$18,Paramètres!$A$1:$I$89,3,0)*0.475*44/12</f>
        <v>40.366349882304526</v>
      </c>
      <c r="HH136" s="23">
        <f>EXP(-LN(2)/25)*HH135+(1-EXP(-LN(2)/25))/(LN(2)/25)*Calculateur!HC136*Calculateur!HE136*VLOOKUP('Données projet'!$B$18,Paramètres!$A$1:$I$89,3,0)*0.475*44/12</f>
        <v>0</v>
      </c>
      <c r="HI136" s="23">
        <f>EXP(-LN(2)/2)*HI135+(1-EXP(-LN(2)/2))/(LN(2)/2)*HC136*HF136*VLOOKUP('Données projet'!$B$18,Paramètres!$A$1:$I$89,3,0)*0.475*44/12</f>
        <v>0</v>
      </c>
      <c r="HJ136" s="24">
        <f t="shared" si="138"/>
        <v>40.366349882304526</v>
      </c>
    </row>
    <row r="137" spans="1:218" s="5" customFormat="1" x14ac:dyDescent="0.4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5.7</v>
      </c>
      <c r="N137" s="14">
        <f>IF('Données projet'!$A$36&gt;35,N136+M137-V136,IF(A137&lt;'Données projet'!$A$36,$K$205^A137,IF(A137='Données projet'!$A$36,'Données projet'!$B$36,N136+M137-V136)))</f>
        <v>292.2</v>
      </c>
      <c r="O137" s="14">
        <f>N137*VLOOKUP('Données projet'!$B$9,Paramètres!$A$1:$I$89,3,0)*VLOOKUP('Données projet'!$B$9,Paramètres!$A$1:$I$89,5,0)</f>
        <v>264.38255999999996</v>
      </c>
      <c r="P137" s="14">
        <f t="shared" si="141"/>
        <v>63.655651889666466</v>
      </c>
      <c r="Q137" s="22">
        <f t="shared" si="108"/>
        <v>571.33321904116895</v>
      </c>
      <c r="R137" s="62">
        <f t="shared" si="109"/>
        <v>855.88055884587322</v>
      </c>
      <c r="S137" s="62">
        <f ca="1">AVERAGE(OFFSET($R$3,0,0,'Données projet'!$E$9+1,1))-AVERAGE(OFFSET($H$3,0,0,'Données projet'!$E$9+1,1))</f>
        <v>432.80275651765203</v>
      </c>
      <c r="T137" s="62">
        <f t="shared" si="142"/>
        <v>203.89279893419919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29.409775477631346</v>
      </c>
      <c r="AA137" s="23">
        <f>EXP(-LN(2)/25)*AA136+(1-EXP(-LN(2)/25))/(LN(2)/25)*Calculateur!V137*Calculateur!X137*VLOOKUP('Données projet'!$B$9,Paramètres!$A$1:$I$89,3,0)*0.475*44/12</f>
        <v>19.143399848136308</v>
      </c>
      <c r="AB137" s="23">
        <f>EXP(-LN(2)/2)*AB136+(1-EXP(-LN(2)/2))/(LN(2)/2)*V137*Y137*VLOOKUP('Données projet'!$B$9,Paramètres!$A$1:$I$89,3,0)*0.475*44/12</f>
        <v>0</v>
      </c>
      <c r="AC137" s="24">
        <f t="shared" si="111"/>
        <v>48.553175325767654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54.000000000000341</v>
      </c>
      <c r="AJ137" s="14">
        <f>AI137*VLOOKUP('Données projet'!$B$10,Paramètres!$A$1:$I$89,3,0)*VLOOKUP('Données projet'!$B$10,Paramètres!$A$1:$I$89,5,0)</f>
        <v>23.868000000000151</v>
      </c>
      <c r="AK137" s="14">
        <f t="shared" si="143"/>
        <v>7.6030930962115804</v>
      </c>
      <c r="AL137" s="22">
        <f t="shared" si="112"/>
        <v>54.812153809235433</v>
      </c>
      <c r="AM137" s="62">
        <f t="shared" si="113"/>
        <v>339.35949361393972</v>
      </c>
      <c r="AN137" s="62">
        <f ca="1">AVERAGE(OFFSET($AM$3,0,0,'Données projet'!$E$10+1,1))-AVERAGE(OFFSET($H$3,0,0,'Données projet'!$E$10+1,1))</f>
        <v>413.08876898406481</v>
      </c>
      <c r="AO137" s="62">
        <f t="shared" si="144"/>
        <v>520.31320932826566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63.457184593925902</v>
      </c>
      <c r="AV137" s="23">
        <f>EXP(-LN(2)/25)*AV136+(1-EXP(-LN(2)/25))/(LN(2)/25)*Calculateur!AQ137*Calculateur!AS137*VLOOKUP('Données projet'!$B$10,Paramètres!$A$1:$I$89,3,0)*0.475*44/12</f>
        <v>2.5931811683723529</v>
      </c>
      <c r="AW137" s="23">
        <f>EXP(-LN(2)/2)*AW136+(1-EXP(-LN(2)/2))/(LN(2)/2)*AQ137*AT137*VLOOKUP('Données projet'!$B$10,Paramètres!$A$1:$I$89,3,0)*0.475*44/12</f>
        <v>1.6190771618614893E-13</v>
      </c>
      <c r="AX137" s="23">
        <f t="shared" si="114"/>
        <v>66.050365762298412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54.000000000000341</v>
      </c>
      <c r="BE137" s="14">
        <f>BD137*VLOOKUP('Données projet'!$B$11,Paramètres!$A$1:$I$89,3,0)*VLOOKUP('Données projet'!$B$11,Paramètres!$A$1:$I$89,5,0)</f>
        <v>30.186000000000188</v>
      </c>
      <c r="BF137" s="14">
        <f t="shared" si="145"/>
        <v>9.3563888882899153</v>
      </c>
      <c r="BG137" s="22">
        <f t="shared" si="115"/>
        <v>68.869660647105263</v>
      </c>
      <c r="BH137" s="62">
        <f t="shared" si="116"/>
        <v>353.41700045180954</v>
      </c>
      <c r="BI137" s="62">
        <f ca="1">AVERAGE(OFFSET($BH$3,0,0,'Données projet'!$E$11+1,1))-AVERAGE(OFFSET($H$3,0,0,'Données projet'!$E$11+1,1))</f>
        <v>507.66185230065889</v>
      </c>
      <c r="BJ137" s="62">
        <f t="shared" si="146"/>
        <v>640.14375617778342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80.254674633494474</v>
      </c>
      <c r="BQ137" s="23">
        <f>EXP(-LN(2)/25)*BQ136+(1-EXP(-LN(2)/25))/(LN(2)/25)*Calculateur!BL137*Calculateur!BN137*VLOOKUP('Données projet'!$B$11,Paramètres!$A$1:$I$89,3,0)*0.475*44/12</f>
        <v>3.2796114776473906</v>
      </c>
      <c r="BR137" s="23">
        <f>EXP(-LN(2)/2)*BR136+(1-EXP(-LN(2)/2))/(LN(2)/2)*BL137*BO137*VLOOKUP('Données projet'!$B$11,Paramètres!$A$1:$I$89,3,0)*0.475*44/12</f>
        <v>2.0476564105895319E-13</v>
      </c>
      <c r="BS137" s="24">
        <f t="shared" si="117"/>
        <v>83.534286111142066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417.04879970000007</v>
      </c>
      <c r="BZ137" s="14">
        <f>BY137*VLOOKUP('Données projet'!$B$12,Paramètres!$A$1:$I$89,3,0)*VLOOKUP('Données projet'!$B$12,Paramètres!$A$1:$I$89,5,0)</f>
        <v>195.17883825960004</v>
      </c>
      <c r="CA137" s="14">
        <f t="shared" si="147"/>
        <v>48.683122291673484</v>
      </c>
      <c r="CB137" s="22">
        <f t="shared" si="118"/>
        <v>424.72624796013469</v>
      </c>
      <c r="CC137" s="62">
        <f t="shared" si="119"/>
        <v>709.27358776483902</v>
      </c>
      <c r="CD137" s="62">
        <f ca="1">AVERAGE(OFFSET($CC$3,0,0,'Données projet'!$E$12+1,1))-AVERAGE(OFFSET($H$3,0,0,'Données projet'!$E$12+1,1))</f>
        <v>289.21044803824958</v>
      </c>
      <c r="CE137" s="62">
        <f t="shared" si="148"/>
        <v>196.11836398299445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>
        <f>EXP(-LN(2)/35)*CK136+(1-EXP(-LN(2)/35))/(LN(2)/35)*CG137*CH137*VLOOKUP('Données projet'!$B$12,Paramètres!$A$1:$I$89,3,0)*0.475*44/12</f>
        <v>35.125020360509225</v>
      </c>
      <c r="CL137" s="23">
        <f>EXP(-LN(2)/25)*CL136+(1-EXP(-LN(2)/25))/(LN(2)/25)*Calculateur!CG137*Calculateur!CI137*VLOOKUP('Données projet'!$B$12,Paramètres!$A$1:$I$89,3,0)*0.475*44/12</f>
        <v>12.489649704970397</v>
      </c>
      <c r="CM137" s="23">
        <f>EXP(-LN(2)/2)*CM136+(1-EXP(-LN(2)/2))/(LN(2)/2)*CG137*CJ137*VLOOKUP('Données projet'!$B$12,Paramètres!$A$1:$I$89,3,0)*0.475*44/12</f>
        <v>0</v>
      </c>
      <c r="CN137" s="24">
        <f t="shared" si="120"/>
        <v>47.614670065479622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-5.6843418860808015E-14</v>
      </c>
      <c r="CU137" s="18">
        <f>CT137*VLOOKUP('Données projet'!$B$13,Paramètres!$A$1:$I$89,3,0)*VLOOKUP('Données projet'!$B$13,Paramètres!$A$1:$I$89,5,0)</f>
        <v>-5.1431925385259088E-14</v>
      </c>
      <c r="CV137" s="14" t="e">
        <f t="shared" si="149"/>
        <v>#NUM!</v>
      </c>
      <c r="CW137" s="22" t="e">
        <f t="shared" si="121"/>
        <v>#NUM!</v>
      </c>
      <c r="CX137" s="62" t="e">
        <f t="shared" si="122"/>
        <v>#NUM!</v>
      </c>
      <c r="CY137" s="62">
        <f ca="1">AVERAGE(OFFSET($CX$3,0,0,'Données projet'!$E$13+1,1))-AVERAGE(OFFSET($H$3,0,0,'Données projet'!$E$13+1,1))</f>
        <v>376.68007030857598</v>
      </c>
      <c r="CZ137" s="62">
        <f t="shared" si="150"/>
        <v>532.90758914457626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>
        <f>EXP(-LN(2)/35)*DF136+(1-EXP(-LN(2)/35))/(LN(2)/35)*DB137*DC137*VLOOKUP('Données projet'!$B$13,Paramètres!$A$1:$I$89,3,0)*0.475*44/12</f>
        <v>16.065686067663972</v>
      </c>
      <c r="DG137" s="23">
        <f>EXP(-LN(2)/25)*DG136+(1-EXP(-LN(2)/25))/(LN(2)/25)*Calculateur!DB137*Calculateur!DD137*VLOOKUP('Données projet'!$B$13,Paramètres!$A$1:$I$89,3,0)*0.475*44/12</f>
        <v>0.73281585965003659</v>
      </c>
      <c r="DH137" s="23">
        <f>EXP(-LN(2)/2)*DH136+(1-EXP(-LN(2)/2))/(LN(2)/2)*DB137*DE137*VLOOKUP('Données projet'!$B$13,Paramètres!$A$1:$I$89,3,0)*0.475*44/12</f>
        <v>0</v>
      </c>
      <c r="DI137" s="24">
        <f t="shared" si="123"/>
        <v>16.798501927314007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5.6843418860808015E-14</v>
      </c>
      <c r="DP137" s="18">
        <f>DO137*VLOOKUP('Données projet'!$B$14,Paramètres!$A$1:$I$89,3,0)*VLOOKUP('Données projet'!$B$14,Paramètres!$A$1:$I$89,5,0)</f>
        <v>5.4092197387944907E-14</v>
      </c>
      <c r="DQ137" s="14">
        <f t="shared" si="151"/>
        <v>8.7287050538073676E-13</v>
      </c>
      <c r="DR137" s="22">
        <f t="shared" si="124"/>
        <v>1.6144600406554537E-12</v>
      </c>
      <c r="DS137" s="62">
        <f t="shared" si="125"/>
        <v>284.54733980470587</v>
      </c>
      <c r="DT137" s="62">
        <f ca="1">AVERAGE(OFFSET($DS$3,0,0,'Données projet'!$E$14+1,1))-AVERAGE(OFFSET($H$3,0,0,'Données projet'!$E$14+1,1))</f>
        <v>364.63161066507769</v>
      </c>
      <c r="DU137" s="62">
        <f t="shared" si="152"/>
        <v>355.44729904860708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>
        <f>EXP(-LN(2)/35)*EA136+(1-EXP(-LN(2)/35))/(LN(2)/35)*DW137*DX137*VLOOKUP('Données projet'!$B$14,Paramètres!$A$1:$I$89,3,0)*0.475*44/12</f>
        <v>45.548343647385757</v>
      </c>
      <c r="EB137" s="23">
        <f>EXP(-LN(2)/25)*EB136+(1-EXP(-LN(2)/25))/(LN(2)/25)*Calculateur!DW137*Calculateur!DY137*VLOOKUP('Données projet'!$B$14,Paramètres!$A$1:$I$89,3,0)*0.475*44/12</f>
        <v>0</v>
      </c>
      <c r="EC137" s="23">
        <f>EXP(-LN(2)/2)*EC136+(1-EXP(-LN(2)/2))/(LN(2)/2)*DW137*DZ137*VLOOKUP('Données projet'!$B$14,Paramètres!$A$1:$I$89,3,0)*0.475*44/12</f>
        <v>0</v>
      </c>
      <c r="ED137" s="24">
        <f t="shared" si="126"/>
        <v>45.548343647385757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5.6843418860808015E-14</v>
      </c>
      <c r="EK137" s="18">
        <f>EJ137*VLOOKUP('Données projet'!$B$15,Paramètres!$A$1:$I$89,3,0)*VLOOKUP('Données projet'!$B$15,Paramètres!$A$1:$I$89,5,0)</f>
        <v>4.1677594708744434E-14</v>
      </c>
      <c r="EL137" s="14">
        <f t="shared" si="153"/>
        <v>6.9326303456159188E-13</v>
      </c>
      <c r="EM137" s="22">
        <f t="shared" si="127"/>
        <v>1.2800215959791691E-12</v>
      </c>
      <c r="EN137" s="62">
        <f t="shared" si="128"/>
        <v>284.54733980470559</v>
      </c>
      <c r="EO137" s="62">
        <f ca="1">AVERAGE(OFFSET($EN$3,0,0,'Données projet'!$E$15+1,1))-AVERAGE(OFFSET($H$3,0,0,'Données projet'!$E$15+1,1))</f>
        <v>293.59366973965774</v>
      </c>
      <c r="EP137" s="62">
        <f t="shared" si="154"/>
        <v>288.13804536120426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>
        <f>EXP(-LN(2)/35)*EV136+(1-EXP(-LN(2)/35))/(LN(2)/35)*ER137*ES137*VLOOKUP('Données projet'!$B$15,Paramètres!$A$1:$I$89,3,0)*0.475*44/12</f>
        <v>35.094625433231649</v>
      </c>
      <c r="EW137" s="23">
        <f>EXP(-LN(2)/25)*EW136+(1-EXP(-LN(2)/25))/(LN(2)/25)*Calculateur!ER137*Calculateur!ET137*VLOOKUP('Données projet'!$B$15,Paramètres!$A$1:$I$89,3,0)*0.475*44/12</f>
        <v>0</v>
      </c>
      <c r="EX137" s="23">
        <f>EXP(-LN(2)/2)*EX136+(1-EXP(-LN(2)/2))/(LN(2)/2)*ER137*EU137*VLOOKUP('Données projet'!$B$15,Paramètres!$A$1:$I$89,3,0)*0.475*44/12</f>
        <v>0</v>
      </c>
      <c r="EY137" s="24">
        <f t="shared" si="129"/>
        <v>35.094625433231649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5.6843418860808015E-14</v>
      </c>
      <c r="FF137" s="18">
        <f>FE137*VLOOKUP('Données projet'!$B$16,Paramètres!$A$1:$I$89,3,0)*VLOOKUP('Données projet'!$B$16,Paramètres!$A$1:$I$89,5,0)</f>
        <v>5.4978954722173515E-14</v>
      </c>
      <c r="FG137" s="14">
        <f t="shared" si="155"/>
        <v>8.8550225887742724E-13</v>
      </c>
      <c r="FH137" s="22">
        <f t="shared" si="130"/>
        <v>1.6380047803526383E-12</v>
      </c>
      <c r="FI137" s="62">
        <f t="shared" si="131"/>
        <v>284.54733980470593</v>
      </c>
      <c r="FJ137" s="62">
        <f ca="1">AVERAGE(OFFSET($FI$3,0,0,'Données projet'!$E$16+1,1))-AVERAGE(OFFSET($H$3,0,0,'Données projet'!$E$16+1,1))</f>
        <v>369.69145521630799</v>
      </c>
      <c r="FK137" s="62">
        <f t="shared" si="156"/>
        <v>360.24112103688719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>
        <f>EXP(-LN(2)/35)*FQ136+(1-EXP(-LN(2)/35))/(LN(2)/35)*FM137*FN137*VLOOKUP('Données projet'!$B$16,Paramètres!$A$1:$I$89,3,0)*0.475*44/12</f>
        <v>46.295037805539621</v>
      </c>
      <c r="FR137" s="23">
        <f>EXP(-LN(2)/25)*FR136+(1-EXP(-LN(2)/25))/(LN(2)/25)*Calculateur!FM137*Calculateur!FO137*VLOOKUP('Données projet'!$B$16,Paramètres!$A$1:$I$89,3,0)*0.475*44/12</f>
        <v>0</v>
      </c>
      <c r="FS137" s="23">
        <f>EXP(-LN(2)/2)*FS136+(1-EXP(-LN(2)/2))/(LN(2)/2)*FM137*FP137*VLOOKUP('Données projet'!$B$16,Paramètres!$A$1:$I$89,3,0)*0.475*44/12</f>
        <v>0</v>
      </c>
      <c r="FT137" s="24">
        <f t="shared" si="132"/>
        <v>46.295037805539621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5.6843418860808015E-14</v>
      </c>
      <c r="GA137" s="18">
        <f>FZ137*VLOOKUP('Données projet'!$B$17,Paramètres!$A$1:$I$89,3,0)*VLOOKUP('Données projet'!$B$17,Paramètres!$A$1:$I$89,5,0)</f>
        <v>6.1186256061773749E-14</v>
      </c>
      <c r="GB137" s="14">
        <f t="shared" si="157"/>
        <v>9.7328366192051127E-13</v>
      </c>
      <c r="GC137" s="22">
        <f t="shared" si="133"/>
        <v>1.8017017738191463E-12</v>
      </c>
      <c r="GD137" s="62">
        <f t="shared" si="134"/>
        <v>284.5473398047061</v>
      </c>
      <c r="GE137" s="62">
        <f ca="1">AVERAGE(OFFSET($GD$3,0,0,'Données projet'!$E$17+1,1))-AVERAGE(OFFSET($H$3,0,0,'Données projet'!$E$17+1,1))</f>
        <v>405.06394904053946</v>
      </c>
      <c r="GF137" s="62">
        <f t="shared" si="158"/>
        <v>393.75247087518198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>
        <f>EXP(-LN(2)/35)*GL136+(1-EXP(-LN(2)/35))/(LN(2)/35)*GH137*GI137*VLOOKUP('Données projet'!$B$17,Paramètres!$A$1:$I$89,3,0)*0.475*44/12</f>
        <v>51.521896912616668</v>
      </c>
      <c r="GM137" s="23">
        <f>EXP(-LN(2)/25)*GM136+(1-EXP(-LN(2)/25))/(LN(2)/25)*Calculateur!GH137*Calculateur!GJ137*VLOOKUP('Données projet'!$B$17,Paramètres!$A$1:$I$89,3,0)*0.475*44/12</f>
        <v>0</v>
      </c>
      <c r="GN137" s="23">
        <f>EXP(-LN(2)/2)*GN136+(1-EXP(-LN(2)/2))/(LN(2)/2)*GH137*GK137*VLOOKUP('Données projet'!$B$17,Paramètres!$A$1:$I$89,3,0)*0.475*44/12</f>
        <v>0</v>
      </c>
      <c r="GO137" s="23">
        <f t="shared" si="135"/>
        <v>51.521896912616668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5.6843418860808015E-14</v>
      </c>
      <c r="GV137" s="18">
        <f>GU137*VLOOKUP('Données projet'!$B$18,Paramètres!$A$1:$I$89,3,0)*VLOOKUP('Données projet'!$B$18,Paramètres!$A$1:$I$89,5,0)</f>
        <v>3.813056537183002E-14</v>
      </c>
      <c r="GW137" s="14">
        <f t="shared" si="159"/>
        <v>6.4086286045526829E-13</v>
      </c>
      <c r="GX137" s="22">
        <f t="shared" si="136"/>
        <v>1.1825802166488628E-12</v>
      </c>
      <c r="GY137" s="62">
        <f t="shared" si="137"/>
        <v>284.54733980470547</v>
      </c>
      <c r="GZ137" s="62">
        <f ca="1">AVERAGE(OFFSET($GY$3,0,0,'Données projet'!$E$18+1,1))-AVERAGE(OFFSET($H$3,0,0,'Données projet'!$E$18+1,1))</f>
        <v>273.21861937609918</v>
      </c>
      <c r="HA137" s="62">
        <f t="shared" si="160"/>
        <v>268.83004886965318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>
        <f>EXP(-LN(2)/35)*HG136+(1-EXP(-LN(2)/35))/(LN(2)/35)*HC137*HD137*VLOOKUP('Données projet'!$B$18,Paramètres!$A$1:$I$89,3,0)*0.475*44/12</f>
        <v>39.574790382154838</v>
      </c>
      <c r="HH137" s="23">
        <f>EXP(-LN(2)/25)*HH136+(1-EXP(-LN(2)/25))/(LN(2)/25)*Calculateur!HC137*Calculateur!HE137*VLOOKUP('Données projet'!$B$18,Paramètres!$A$1:$I$89,3,0)*0.475*44/12</f>
        <v>0</v>
      </c>
      <c r="HI137" s="23">
        <f>EXP(-LN(2)/2)*HI136+(1-EXP(-LN(2)/2))/(LN(2)/2)*HC137*HF137*VLOOKUP('Données projet'!$B$18,Paramètres!$A$1:$I$89,3,0)*0.475*44/12</f>
        <v>0</v>
      </c>
      <c r="HJ137" s="24">
        <f t="shared" si="138"/>
        <v>39.574790382154838</v>
      </c>
    </row>
    <row r="138" spans="1:218" s="5" customFormat="1" x14ac:dyDescent="0.4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5.7</v>
      </c>
      <c r="N138" s="14">
        <f>IF('Données projet'!$A$36&gt;35,N137+M138-V137,IF(A138&lt;'Données projet'!$A$36,$K$205^A138,IF(A138='Données projet'!$A$36,'Données projet'!$B$36,N137+M138-V137)))</f>
        <v>297.89999999999998</v>
      </c>
      <c r="O138" s="14">
        <f>N138*VLOOKUP('Données projet'!$B$9,Paramètres!$A$1:$I$89,3,0)*VLOOKUP('Données projet'!$B$9,Paramètres!$A$1:$I$89,5,0)</f>
        <v>269.53992</v>
      </c>
      <c r="P138" s="14">
        <f t="shared" si="141"/>
        <v>64.751619010762369</v>
      </c>
      <c r="Q138" s="22">
        <f t="shared" si="108"/>
        <v>582.22443044374438</v>
      </c>
      <c r="R138" s="62">
        <f t="shared" si="109"/>
        <v>866.92418759363159</v>
      </c>
      <c r="S138" s="62">
        <f ca="1">AVERAGE(OFFSET($R$3,0,0,'Données projet'!$E$9+1,1))-AVERAGE(OFFSET($H$3,0,0,'Données projet'!$E$9+1,1))</f>
        <v>432.80275651765203</v>
      </c>
      <c r="T138" s="62">
        <f t="shared" si="142"/>
        <v>203.89279893419919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28.833067718706786</v>
      </c>
      <c r="AA138" s="23">
        <f>EXP(-LN(2)/25)*AA137+(1-EXP(-LN(2)/25))/(LN(2)/25)*Calculateur!V138*Calculateur!X138*VLOOKUP('Données projet'!$B$9,Paramètres!$A$1:$I$89,3,0)*0.475*44/12</f>
        <v>18.619922572581377</v>
      </c>
      <c r="AB138" s="23">
        <f>EXP(-LN(2)/2)*AB137+(1-EXP(-LN(2)/2))/(LN(2)/2)*V138*Y138*VLOOKUP('Données projet'!$B$9,Paramètres!$A$1:$I$89,3,0)*0.475*44/12</f>
        <v>0</v>
      </c>
      <c r="AC138" s="24">
        <f t="shared" si="111"/>
        <v>47.45299029128816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54.000000000000341</v>
      </c>
      <c r="AJ138" s="14">
        <f>AI138*VLOOKUP('Données projet'!$B$10,Paramètres!$A$1:$I$89,3,0)*VLOOKUP('Données projet'!$B$10,Paramètres!$A$1:$I$89,5,0)</f>
        <v>23.868000000000151</v>
      </c>
      <c r="AK138" s="14">
        <f t="shared" si="143"/>
        <v>7.6030930962115804</v>
      </c>
      <c r="AL138" s="22">
        <f t="shared" si="112"/>
        <v>54.812153809235433</v>
      </c>
      <c r="AM138" s="62">
        <f t="shared" si="113"/>
        <v>339.51191095912259</v>
      </c>
      <c r="AN138" s="62">
        <f ca="1">AVERAGE(OFFSET($AM$3,0,0,'Données projet'!$E$10+1,1))-AVERAGE(OFFSET($H$3,0,0,'Données projet'!$E$10+1,1))</f>
        <v>413.08876898406481</v>
      </c>
      <c r="AO138" s="62">
        <f t="shared" si="144"/>
        <v>520.31320932826566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62.212827909099808</v>
      </c>
      <c r="AV138" s="23">
        <f>EXP(-LN(2)/25)*AV137+(1-EXP(-LN(2)/25))/(LN(2)/25)*Calculateur!AQ138*Calculateur!AS138*VLOOKUP('Données projet'!$B$10,Paramètres!$A$1:$I$89,3,0)*0.475*44/12</f>
        <v>2.5222704929537403</v>
      </c>
      <c r="AW138" s="23">
        <f>EXP(-LN(2)/2)*AW137+(1-EXP(-LN(2)/2))/(LN(2)/2)*AQ138*AT138*VLOOKUP('Données projet'!$B$10,Paramètres!$A$1:$I$89,3,0)*0.475*44/12</f>
        <v>1.1448604404165285E-13</v>
      </c>
      <c r="AX138" s="23">
        <f t="shared" si="114"/>
        <v>64.735098402053666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54.000000000000341</v>
      </c>
      <c r="BE138" s="14">
        <f>BD138*VLOOKUP('Données projet'!$B$11,Paramètres!$A$1:$I$89,3,0)*VLOOKUP('Données projet'!$B$11,Paramètres!$A$1:$I$89,5,0)</f>
        <v>30.186000000000188</v>
      </c>
      <c r="BF138" s="14">
        <f t="shared" si="145"/>
        <v>9.3563888882899153</v>
      </c>
      <c r="BG138" s="22">
        <f t="shared" si="115"/>
        <v>68.869660647105263</v>
      </c>
      <c r="BH138" s="62">
        <f t="shared" si="116"/>
        <v>353.56941779699241</v>
      </c>
      <c r="BI138" s="62">
        <f ca="1">AVERAGE(OFFSET($BH$3,0,0,'Données projet'!$E$11+1,1))-AVERAGE(OFFSET($H$3,0,0,'Données projet'!$E$11+1,1))</f>
        <v>507.66185230065889</v>
      </c>
      <c r="BJ138" s="62">
        <f t="shared" si="146"/>
        <v>640.14375617778342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78.680929414449707</v>
      </c>
      <c r="BQ138" s="23">
        <f>EXP(-LN(2)/25)*BQ137+(1-EXP(-LN(2)/25))/(LN(2)/25)*Calculateur!BL138*Calculateur!BN138*VLOOKUP('Données projet'!$B$11,Paramètres!$A$1:$I$89,3,0)*0.475*44/12</f>
        <v>3.1899303293238508</v>
      </c>
      <c r="BR138" s="23">
        <f>EXP(-LN(2)/2)*BR137+(1-EXP(-LN(2)/2))/(LN(2)/2)*BL138*BO138*VLOOKUP('Données projet'!$B$11,Paramètres!$A$1:$I$89,3,0)*0.475*44/12</f>
        <v>1.4479117334679635E-13</v>
      </c>
      <c r="BS138" s="24">
        <f t="shared" si="117"/>
        <v>81.870859743773707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417.04879970000007</v>
      </c>
      <c r="BZ138" s="14">
        <f>BY138*VLOOKUP('Données projet'!$B$12,Paramètres!$A$1:$I$89,3,0)*VLOOKUP('Données projet'!$B$12,Paramètres!$A$1:$I$89,5,0)</f>
        <v>195.17883825960004</v>
      </c>
      <c r="CA138" s="14">
        <f t="shared" si="147"/>
        <v>48.683122291673484</v>
      </c>
      <c r="CB138" s="22">
        <f t="shared" si="118"/>
        <v>424.72624796013469</v>
      </c>
      <c r="CC138" s="62">
        <f t="shared" si="119"/>
        <v>709.42600511002183</v>
      </c>
      <c r="CD138" s="62">
        <f ca="1">AVERAGE(OFFSET($CC$3,0,0,'Données projet'!$E$12+1,1))-AVERAGE(OFFSET($H$3,0,0,'Données projet'!$E$12+1,1))</f>
        <v>289.21044803824958</v>
      </c>
      <c r="CE138" s="62">
        <f t="shared" si="148"/>
        <v>196.11836398299445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>
        <f>EXP(-LN(2)/35)*CK137+(1-EXP(-LN(2)/35))/(LN(2)/35)*CG138*CH138*VLOOKUP('Données projet'!$B$12,Paramètres!$A$1:$I$89,3,0)*0.475*44/12</f>
        <v>34.436240135386598</v>
      </c>
      <c r="CL138" s="23">
        <f>EXP(-LN(2)/25)*CL137+(1-EXP(-LN(2)/25))/(LN(2)/25)*Calculateur!CG138*Calculateur!CI138*VLOOKUP('Données projet'!$B$12,Paramètres!$A$1:$I$89,3,0)*0.475*44/12</f>
        <v>12.148119576985849</v>
      </c>
      <c r="CM138" s="23">
        <f>EXP(-LN(2)/2)*CM137+(1-EXP(-LN(2)/2))/(LN(2)/2)*CG138*CJ138*VLOOKUP('Données projet'!$B$12,Paramètres!$A$1:$I$89,3,0)*0.475*44/12</f>
        <v>0</v>
      </c>
      <c r="CN138" s="24">
        <f t="shared" si="120"/>
        <v>46.584359712372446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-5.6843418860808015E-14</v>
      </c>
      <c r="CU138" s="18">
        <f>CT138*VLOOKUP('Données projet'!$B$13,Paramètres!$A$1:$I$89,3,0)*VLOOKUP('Données projet'!$B$13,Paramètres!$A$1:$I$89,5,0)</f>
        <v>-5.1431925385259088E-14</v>
      </c>
      <c r="CV138" s="14" t="e">
        <f t="shared" si="149"/>
        <v>#NUM!</v>
      </c>
      <c r="CW138" s="22" t="e">
        <f t="shared" si="121"/>
        <v>#NUM!</v>
      </c>
      <c r="CX138" s="62" t="e">
        <f t="shared" si="122"/>
        <v>#NUM!</v>
      </c>
      <c r="CY138" s="62">
        <f ca="1">AVERAGE(OFFSET($CX$3,0,0,'Données projet'!$E$13+1,1))-AVERAGE(OFFSET($H$3,0,0,'Données projet'!$E$13+1,1))</f>
        <v>376.68007030857598</v>
      </c>
      <c r="CZ138" s="62">
        <f t="shared" si="150"/>
        <v>532.90758914457626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>
        <f>EXP(-LN(2)/35)*DF137+(1-EXP(-LN(2)/35))/(LN(2)/35)*DB138*DC138*VLOOKUP('Données projet'!$B$13,Paramètres!$A$1:$I$89,3,0)*0.475*44/12</f>
        <v>15.750647762978002</v>
      </c>
      <c r="DG138" s="23">
        <f>EXP(-LN(2)/25)*DG137+(1-EXP(-LN(2)/25))/(LN(2)/25)*Calculateur!DB138*Calculateur!DD138*VLOOKUP('Données projet'!$B$13,Paramètres!$A$1:$I$89,3,0)*0.475*44/12</f>
        <v>0.7127769714307951</v>
      </c>
      <c r="DH138" s="23">
        <f>EXP(-LN(2)/2)*DH137+(1-EXP(-LN(2)/2))/(LN(2)/2)*DB138*DE138*VLOOKUP('Données projet'!$B$13,Paramètres!$A$1:$I$89,3,0)*0.475*44/12</f>
        <v>0</v>
      </c>
      <c r="DI138" s="24">
        <f t="shared" si="123"/>
        <v>16.463424734408797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5.6843418860808015E-14</v>
      </c>
      <c r="DP138" s="18">
        <f>DO138*VLOOKUP('Données projet'!$B$14,Paramètres!$A$1:$I$89,3,0)*VLOOKUP('Données projet'!$B$14,Paramètres!$A$1:$I$89,5,0)</f>
        <v>5.4092197387944907E-14</v>
      </c>
      <c r="DQ138" s="14">
        <f t="shared" si="151"/>
        <v>8.7287050538073676E-13</v>
      </c>
      <c r="DR138" s="22">
        <f t="shared" si="124"/>
        <v>1.6144600406554537E-12</v>
      </c>
      <c r="DS138" s="62">
        <f t="shared" si="125"/>
        <v>284.69975714988874</v>
      </c>
      <c r="DT138" s="62">
        <f ca="1">AVERAGE(OFFSET($DS$3,0,0,'Données projet'!$E$14+1,1))-AVERAGE(OFFSET($H$3,0,0,'Données projet'!$E$14+1,1))</f>
        <v>364.63161066507769</v>
      </c>
      <c r="DU138" s="62">
        <f t="shared" si="152"/>
        <v>355.44729904860708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>
        <f>EXP(-LN(2)/35)*EA137+(1-EXP(-LN(2)/35))/(LN(2)/35)*DW138*DX138*VLOOKUP('Données projet'!$B$14,Paramètres!$A$1:$I$89,3,0)*0.475*44/12</f>
        <v>44.655168410206926</v>
      </c>
      <c r="EB138" s="23">
        <f>EXP(-LN(2)/25)*EB137+(1-EXP(-LN(2)/25))/(LN(2)/25)*Calculateur!DW138*Calculateur!DY138*VLOOKUP('Données projet'!$B$14,Paramètres!$A$1:$I$89,3,0)*0.475*44/12</f>
        <v>0</v>
      </c>
      <c r="EC138" s="23">
        <f>EXP(-LN(2)/2)*EC137+(1-EXP(-LN(2)/2))/(LN(2)/2)*DW138*DZ138*VLOOKUP('Données projet'!$B$14,Paramètres!$A$1:$I$89,3,0)*0.475*44/12</f>
        <v>0</v>
      </c>
      <c r="ED138" s="24">
        <f t="shared" si="126"/>
        <v>44.655168410206926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5.6843418860808015E-14</v>
      </c>
      <c r="EK138" s="18">
        <f>EJ138*VLOOKUP('Données projet'!$B$15,Paramètres!$A$1:$I$89,3,0)*VLOOKUP('Données projet'!$B$15,Paramètres!$A$1:$I$89,5,0)</f>
        <v>4.1677594708744434E-14</v>
      </c>
      <c r="EL138" s="14">
        <f t="shared" si="153"/>
        <v>6.9326303456159188E-13</v>
      </c>
      <c r="EM138" s="22">
        <f t="shared" si="127"/>
        <v>1.2800215959791691E-12</v>
      </c>
      <c r="EN138" s="62">
        <f t="shared" si="128"/>
        <v>284.69975714988846</v>
      </c>
      <c r="EO138" s="62">
        <f ca="1">AVERAGE(OFFSET($EN$3,0,0,'Données projet'!$E$15+1,1))-AVERAGE(OFFSET($H$3,0,0,'Données projet'!$E$15+1,1))</f>
        <v>293.59366973965774</v>
      </c>
      <c r="EP138" s="62">
        <f t="shared" si="154"/>
        <v>288.13804536120426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>
        <f>EXP(-LN(2)/35)*EV137+(1-EXP(-LN(2)/35))/(LN(2)/35)*ER138*ES138*VLOOKUP('Données projet'!$B$15,Paramètres!$A$1:$I$89,3,0)*0.475*44/12</f>
        <v>34.406441234093862</v>
      </c>
      <c r="EW138" s="23">
        <f>EXP(-LN(2)/25)*EW137+(1-EXP(-LN(2)/25))/(LN(2)/25)*Calculateur!ER138*Calculateur!ET138*VLOOKUP('Données projet'!$B$15,Paramètres!$A$1:$I$89,3,0)*0.475*44/12</f>
        <v>0</v>
      </c>
      <c r="EX138" s="23">
        <f>EXP(-LN(2)/2)*EX137+(1-EXP(-LN(2)/2))/(LN(2)/2)*ER138*EU138*VLOOKUP('Données projet'!$B$15,Paramètres!$A$1:$I$89,3,0)*0.475*44/12</f>
        <v>0</v>
      </c>
      <c r="EY138" s="24">
        <f t="shared" si="129"/>
        <v>34.406441234093862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5.6843418860808015E-14</v>
      </c>
      <c r="FF138" s="18">
        <f>FE138*VLOOKUP('Données projet'!$B$16,Paramètres!$A$1:$I$89,3,0)*VLOOKUP('Données projet'!$B$16,Paramètres!$A$1:$I$89,5,0)</f>
        <v>5.4978954722173515E-14</v>
      </c>
      <c r="FG138" s="14">
        <f t="shared" si="155"/>
        <v>8.8550225887742724E-13</v>
      </c>
      <c r="FH138" s="22">
        <f t="shared" si="130"/>
        <v>1.6380047803526383E-12</v>
      </c>
      <c r="FI138" s="62">
        <f t="shared" si="131"/>
        <v>284.6997571498888</v>
      </c>
      <c r="FJ138" s="62">
        <f ca="1">AVERAGE(OFFSET($FI$3,0,0,'Données projet'!$E$16+1,1))-AVERAGE(OFFSET($H$3,0,0,'Données projet'!$E$16+1,1))</f>
        <v>369.69145521630799</v>
      </c>
      <c r="FK138" s="62">
        <f t="shared" si="156"/>
        <v>360.24112103688719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>
        <f>EXP(-LN(2)/35)*FQ137+(1-EXP(-LN(2)/35))/(LN(2)/35)*FM138*FN138*VLOOKUP('Données projet'!$B$16,Paramètres!$A$1:$I$89,3,0)*0.475*44/12</f>
        <v>45.387220351357861</v>
      </c>
      <c r="FR138" s="23">
        <f>EXP(-LN(2)/25)*FR137+(1-EXP(-LN(2)/25))/(LN(2)/25)*Calculateur!FM138*Calculateur!FO138*VLOOKUP('Données projet'!$B$16,Paramètres!$A$1:$I$89,3,0)*0.475*44/12</f>
        <v>0</v>
      </c>
      <c r="FS138" s="23">
        <f>EXP(-LN(2)/2)*FS137+(1-EXP(-LN(2)/2))/(LN(2)/2)*FM138*FP138*VLOOKUP('Données projet'!$B$16,Paramètres!$A$1:$I$89,3,0)*0.475*44/12</f>
        <v>0</v>
      </c>
      <c r="FT138" s="24">
        <f t="shared" si="132"/>
        <v>45.387220351357861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5.6843418860808015E-14</v>
      </c>
      <c r="GA138" s="18">
        <f>FZ138*VLOOKUP('Données projet'!$B$17,Paramètres!$A$1:$I$89,3,0)*VLOOKUP('Données projet'!$B$17,Paramètres!$A$1:$I$89,5,0)</f>
        <v>6.1186256061773749E-14</v>
      </c>
      <c r="GB138" s="14">
        <f t="shared" si="157"/>
        <v>9.7328366192051127E-13</v>
      </c>
      <c r="GC138" s="22">
        <f t="shared" si="133"/>
        <v>1.8017017738191463E-12</v>
      </c>
      <c r="GD138" s="62">
        <f t="shared" si="134"/>
        <v>284.69975714988897</v>
      </c>
      <c r="GE138" s="62">
        <f ca="1">AVERAGE(OFFSET($GD$3,0,0,'Données projet'!$E$17+1,1))-AVERAGE(OFFSET($H$3,0,0,'Données projet'!$E$17+1,1))</f>
        <v>405.06394904053946</v>
      </c>
      <c r="GF138" s="62">
        <f t="shared" si="158"/>
        <v>393.75247087518198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>
        <f>EXP(-LN(2)/35)*GL137+(1-EXP(-LN(2)/35))/(LN(2)/35)*GH138*GI138*VLOOKUP('Données projet'!$B$17,Paramètres!$A$1:$I$89,3,0)*0.475*44/12</f>
        <v>50.511583939414386</v>
      </c>
      <c r="GM138" s="23">
        <f>EXP(-LN(2)/25)*GM137+(1-EXP(-LN(2)/25))/(LN(2)/25)*Calculateur!GH138*Calculateur!GJ138*VLOOKUP('Données projet'!$B$17,Paramètres!$A$1:$I$89,3,0)*0.475*44/12</f>
        <v>0</v>
      </c>
      <c r="GN138" s="23">
        <f>EXP(-LN(2)/2)*GN137+(1-EXP(-LN(2)/2))/(LN(2)/2)*GH138*GK138*VLOOKUP('Données projet'!$B$17,Paramètres!$A$1:$I$89,3,0)*0.475*44/12</f>
        <v>0</v>
      </c>
      <c r="GO138" s="23">
        <f t="shared" si="135"/>
        <v>50.511583939414386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5.6843418860808015E-14</v>
      </c>
      <c r="GV138" s="18">
        <f>GU138*VLOOKUP('Données projet'!$B$18,Paramètres!$A$1:$I$89,3,0)*VLOOKUP('Données projet'!$B$18,Paramètres!$A$1:$I$89,5,0)</f>
        <v>3.813056537183002E-14</v>
      </c>
      <c r="GW138" s="14">
        <f t="shared" si="159"/>
        <v>6.4086286045526829E-13</v>
      </c>
      <c r="GX138" s="22">
        <f t="shared" si="136"/>
        <v>1.1825802166488628E-12</v>
      </c>
      <c r="GY138" s="62">
        <f t="shared" si="137"/>
        <v>284.69975714988834</v>
      </c>
      <c r="GZ138" s="62">
        <f ca="1">AVERAGE(OFFSET($GY$3,0,0,'Données projet'!$E$18+1,1))-AVERAGE(OFFSET($H$3,0,0,'Données projet'!$E$18+1,1))</f>
        <v>273.21861937609918</v>
      </c>
      <c r="HA138" s="62">
        <f t="shared" si="160"/>
        <v>268.83004886965318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>
        <f>EXP(-LN(2)/35)*HG137+(1-EXP(-LN(2)/35))/(LN(2)/35)*HC138*HD138*VLOOKUP('Données projet'!$B$18,Paramètres!$A$1:$I$89,3,0)*0.475*44/12</f>
        <v>38.798752880999459</v>
      </c>
      <c r="HH138" s="23">
        <f>EXP(-LN(2)/25)*HH137+(1-EXP(-LN(2)/25))/(LN(2)/25)*Calculateur!HC138*Calculateur!HE138*VLOOKUP('Données projet'!$B$18,Paramètres!$A$1:$I$89,3,0)*0.475*44/12</f>
        <v>0</v>
      </c>
      <c r="HI138" s="23">
        <f>EXP(-LN(2)/2)*HI137+(1-EXP(-LN(2)/2))/(LN(2)/2)*HC138*HF138*VLOOKUP('Données projet'!$B$18,Paramètres!$A$1:$I$89,3,0)*0.475*44/12</f>
        <v>0</v>
      </c>
      <c r="HJ138" s="24">
        <f t="shared" si="138"/>
        <v>38.798752880999459</v>
      </c>
    </row>
    <row r="139" spans="1:218" s="5" customFormat="1" x14ac:dyDescent="0.4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5.7</v>
      </c>
      <c r="N139" s="14">
        <f>IF('Données projet'!$A$36&gt;35,N138+M139-V138,IF(A139&lt;'Données projet'!$A$36,$K$205^A139,IF(A139='Données projet'!$A$36,'Données projet'!$B$36,N138+M139-V138)))</f>
        <v>303.59999999999997</v>
      </c>
      <c r="O139" s="14">
        <f>N139*VLOOKUP('Données projet'!$B$9,Paramètres!$A$1:$I$89,3,0)*VLOOKUP('Données projet'!$B$9,Paramètres!$A$1:$I$89,5,0)</f>
        <v>274.69727999999998</v>
      </c>
      <c r="P139" s="14">
        <f t="shared" si="141"/>
        <v>65.845147763387502</v>
      </c>
      <c r="Q139" s="22">
        <f t="shared" si="108"/>
        <v>593.11139502123308</v>
      </c>
      <c r="R139" s="62">
        <f t="shared" si="109"/>
        <v>877.96092541611824</v>
      </c>
      <c r="S139" s="62">
        <f ca="1">AVERAGE(OFFSET($R$3,0,0,'Données projet'!$E$9+1,1))-AVERAGE(OFFSET($H$3,0,0,'Données projet'!$E$9+1,1))</f>
        <v>432.80275651765203</v>
      </c>
      <c r="T139" s="62">
        <f t="shared" si="142"/>
        <v>203.89279893419919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28.267668847177738</v>
      </c>
      <c r="AA139" s="23">
        <f>EXP(-LN(2)/25)*AA138+(1-EXP(-LN(2)/25))/(LN(2)/25)*Calculateur!V139*Calculateur!X139*VLOOKUP('Données projet'!$B$9,Paramètres!$A$1:$I$89,3,0)*0.475*44/12</f>
        <v>18.110759810654969</v>
      </c>
      <c r="AB139" s="23">
        <f>EXP(-LN(2)/2)*AB138+(1-EXP(-LN(2)/2))/(LN(2)/2)*V139*Y139*VLOOKUP('Données projet'!$B$9,Paramètres!$A$1:$I$89,3,0)*0.475*44/12</f>
        <v>0</v>
      </c>
      <c r="AC139" s="24">
        <f t="shared" si="111"/>
        <v>46.378428657832707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54.000000000000341</v>
      </c>
      <c r="AJ139" s="14">
        <f>AI139*VLOOKUP('Données projet'!$B$10,Paramètres!$A$1:$I$89,3,0)*VLOOKUP('Données projet'!$B$10,Paramètres!$A$1:$I$89,5,0)</f>
        <v>23.868000000000151</v>
      </c>
      <c r="AK139" s="14">
        <f t="shared" si="143"/>
        <v>7.6030930962115804</v>
      </c>
      <c r="AL139" s="22">
        <f t="shared" si="112"/>
        <v>54.812153809235433</v>
      </c>
      <c r="AM139" s="62">
        <f t="shared" si="113"/>
        <v>339.66168420412066</v>
      </c>
      <c r="AN139" s="62">
        <f ca="1">AVERAGE(OFFSET($AM$3,0,0,'Données projet'!$E$10+1,1))-AVERAGE(OFFSET($H$3,0,0,'Données projet'!$E$10+1,1))</f>
        <v>413.08876898406481</v>
      </c>
      <c r="AO139" s="62">
        <f t="shared" si="144"/>
        <v>520.31320932826566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60.992872299880524</v>
      </c>
      <c r="AV139" s="23">
        <f>EXP(-LN(2)/25)*AV138+(1-EXP(-LN(2)/25))/(LN(2)/25)*Calculateur!AQ139*Calculateur!AS139*VLOOKUP('Données projet'!$B$10,Paramètres!$A$1:$I$89,3,0)*0.475*44/12</f>
        <v>2.4532988736834795</v>
      </c>
      <c r="AW139" s="23">
        <f>EXP(-LN(2)/2)*AW138+(1-EXP(-LN(2)/2))/(LN(2)/2)*AQ139*AT139*VLOOKUP('Données projet'!$B$10,Paramètres!$A$1:$I$89,3,0)*0.475*44/12</f>
        <v>8.0953858093074465E-14</v>
      </c>
      <c r="AX139" s="23">
        <f t="shared" si="114"/>
        <v>63.446171173564082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54.000000000000341</v>
      </c>
      <c r="BE139" s="14">
        <f>BD139*VLOOKUP('Données projet'!$B$11,Paramètres!$A$1:$I$89,3,0)*VLOOKUP('Données projet'!$B$11,Paramètres!$A$1:$I$89,5,0)</f>
        <v>30.186000000000188</v>
      </c>
      <c r="BF139" s="14">
        <f t="shared" si="145"/>
        <v>9.3563888882899153</v>
      </c>
      <c r="BG139" s="22">
        <f t="shared" si="115"/>
        <v>68.869660647105263</v>
      </c>
      <c r="BH139" s="62">
        <f t="shared" si="116"/>
        <v>353.71919104199048</v>
      </c>
      <c r="BI139" s="62">
        <f ca="1">AVERAGE(OFFSET($BH$3,0,0,'Données projet'!$E$11+1,1))-AVERAGE(OFFSET($H$3,0,0,'Données projet'!$E$11+1,1))</f>
        <v>507.66185230065889</v>
      </c>
      <c r="BJ139" s="62">
        <f t="shared" si="146"/>
        <v>640.14375617778342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77.138044379260606</v>
      </c>
      <c r="BQ139" s="23">
        <f>EXP(-LN(2)/25)*BQ138+(1-EXP(-LN(2)/25))/(LN(2)/25)*Calculateur!BL139*Calculateur!BN139*VLOOKUP('Données projet'!$B$11,Paramètres!$A$1:$I$89,3,0)*0.475*44/12</f>
        <v>3.1027015167173446</v>
      </c>
      <c r="BR139" s="23">
        <f>EXP(-LN(2)/2)*BR138+(1-EXP(-LN(2)/2))/(LN(2)/2)*BL139*BO139*VLOOKUP('Données projet'!$B$11,Paramètres!$A$1:$I$89,3,0)*0.475*44/12</f>
        <v>1.023828205294766E-13</v>
      </c>
      <c r="BS139" s="24">
        <f t="shared" si="117"/>
        <v>80.240745895978051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417.04879970000007</v>
      </c>
      <c r="BZ139" s="14">
        <f>BY139*VLOOKUP('Données projet'!$B$12,Paramètres!$A$1:$I$89,3,0)*VLOOKUP('Données projet'!$B$12,Paramètres!$A$1:$I$89,5,0)</f>
        <v>195.17883825960004</v>
      </c>
      <c r="CA139" s="14">
        <f t="shared" si="147"/>
        <v>48.683122291673484</v>
      </c>
      <c r="CB139" s="22">
        <f t="shared" si="118"/>
        <v>424.72624796013469</v>
      </c>
      <c r="CC139" s="62">
        <f t="shared" si="119"/>
        <v>709.57577835501991</v>
      </c>
      <c r="CD139" s="62">
        <f ca="1">AVERAGE(OFFSET($CC$3,0,0,'Données projet'!$E$12+1,1))-AVERAGE(OFFSET($H$3,0,0,'Données projet'!$E$12+1,1))</f>
        <v>289.21044803824958</v>
      </c>
      <c r="CE139" s="62">
        <f t="shared" si="148"/>
        <v>196.11836398299445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>
        <f>EXP(-LN(2)/35)*CK138+(1-EXP(-LN(2)/35))/(LN(2)/35)*CG139*CH139*VLOOKUP('Données projet'!$B$12,Paramètres!$A$1:$I$89,3,0)*0.475*44/12</f>
        <v>33.760966470364174</v>
      </c>
      <c r="CL139" s="23">
        <f>EXP(-LN(2)/25)*CL138+(1-EXP(-LN(2)/25))/(LN(2)/25)*Calculateur!CG139*Calculateur!CI139*VLOOKUP('Données projet'!$B$12,Paramètres!$A$1:$I$89,3,0)*0.475*44/12</f>
        <v>11.815928608311328</v>
      </c>
      <c r="CM139" s="23">
        <f>EXP(-LN(2)/2)*CM138+(1-EXP(-LN(2)/2))/(LN(2)/2)*CG139*CJ139*VLOOKUP('Données projet'!$B$12,Paramètres!$A$1:$I$89,3,0)*0.475*44/12</f>
        <v>0</v>
      </c>
      <c r="CN139" s="24">
        <f t="shared" si="120"/>
        <v>45.576895078675506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-5.6843418860808015E-14</v>
      </c>
      <c r="CU139" s="18">
        <f>CT139*VLOOKUP('Données projet'!$B$13,Paramètres!$A$1:$I$89,3,0)*VLOOKUP('Données projet'!$B$13,Paramètres!$A$1:$I$89,5,0)</f>
        <v>-5.1431925385259088E-14</v>
      </c>
      <c r="CV139" s="14" t="e">
        <f t="shared" si="149"/>
        <v>#NUM!</v>
      </c>
      <c r="CW139" s="22" t="e">
        <f t="shared" si="121"/>
        <v>#NUM!</v>
      </c>
      <c r="CX139" s="62" t="e">
        <f t="shared" si="122"/>
        <v>#NUM!</v>
      </c>
      <c r="CY139" s="62">
        <f ca="1">AVERAGE(OFFSET($CX$3,0,0,'Données projet'!$E$13+1,1))-AVERAGE(OFFSET($H$3,0,0,'Données projet'!$E$13+1,1))</f>
        <v>376.68007030857598</v>
      </c>
      <c r="CZ139" s="62">
        <f t="shared" si="150"/>
        <v>532.90758914457626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>
        <f>EXP(-LN(2)/35)*DF138+(1-EXP(-LN(2)/35))/(LN(2)/35)*DB139*DC139*VLOOKUP('Données projet'!$B$13,Paramètres!$A$1:$I$89,3,0)*0.475*44/12</f>
        <v>15.441787167292532</v>
      </c>
      <c r="DG139" s="23">
        <f>EXP(-LN(2)/25)*DG138+(1-EXP(-LN(2)/25))/(LN(2)/25)*Calculateur!DB139*Calculateur!DD139*VLOOKUP('Données projet'!$B$13,Paramètres!$A$1:$I$89,3,0)*0.475*44/12</f>
        <v>0.69328604766370816</v>
      </c>
      <c r="DH139" s="23">
        <f>EXP(-LN(2)/2)*DH138+(1-EXP(-LN(2)/2))/(LN(2)/2)*DB139*DE139*VLOOKUP('Données projet'!$B$13,Paramètres!$A$1:$I$89,3,0)*0.475*44/12</f>
        <v>0</v>
      </c>
      <c r="DI139" s="24">
        <f t="shared" si="123"/>
        <v>16.13507321495624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5.6843418860808015E-14</v>
      </c>
      <c r="DP139" s="18">
        <f>DO139*VLOOKUP('Données projet'!$B$14,Paramètres!$A$1:$I$89,3,0)*VLOOKUP('Données projet'!$B$14,Paramètres!$A$1:$I$89,5,0)</f>
        <v>5.4092197387944907E-14</v>
      </c>
      <c r="DQ139" s="14">
        <f t="shared" si="151"/>
        <v>8.7287050538073676E-13</v>
      </c>
      <c r="DR139" s="22">
        <f t="shared" si="124"/>
        <v>1.6144600406554537E-12</v>
      </c>
      <c r="DS139" s="62">
        <f t="shared" si="125"/>
        <v>284.84953039488681</v>
      </c>
      <c r="DT139" s="62">
        <f ca="1">AVERAGE(OFFSET($DS$3,0,0,'Données projet'!$E$14+1,1))-AVERAGE(OFFSET($H$3,0,0,'Données projet'!$E$14+1,1))</f>
        <v>364.63161066507769</v>
      </c>
      <c r="DU139" s="62">
        <f t="shared" si="152"/>
        <v>355.44729904860708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>
        <f>EXP(-LN(2)/35)*EA138+(1-EXP(-LN(2)/35))/(LN(2)/35)*DW139*DX139*VLOOKUP('Données projet'!$B$14,Paramètres!$A$1:$I$89,3,0)*0.475*44/12</f>
        <v>43.779507794646072</v>
      </c>
      <c r="EB139" s="23">
        <f>EXP(-LN(2)/25)*EB138+(1-EXP(-LN(2)/25))/(LN(2)/25)*Calculateur!DW139*Calculateur!DY139*VLOOKUP('Données projet'!$B$14,Paramètres!$A$1:$I$89,3,0)*0.475*44/12</f>
        <v>0</v>
      </c>
      <c r="EC139" s="23">
        <f>EXP(-LN(2)/2)*EC138+(1-EXP(-LN(2)/2))/(LN(2)/2)*DW139*DZ139*VLOOKUP('Données projet'!$B$14,Paramètres!$A$1:$I$89,3,0)*0.475*44/12</f>
        <v>0</v>
      </c>
      <c r="ED139" s="24">
        <f t="shared" si="126"/>
        <v>43.779507794646072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5.6843418860808015E-14</v>
      </c>
      <c r="EK139" s="18">
        <f>EJ139*VLOOKUP('Données projet'!$B$15,Paramètres!$A$1:$I$89,3,0)*VLOOKUP('Données projet'!$B$15,Paramètres!$A$1:$I$89,5,0)</f>
        <v>4.1677594708744434E-14</v>
      </c>
      <c r="EL139" s="14">
        <f t="shared" si="153"/>
        <v>6.9326303456159188E-13</v>
      </c>
      <c r="EM139" s="22">
        <f t="shared" si="127"/>
        <v>1.2800215959791691E-12</v>
      </c>
      <c r="EN139" s="62">
        <f t="shared" si="128"/>
        <v>284.84953039488653</v>
      </c>
      <c r="EO139" s="62">
        <f ca="1">AVERAGE(OFFSET($EN$3,0,0,'Données projet'!$E$15+1,1))-AVERAGE(OFFSET($H$3,0,0,'Données projet'!$E$15+1,1))</f>
        <v>293.59366973965774</v>
      </c>
      <c r="EP139" s="62">
        <f t="shared" si="154"/>
        <v>288.13804536120426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>
        <f>EXP(-LN(2)/35)*EV138+(1-EXP(-LN(2)/35))/(LN(2)/35)*ER139*ES139*VLOOKUP('Données projet'!$B$15,Paramètres!$A$1:$I$89,3,0)*0.475*44/12</f>
        <v>33.731751907350251</v>
      </c>
      <c r="EW139" s="23">
        <f>EXP(-LN(2)/25)*EW138+(1-EXP(-LN(2)/25))/(LN(2)/25)*Calculateur!ER139*Calculateur!ET139*VLOOKUP('Données projet'!$B$15,Paramètres!$A$1:$I$89,3,0)*0.475*44/12</f>
        <v>0</v>
      </c>
      <c r="EX139" s="23">
        <f>EXP(-LN(2)/2)*EX138+(1-EXP(-LN(2)/2))/(LN(2)/2)*ER139*EU139*VLOOKUP('Données projet'!$B$15,Paramètres!$A$1:$I$89,3,0)*0.475*44/12</f>
        <v>0</v>
      </c>
      <c r="EY139" s="24">
        <f t="shared" si="129"/>
        <v>33.731751907350251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5.6843418860808015E-14</v>
      </c>
      <c r="FF139" s="18">
        <f>FE139*VLOOKUP('Données projet'!$B$16,Paramètres!$A$1:$I$89,3,0)*VLOOKUP('Données projet'!$B$16,Paramètres!$A$1:$I$89,5,0)</f>
        <v>5.4978954722173515E-14</v>
      </c>
      <c r="FG139" s="14">
        <f t="shared" si="155"/>
        <v>8.8550225887742724E-13</v>
      </c>
      <c r="FH139" s="22">
        <f t="shared" si="130"/>
        <v>1.6380047803526383E-12</v>
      </c>
      <c r="FI139" s="62">
        <f t="shared" si="131"/>
        <v>284.84953039488687</v>
      </c>
      <c r="FJ139" s="62">
        <f ca="1">AVERAGE(OFFSET($FI$3,0,0,'Données projet'!$E$16+1,1))-AVERAGE(OFFSET($H$3,0,0,'Données projet'!$E$16+1,1))</f>
        <v>369.69145521630799</v>
      </c>
      <c r="FK139" s="62">
        <f t="shared" si="156"/>
        <v>360.24112103688719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>
        <f>EXP(-LN(2)/35)*FQ138+(1-EXP(-LN(2)/35))/(LN(2)/35)*FM139*FN139*VLOOKUP('Données projet'!$B$16,Paramètres!$A$1:$I$89,3,0)*0.475*44/12</f>
        <v>44.497204643738634</v>
      </c>
      <c r="FR139" s="23">
        <f>EXP(-LN(2)/25)*FR138+(1-EXP(-LN(2)/25))/(LN(2)/25)*Calculateur!FM139*Calculateur!FO139*VLOOKUP('Données projet'!$B$16,Paramètres!$A$1:$I$89,3,0)*0.475*44/12</f>
        <v>0</v>
      </c>
      <c r="FS139" s="23">
        <f>EXP(-LN(2)/2)*FS138+(1-EXP(-LN(2)/2))/(LN(2)/2)*FM139*FP139*VLOOKUP('Données projet'!$B$16,Paramètres!$A$1:$I$89,3,0)*0.475*44/12</f>
        <v>0</v>
      </c>
      <c r="FT139" s="24">
        <f t="shared" si="132"/>
        <v>44.497204643738634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5.6843418860808015E-14</v>
      </c>
      <c r="GA139" s="18">
        <f>FZ139*VLOOKUP('Données projet'!$B$17,Paramètres!$A$1:$I$89,3,0)*VLOOKUP('Données projet'!$B$17,Paramètres!$A$1:$I$89,5,0)</f>
        <v>6.1186256061773749E-14</v>
      </c>
      <c r="GB139" s="14">
        <f t="shared" si="157"/>
        <v>9.7328366192051127E-13</v>
      </c>
      <c r="GC139" s="22">
        <f t="shared" si="133"/>
        <v>1.8017017738191463E-12</v>
      </c>
      <c r="GD139" s="62">
        <f t="shared" si="134"/>
        <v>284.84953039488704</v>
      </c>
      <c r="GE139" s="62">
        <f ca="1">AVERAGE(OFFSET($GD$3,0,0,'Données projet'!$E$17+1,1))-AVERAGE(OFFSET($H$3,0,0,'Données projet'!$E$17+1,1))</f>
        <v>405.06394904053946</v>
      </c>
      <c r="GF139" s="62">
        <f t="shared" si="158"/>
        <v>393.75247087518198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>
        <f>EXP(-LN(2)/35)*GL138+(1-EXP(-LN(2)/35))/(LN(2)/35)*GH139*GI139*VLOOKUP('Données projet'!$B$17,Paramètres!$A$1:$I$89,3,0)*0.475*44/12</f>
        <v>49.521082587386537</v>
      </c>
      <c r="GM139" s="23">
        <f>EXP(-LN(2)/25)*GM138+(1-EXP(-LN(2)/25))/(LN(2)/25)*Calculateur!GH139*Calculateur!GJ139*VLOOKUP('Données projet'!$B$17,Paramètres!$A$1:$I$89,3,0)*0.475*44/12</f>
        <v>0</v>
      </c>
      <c r="GN139" s="23">
        <f>EXP(-LN(2)/2)*GN138+(1-EXP(-LN(2)/2))/(LN(2)/2)*GH139*GK139*VLOOKUP('Données projet'!$B$17,Paramètres!$A$1:$I$89,3,0)*0.475*44/12</f>
        <v>0</v>
      </c>
      <c r="GO139" s="23">
        <f t="shared" si="135"/>
        <v>49.521082587386537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5.6843418860808015E-14</v>
      </c>
      <c r="GV139" s="18">
        <f>GU139*VLOOKUP('Données projet'!$B$18,Paramètres!$A$1:$I$89,3,0)*VLOOKUP('Données projet'!$B$18,Paramètres!$A$1:$I$89,5,0)</f>
        <v>3.813056537183002E-14</v>
      </c>
      <c r="GW139" s="14">
        <f t="shared" si="159"/>
        <v>6.4086286045526829E-13</v>
      </c>
      <c r="GX139" s="22">
        <f t="shared" si="136"/>
        <v>1.1825802166488628E-12</v>
      </c>
      <c r="GY139" s="62">
        <f t="shared" si="137"/>
        <v>284.84953039488641</v>
      </c>
      <c r="GZ139" s="62">
        <f ca="1">AVERAGE(OFFSET($GY$3,0,0,'Données projet'!$E$18+1,1))-AVERAGE(OFFSET($H$3,0,0,'Données projet'!$E$18+1,1))</f>
        <v>273.21861937609918</v>
      </c>
      <c r="HA139" s="62">
        <f t="shared" si="160"/>
        <v>268.83004886965318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>
        <f>EXP(-LN(2)/35)*HG138+(1-EXP(-LN(2)/35))/(LN(2)/35)*HC139*HD139*VLOOKUP('Données projet'!$B$18,Paramètres!$A$1:$I$89,3,0)*0.475*44/12</f>
        <v>38.0379330019056</v>
      </c>
      <c r="HH139" s="23">
        <f>EXP(-LN(2)/25)*HH138+(1-EXP(-LN(2)/25))/(LN(2)/25)*Calculateur!HC139*Calculateur!HE139*VLOOKUP('Données projet'!$B$18,Paramètres!$A$1:$I$89,3,0)*0.475*44/12</f>
        <v>0</v>
      </c>
      <c r="HI139" s="23">
        <f>EXP(-LN(2)/2)*HI138+(1-EXP(-LN(2)/2))/(LN(2)/2)*HC139*HF139*VLOOKUP('Données projet'!$B$18,Paramètres!$A$1:$I$89,3,0)*0.475*44/12</f>
        <v>0</v>
      </c>
      <c r="HJ139" s="24">
        <f t="shared" si="138"/>
        <v>38.0379330019056</v>
      </c>
    </row>
    <row r="140" spans="1:218" s="5" customFormat="1" x14ac:dyDescent="0.4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5.7</v>
      </c>
      <c r="N140" s="14">
        <f>IF('Données projet'!$A$36&gt;35,N139+M140-V139,IF(A140&lt;'Données projet'!$A$36,$K$205^A140,IF(A140='Données projet'!$A$36,'Données projet'!$B$36,N139+M140-V139)))</f>
        <v>309.29999999999995</v>
      </c>
      <c r="O140" s="14">
        <f>N140*VLOOKUP('Données projet'!$B$9,Paramètres!$A$1:$I$89,3,0)*VLOOKUP('Données projet'!$B$9,Paramètres!$A$1:$I$89,5,0)</f>
        <v>279.8546399999999</v>
      </c>
      <c r="P140" s="14">
        <f t="shared" si="141"/>
        <v>66.936289206183446</v>
      </c>
      <c r="Q140" s="22">
        <f t="shared" si="108"/>
        <v>603.99420170076939</v>
      </c>
      <c r="R140" s="62">
        <f t="shared" si="109"/>
        <v>888.99090710969472</v>
      </c>
      <c r="S140" s="62">
        <f ca="1">AVERAGE(OFFSET($R$3,0,0,'Données projet'!$E$9+1,1))-AVERAGE(OFFSET($H$3,0,0,'Données projet'!$E$9+1,1))</f>
        <v>432.80275651765203</v>
      </c>
      <c r="T140" s="62">
        <f t="shared" si="142"/>
        <v>203.89279893419919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27.713357102660115</v>
      </c>
      <c r="AA140" s="23">
        <f>EXP(-LN(2)/25)*AA139+(1-EXP(-LN(2)/25))/(LN(2)/25)*Calculateur!V140*Calculateur!X140*VLOOKUP('Données projet'!$B$9,Paramètres!$A$1:$I$89,3,0)*0.475*44/12</f>
        <v>17.615520131229143</v>
      </c>
      <c r="AB140" s="23">
        <f>EXP(-LN(2)/2)*AB139+(1-EXP(-LN(2)/2))/(LN(2)/2)*V140*Y140*VLOOKUP('Données projet'!$B$9,Paramètres!$A$1:$I$89,3,0)*0.475*44/12</f>
        <v>0</v>
      </c>
      <c r="AC140" s="24">
        <f t="shared" si="111"/>
        <v>45.328877233889258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54.000000000000341</v>
      </c>
      <c r="AJ140" s="14">
        <f>AI140*VLOOKUP('Données projet'!$B$10,Paramètres!$A$1:$I$89,3,0)*VLOOKUP('Données projet'!$B$10,Paramètres!$A$1:$I$89,5,0)</f>
        <v>23.868000000000151</v>
      </c>
      <c r="AK140" s="14">
        <f t="shared" si="143"/>
        <v>7.6030930962115804</v>
      </c>
      <c r="AL140" s="22">
        <f t="shared" si="112"/>
        <v>54.812153809235433</v>
      </c>
      <c r="AM140" s="62">
        <f t="shared" si="113"/>
        <v>339.80885921816082</v>
      </c>
      <c r="AN140" s="62">
        <f ca="1">AVERAGE(OFFSET($AM$3,0,0,'Données projet'!$E$10+1,1))-AVERAGE(OFFSET($H$3,0,0,'Données projet'!$E$10+1,1))</f>
        <v>413.08876898406481</v>
      </c>
      <c r="AO140" s="62">
        <f t="shared" si="144"/>
        <v>520.31320932826566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59.796839276058577</v>
      </c>
      <c r="AV140" s="23">
        <f>EXP(-LN(2)/25)*AV139+(1-EXP(-LN(2)/25))/(LN(2)/25)*Calculateur!AQ140*Calculateur!AS140*VLOOKUP('Données projet'!$B$10,Paramètres!$A$1:$I$89,3,0)*0.475*44/12</f>
        <v>2.3862132869692241</v>
      </c>
      <c r="AW140" s="23">
        <f>EXP(-LN(2)/2)*AW139+(1-EXP(-LN(2)/2))/(LN(2)/2)*AQ140*AT140*VLOOKUP('Données projet'!$B$10,Paramètres!$A$1:$I$89,3,0)*0.475*44/12</f>
        <v>5.7243022020826423E-14</v>
      </c>
      <c r="AX140" s="23">
        <f t="shared" si="114"/>
        <v>62.183052563027857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54.000000000000341</v>
      </c>
      <c r="BE140" s="14">
        <f>BD140*VLOOKUP('Données projet'!$B$11,Paramètres!$A$1:$I$89,3,0)*VLOOKUP('Données projet'!$B$11,Paramètres!$A$1:$I$89,5,0)</f>
        <v>30.186000000000188</v>
      </c>
      <c r="BF140" s="14">
        <f t="shared" si="145"/>
        <v>9.3563888882899153</v>
      </c>
      <c r="BG140" s="22">
        <f t="shared" si="115"/>
        <v>68.869660647105263</v>
      </c>
      <c r="BH140" s="62">
        <f t="shared" si="116"/>
        <v>353.86636605603064</v>
      </c>
      <c r="BI140" s="62">
        <f ca="1">AVERAGE(OFFSET($BH$3,0,0,'Données projet'!$E$11+1,1))-AVERAGE(OFFSET($H$3,0,0,'Données projet'!$E$11+1,1))</f>
        <v>507.66185230065889</v>
      </c>
      <c r="BJ140" s="62">
        <f t="shared" si="146"/>
        <v>640.14375617778342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75.625414378544619</v>
      </c>
      <c r="BQ140" s="23">
        <f>EXP(-LN(2)/25)*BQ139+(1-EXP(-LN(2)/25))/(LN(2)/25)*Calculateur!BL140*Calculateur!BN140*VLOOKUP('Données projet'!$B$11,Paramètres!$A$1:$I$89,3,0)*0.475*44/12</f>
        <v>3.0178579805787273</v>
      </c>
      <c r="BR140" s="23">
        <f>EXP(-LN(2)/2)*BR139+(1-EXP(-LN(2)/2))/(LN(2)/2)*BL140*BO140*VLOOKUP('Données projet'!$B$11,Paramètres!$A$1:$I$89,3,0)*0.475*44/12</f>
        <v>7.2395586673398173E-14</v>
      </c>
      <c r="BS140" s="24">
        <f t="shared" si="117"/>
        <v>78.643272359123415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417.04879970000007</v>
      </c>
      <c r="BZ140" s="14">
        <f>BY140*VLOOKUP('Données projet'!$B$12,Paramètres!$A$1:$I$89,3,0)*VLOOKUP('Données projet'!$B$12,Paramètres!$A$1:$I$89,5,0)</f>
        <v>195.17883825960004</v>
      </c>
      <c r="CA140" s="14">
        <f t="shared" si="147"/>
        <v>48.683122291673484</v>
      </c>
      <c r="CB140" s="22">
        <f t="shared" si="118"/>
        <v>424.72624796013469</v>
      </c>
      <c r="CC140" s="62">
        <f t="shared" si="119"/>
        <v>709.72295336906006</v>
      </c>
      <c r="CD140" s="62">
        <f ca="1">AVERAGE(OFFSET($CC$3,0,0,'Données projet'!$E$12+1,1))-AVERAGE(OFFSET($H$3,0,0,'Données projet'!$E$12+1,1))</f>
        <v>289.21044803824958</v>
      </c>
      <c r="CE140" s="62">
        <f t="shared" si="148"/>
        <v>196.11836398299445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>
        <f>EXP(-LN(2)/35)*CK139+(1-EXP(-LN(2)/35))/(LN(2)/35)*CG140*CH140*VLOOKUP('Données projet'!$B$12,Paramètres!$A$1:$I$89,3,0)*0.475*44/12</f>
        <v>33.098934510036571</v>
      </c>
      <c r="CL140" s="23">
        <f>EXP(-LN(2)/25)*CL139+(1-EXP(-LN(2)/25))/(LN(2)/25)*Calculateur!CG140*Calculateur!CI140*VLOOKUP('Données projet'!$B$12,Paramètres!$A$1:$I$89,3,0)*0.475*44/12</f>
        <v>11.492821419144375</v>
      </c>
      <c r="CM140" s="23">
        <f>EXP(-LN(2)/2)*CM139+(1-EXP(-LN(2)/2))/(LN(2)/2)*CG140*CJ140*VLOOKUP('Données projet'!$B$12,Paramètres!$A$1:$I$89,3,0)*0.475*44/12</f>
        <v>0</v>
      </c>
      <c r="CN140" s="24">
        <f t="shared" si="120"/>
        <v>44.591755929180948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-5.6843418860808015E-14</v>
      </c>
      <c r="CU140" s="18">
        <f>CT140*VLOOKUP('Données projet'!$B$13,Paramètres!$A$1:$I$89,3,0)*VLOOKUP('Données projet'!$B$13,Paramètres!$A$1:$I$89,5,0)</f>
        <v>-5.1431925385259088E-14</v>
      </c>
      <c r="CV140" s="14" t="e">
        <f t="shared" si="149"/>
        <v>#NUM!</v>
      </c>
      <c r="CW140" s="22" t="e">
        <f t="shared" si="121"/>
        <v>#NUM!</v>
      </c>
      <c r="CX140" s="62" t="e">
        <f t="shared" si="122"/>
        <v>#NUM!</v>
      </c>
      <c r="CY140" s="62">
        <f ca="1">AVERAGE(OFFSET($CX$3,0,0,'Données projet'!$E$13+1,1))-AVERAGE(OFFSET($H$3,0,0,'Données projet'!$E$13+1,1))</f>
        <v>376.68007030857598</v>
      </c>
      <c r="CZ140" s="62">
        <f t="shared" si="150"/>
        <v>532.90758914457626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>
        <f>EXP(-LN(2)/35)*DF139+(1-EXP(-LN(2)/35))/(LN(2)/35)*DB140*DC140*VLOOKUP('Données projet'!$B$13,Paramètres!$A$1:$I$89,3,0)*0.475*44/12</f>
        <v>15.138983139502091</v>
      </c>
      <c r="DG140" s="23">
        <f>EXP(-LN(2)/25)*DG139+(1-EXP(-LN(2)/25))/(LN(2)/25)*Calculateur!DB140*Calculateur!DD140*VLOOKUP('Données projet'!$B$13,Paramètres!$A$1:$I$89,3,0)*0.475*44/12</f>
        <v>0.67432810423201539</v>
      </c>
      <c r="DH140" s="23">
        <f>EXP(-LN(2)/2)*DH139+(1-EXP(-LN(2)/2))/(LN(2)/2)*DB140*DE140*VLOOKUP('Données projet'!$B$13,Paramètres!$A$1:$I$89,3,0)*0.475*44/12</f>
        <v>0</v>
      </c>
      <c r="DI140" s="24">
        <f t="shared" si="123"/>
        <v>15.813311243734107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5.6843418860808015E-14</v>
      </c>
      <c r="DP140" s="18">
        <f>DO140*VLOOKUP('Données projet'!$B$14,Paramètres!$A$1:$I$89,3,0)*VLOOKUP('Données projet'!$B$14,Paramètres!$A$1:$I$89,5,0)</f>
        <v>5.4092197387944907E-14</v>
      </c>
      <c r="DQ140" s="14">
        <f t="shared" si="151"/>
        <v>8.7287050538073676E-13</v>
      </c>
      <c r="DR140" s="22">
        <f t="shared" si="124"/>
        <v>1.6144600406554537E-12</v>
      </c>
      <c r="DS140" s="62">
        <f t="shared" si="125"/>
        <v>284.99670540892697</v>
      </c>
      <c r="DT140" s="62">
        <f ca="1">AVERAGE(OFFSET($DS$3,0,0,'Données projet'!$E$14+1,1))-AVERAGE(OFFSET($H$3,0,0,'Données projet'!$E$14+1,1))</f>
        <v>364.63161066507769</v>
      </c>
      <c r="DU140" s="62">
        <f t="shared" si="152"/>
        <v>355.44729904860708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>
        <f>EXP(-LN(2)/35)*EA139+(1-EXP(-LN(2)/35))/(LN(2)/35)*DW140*DX140*VLOOKUP('Données projet'!$B$14,Paramètres!$A$1:$I$89,3,0)*0.475*44/12</f>
        <v>42.92101834965613</v>
      </c>
      <c r="EB140" s="23">
        <f>EXP(-LN(2)/25)*EB139+(1-EXP(-LN(2)/25))/(LN(2)/25)*Calculateur!DW140*Calculateur!DY140*VLOOKUP('Données projet'!$B$14,Paramètres!$A$1:$I$89,3,0)*0.475*44/12</f>
        <v>0</v>
      </c>
      <c r="EC140" s="23">
        <f>EXP(-LN(2)/2)*EC139+(1-EXP(-LN(2)/2))/(LN(2)/2)*DW140*DZ140*VLOOKUP('Données projet'!$B$14,Paramètres!$A$1:$I$89,3,0)*0.475*44/12</f>
        <v>0</v>
      </c>
      <c r="ED140" s="24">
        <f t="shared" si="126"/>
        <v>42.92101834965613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5.6843418860808015E-14</v>
      </c>
      <c r="EK140" s="18">
        <f>EJ140*VLOOKUP('Données projet'!$B$15,Paramètres!$A$1:$I$89,3,0)*VLOOKUP('Données projet'!$B$15,Paramètres!$A$1:$I$89,5,0)</f>
        <v>4.1677594708744434E-14</v>
      </c>
      <c r="EL140" s="14">
        <f t="shared" si="153"/>
        <v>6.9326303456159188E-13</v>
      </c>
      <c r="EM140" s="22">
        <f t="shared" si="127"/>
        <v>1.2800215959791691E-12</v>
      </c>
      <c r="EN140" s="62">
        <f t="shared" si="128"/>
        <v>284.99670540892669</v>
      </c>
      <c r="EO140" s="62">
        <f ca="1">AVERAGE(OFFSET($EN$3,0,0,'Données projet'!$E$15+1,1))-AVERAGE(OFFSET($H$3,0,0,'Données projet'!$E$15+1,1))</f>
        <v>293.59366973965774</v>
      </c>
      <c r="EP140" s="62">
        <f t="shared" si="154"/>
        <v>288.13804536120426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>
        <f>EXP(-LN(2)/35)*EV139+(1-EXP(-LN(2)/35))/(LN(2)/35)*ER140*ES140*VLOOKUP('Données projet'!$B$15,Paramètres!$A$1:$I$89,3,0)*0.475*44/12</f>
        <v>33.070292826784232</v>
      </c>
      <c r="EW140" s="23">
        <f>EXP(-LN(2)/25)*EW139+(1-EXP(-LN(2)/25))/(LN(2)/25)*Calculateur!ER140*Calculateur!ET140*VLOOKUP('Données projet'!$B$15,Paramètres!$A$1:$I$89,3,0)*0.475*44/12</f>
        <v>0</v>
      </c>
      <c r="EX140" s="23">
        <f>EXP(-LN(2)/2)*EX139+(1-EXP(-LN(2)/2))/(LN(2)/2)*ER140*EU140*VLOOKUP('Données projet'!$B$15,Paramètres!$A$1:$I$89,3,0)*0.475*44/12</f>
        <v>0</v>
      </c>
      <c r="EY140" s="24">
        <f t="shared" si="129"/>
        <v>33.070292826784232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5.6843418860808015E-14</v>
      </c>
      <c r="FF140" s="18">
        <f>FE140*VLOOKUP('Données projet'!$B$16,Paramètres!$A$1:$I$89,3,0)*VLOOKUP('Données projet'!$B$16,Paramètres!$A$1:$I$89,5,0)</f>
        <v>5.4978954722173515E-14</v>
      </c>
      <c r="FG140" s="14">
        <f t="shared" si="155"/>
        <v>8.8550225887742724E-13</v>
      </c>
      <c r="FH140" s="22">
        <f t="shared" si="130"/>
        <v>1.6380047803526383E-12</v>
      </c>
      <c r="FI140" s="62">
        <f t="shared" si="131"/>
        <v>284.99670540892703</v>
      </c>
      <c r="FJ140" s="62">
        <f ca="1">AVERAGE(OFFSET($FI$3,0,0,'Données projet'!$E$16+1,1))-AVERAGE(OFFSET($H$3,0,0,'Données projet'!$E$16+1,1))</f>
        <v>369.69145521630799</v>
      </c>
      <c r="FK140" s="62">
        <f t="shared" si="156"/>
        <v>360.24112103688719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>
        <f>EXP(-LN(2)/35)*FQ139+(1-EXP(-LN(2)/35))/(LN(2)/35)*FM140*FN140*VLOOKUP('Données projet'!$B$16,Paramètres!$A$1:$I$89,3,0)*0.475*44/12</f>
        <v>43.624641601289838</v>
      </c>
      <c r="FR140" s="23">
        <f>EXP(-LN(2)/25)*FR139+(1-EXP(-LN(2)/25))/(LN(2)/25)*Calculateur!FM140*Calculateur!FO140*VLOOKUP('Données projet'!$B$16,Paramètres!$A$1:$I$89,3,0)*0.475*44/12</f>
        <v>0</v>
      </c>
      <c r="FS140" s="23">
        <f>EXP(-LN(2)/2)*FS139+(1-EXP(-LN(2)/2))/(LN(2)/2)*FM140*FP140*VLOOKUP('Données projet'!$B$16,Paramètres!$A$1:$I$89,3,0)*0.475*44/12</f>
        <v>0</v>
      </c>
      <c r="FT140" s="24">
        <f t="shared" si="132"/>
        <v>43.624641601289838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5.6843418860808015E-14</v>
      </c>
      <c r="GA140" s="18">
        <f>FZ140*VLOOKUP('Données projet'!$B$17,Paramètres!$A$1:$I$89,3,0)*VLOOKUP('Données projet'!$B$17,Paramètres!$A$1:$I$89,5,0)</f>
        <v>6.1186256061773749E-14</v>
      </c>
      <c r="GB140" s="14">
        <f t="shared" si="157"/>
        <v>9.7328366192051127E-13</v>
      </c>
      <c r="GC140" s="22">
        <f t="shared" si="133"/>
        <v>1.8017017738191463E-12</v>
      </c>
      <c r="GD140" s="62">
        <f t="shared" si="134"/>
        <v>284.9967054089272</v>
      </c>
      <c r="GE140" s="62">
        <f ca="1">AVERAGE(OFFSET($GD$3,0,0,'Données projet'!$E$17+1,1))-AVERAGE(OFFSET($H$3,0,0,'Données projet'!$E$17+1,1))</f>
        <v>405.06394904053946</v>
      </c>
      <c r="GF140" s="62">
        <f t="shared" si="158"/>
        <v>393.75247087518198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>
        <f>EXP(-LN(2)/35)*GL139+(1-EXP(-LN(2)/35))/(LN(2)/35)*GH140*GI140*VLOOKUP('Données projet'!$B$17,Paramètres!$A$1:$I$89,3,0)*0.475*44/12</f>
        <v>48.55000436272578</v>
      </c>
      <c r="GM140" s="23">
        <f>EXP(-LN(2)/25)*GM139+(1-EXP(-LN(2)/25))/(LN(2)/25)*Calculateur!GH140*Calculateur!GJ140*VLOOKUP('Données projet'!$B$17,Paramètres!$A$1:$I$89,3,0)*0.475*44/12</f>
        <v>0</v>
      </c>
      <c r="GN140" s="23">
        <f>EXP(-LN(2)/2)*GN139+(1-EXP(-LN(2)/2))/(LN(2)/2)*GH140*GK140*VLOOKUP('Données projet'!$B$17,Paramètres!$A$1:$I$89,3,0)*0.475*44/12</f>
        <v>0</v>
      </c>
      <c r="GO140" s="23">
        <f t="shared" si="135"/>
        <v>48.55000436272578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5.6843418860808015E-14</v>
      </c>
      <c r="GV140" s="18">
        <f>GU140*VLOOKUP('Données projet'!$B$18,Paramètres!$A$1:$I$89,3,0)*VLOOKUP('Données projet'!$B$18,Paramètres!$A$1:$I$89,5,0)</f>
        <v>3.813056537183002E-14</v>
      </c>
      <c r="GW140" s="14">
        <f t="shared" si="159"/>
        <v>6.4086286045526829E-13</v>
      </c>
      <c r="GX140" s="22">
        <f t="shared" si="136"/>
        <v>1.1825802166488628E-12</v>
      </c>
      <c r="GY140" s="62">
        <f t="shared" si="137"/>
        <v>284.99670540892657</v>
      </c>
      <c r="GZ140" s="62">
        <f ca="1">AVERAGE(OFFSET($GY$3,0,0,'Données projet'!$E$18+1,1))-AVERAGE(OFFSET($H$3,0,0,'Données projet'!$E$18+1,1))</f>
        <v>273.21861937609918</v>
      </c>
      <c r="HA140" s="62">
        <f t="shared" si="160"/>
        <v>268.83004886965318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>
        <f>EXP(-LN(2)/35)*HG139+(1-EXP(-LN(2)/35))/(LN(2)/35)*HC140*HD140*VLOOKUP('Données projet'!$B$18,Paramètres!$A$1:$I$89,3,0)*0.475*44/12</f>
        <v>37.292032336586466</v>
      </c>
      <c r="HH140" s="23">
        <f>EXP(-LN(2)/25)*HH139+(1-EXP(-LN(2)/25))/(LN(2)/25)*Calculateur!HC140*Calculateur!HE140*VLOOKUP('Données projet'!$B$18,Paramètres!$A$1:$I$89,3,0)*0.475*44/12</f>
        <v>0</v>
      </c>
      <c r="HI140" s="23">
        <f>EXP(-LN(2)/2)*HI139+(1-EXP(-LN(2)/2))/(LN(2)/2)*HC140*HF140*VLOOKUP('Données projet'!$B$18,Paramètres!$A$1:$I$89,3,0)*0.475*44/12</f>
        <v>0</v>
      </c>
      <c r="HJ140" s="24">
        <f t="shared" si="138"/>
        <v>37.292032336586466</v>
      </c>
    </row>
    <row r="141" spans="1:218" s="5" customFormat="1" x14ac:dyDescent="0.4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>
        <f>VLOOKUP(A141,'Données projet'!$A$35:$I$55,2,0)</f>
        <v>315</v>
      </c>
      <c r="L141" s="13">
        <f>VLOOKUP(A141,'Données projet'!$A$35:$I$55,9,0)</f>
        <v>5.7</v>
      </c>
      <c r="M141" s="13">
        <f t="array" ref="M141">INDEX(L:L,MIN(IF(ISNUMBER(L141:L337),ROW(L141:L337),"")))</f>
        <v>5.7</v>
      </c>
      <c r="N141" s="14">
        <f>IF('Données projet'!$A$36&gt;35,N140+M141-V140,IF(A141&lt;'Données projet'!$A$36,$K$205^A141,IF(A141='Données projet'!$A$36,'Données projet'!$B$36,N140+M141-V140)))</f>
        <v>314.99999999999994</v>
      </c>
      <c r="O141" s="14">
        <f>N141*VLOOKUP('Données projet'!$B$9,Paramètres!$A$1:$I$89,3,0)*VLOOKUP('Données projet'!$B$9,Paramètres!$A$1:$I$89,5,0)</f>
        <v>285.01199999999994</v>
      </c>
      <c r="P141" s="14">
        <f t="shared" si="141"/>
        <v>68.025092408173109</v>
      </c>
      <c r="Q141" s="22">
        <f t="shared" si="108"/>
        <v>614.87293594423477</v>
      </c>
      <c r="R141" s="62">
        <f t="shared" si="109"/>
        <v>900.01426320974065</v>
      </c>
      <c r="S141" s="62">
        <f ca="1">AVERAGE(OFFSET($R$3,0,0,'Données projet'!$E$9+1,1))-AVERAGE(OFFSET($H$3,0,0,'Données projet'!$E$9+1,1))</f>
        <v>432.80275651765203</v>
      </c>
      <c r="T141" s="62">
        <f t="shared" si="142"/>
        <v>203.89279893419919</v>
      </c>
      <c r="U141" s="16">
        <f>IF(ISNA(VLOOKUP(A141,'Données projet'!$A$35:$I$55,3,0)),0,VLOOKUP(A141,'Données projet'!$A$35:$I$55,3,0))</f>
        <v>10</v>
      </c>
      <c r="V141" s="16">
        <f>IF(ISNA(VLOOKUP(A141,'Données projet'!$A$35:$I$55,4,0)),0,VLOOKUP(A141,'Données projet'!$A$35:$I$55,4,0))</f>
        <v>39</v>
      </c>
      <c r="W141" s="17">
        <f>IF(ISNA(VLOOKUP(A141,'Données projet'!$A$35:$I$55,5,0)),0%,VLOOKUP(A141,'Données projet'!$A$35:$I$55,5,0)*VLOOKUP('Données projet'!$B$9,Paramètres!$A$1:$I$89,7,0))</f>
        <v>0.215</v>
      </c>
      <c r="X141" s="17">
        <f>IF(ISNA(VLOOKUP(A141,'Données projet'!$A$35:$I$55,6,0)),0%,VLOOKUP(A141,'Données projet'!$A$35:$I$55,6,0)*VLOOKUP('Données projet'!$B$9,Paramètres!$A$1:$I$89,7,0))</f>
        <v>0.17200000000000001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35.556840264336557</v>
      </c>
      <c r="AA141" s="23">
        <f>EXP(-LN(2)/25)*AA140+(1-EXP(-LN(2)/25))/(LN(2)/25)*Calculateur!V141*Calculateur!X141*VLOOKUP('Données projet'!$B$9,Paramètres!$A$1:$I$89,3,0)*0.475*44/12</f>
        <v>23.81694494354868</v>
      </c>
      <c r="AB141" s="23">
        <f>EXP(-LN(2)/2)*AB140+(1-EXP(-LN(2)/2))/(LN(2)/2)*V141*Y141*VLOOKUP('Données projet'!$B$9,Paramètres!$A$1:$I$89,3,0)*0.475*44/12</f>
        <v>0</v>
      </c>
      <c r="AC141" s="24">
        <f t="shared" si="111"/>
        <v>59.373785207885234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54.000000000000341</v>
      </c>
      <c r="AJ141" s="14">
        <f>AI141*VLOOKUP('Données projet'!$B$10,Paramètres!$A$1:$I$89,3,0)*VLOOKUP('Données projet'!$B$10,Paramètres!$A$1:$I$89,5,0)</f>
        <v>23.868000000000151</v>
      </c>
      <c r="AK141" s="14">
        <f t="shared" si="143"/>
        <v>7.6030930962115804</v>
      </c>
      <c r="AL141" s="22">
        <f t="shared" si="112"/>
        <v>54.812153809235433</v>
      </c>
      <c r="AM141" s="62">
        <f t="shared" si="113"/>
        <v>339.95348107474138</v>
      </c>
      <c r="AN141" s="62">
        <f ca="1">AVERAGE(OFFSET($AM$3,0,0,'Données projet'!$E$10+1,1))-AVERAGE(OFFSET($H$3,0,0,'Données projet'!$E$10+1,1))</f>
        <v>413.08876898406481</v>
      </c>
      <c r="AO141" s="62">
        <f t="shared" si="144"/>
        <v>520.31320932826566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58.624259730325669</v>
      </c>
      <c r="AV141" s="23">
        <f>EXP(-LN(2)/25)*AV140+(1-EXP(-LN(2)/25))/(LN(2)/25)*Calculateur!AQ141*Calculateur!AS141*VLOOKUP('Données projet'!$B$10,Paramètres!$A$1:$I$89,3,0)*0.475*44/12</f>
        <v>2.3209621591515477</v>
      </c>
      <c r="AW141" s="23">
        <f>EXP(-LN(2)/2)*AW140+(1-EXP(-LN(2)/2))/(LN(2)/2)*AQ141*AT141*VLOOKUP('Données projet'!$B$10,Paramètres!$A$1:$I$89,3,0)*0.475*44/12</f>
        <v>4.0476929046537233E-14</v>
      </c>
      <c r="AX141" s="23">
        <f t="shared" si="114"/>
        <v>60.94522188947726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54.000000000000341</v>
      </c>
      <c r="BE141" s="14">
        <f>BD141*VLOOKUP('Données projet'!$B$11,Paramètres!$A$1:$I$89,3,0)*VLOOKUP('Données projet'!$B$11,Paramètres!$A$1:$I$89,5,0)</f>
        <v>30.186000000000188</v>
      </c>
      <c r="BF141" s="14">
        <f t="shared" si="145"/>
        <v>9.3563888882899153</v>
      </c>
      <c r="BG141" s="22">
        <f t="shared" si="115"/>
        <v>68.869660647105263</v>
      </c>
      <c r="BH141" s="62">
        <f t="shared" si="116"/>
        <v>354.0109879126112</v>
      </c>
      <c r="BI141" s="62">
        <f ca="1">AVERAGE(OFFSET($BH$3,0,0,'Données projet'!$E$11+1,1))-AVERAGE(OFFSET($H$3,0,0,'Données projet'!$E$11+1,1))</f>
        <v>507.66185230065889</v>
      </c>
      <c r="BJ141" s="62">
        <f t="shared" si="146"/>
        <v>640.14375617778342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74.142446129529475</v>
      </c>
      <c r="BQ141" s="23">
        <f>EXP(-LN(2)/25)*BQ140+(1-EXP(-LN(2)/25))/(LN(2)/25)*Calculateur!BL141*Calculateur!BN141*VLOOKUP('Données projet'!$B$11,Paramètres!$A$1:$I$89,3,0)*0.475*44/12</f>
        <v>2.9353344953975484</v>
      </c>
      <c r="BR141" s="23">
        <f>EXP(-LN(2)/2)*BR140+(1-EXP(-LN(2)/2))/(LN(2)/2)*BL141*BO141*VLOOKUP('Données projet'!$B$11,Paramètres!$A$1:$I$89,3,0)*0.475*44/12</f>
        <v>5.1191410264738299E-14</v>
      </c>
      <c r="BS141" s="24">
        <f t="shared" si="117"/>
        <v>77.077780624927087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417.04879970000007</v>
      </c>
      <c r="BZ141" s="14">
        <f>BY141*VLOOKUP('Données projet'!$B$12,Paramètres!$A$1:$I$89,3,0)*VLOOKUP('Données projet'!$B$12,Paramètres!$A$1:$I$89,5,0)</f>
        <v>195.17883825960004</v>
      </c>
      <c r="CA141" s="14">
        <f t="shared" si="147"/>
        <v>48.683122291673484</v>
      </c>
      <c r="CB141" s="22">
        <f t="shared" si="118"/>
        <v>424.72624796013469</v>
      </c>
      <c r="CC141" s="62">
        <f t="shared" si="119"/>
        <v>709.86757522564062</v>
      </c>
      <c r="CD141" s="62">
        <f ca="1">AVERAGE(OFFSET($CC$3,0,0,'Données projet'!$E$12+1,1))-AVERAGE(OFFSET($H$3,0,0,'Données projet'!$E$12+1,1))</f>
        <v>289.21044803824958</v>
      </c>
      <c r="CE141" s="62">
        <f t="shared" si="148"/>
        <v>196.11836398299445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>
        <f>EXP(-LN(2)/35)*CK140+(1-EXP(-LN(2)/35))/(LN(2)/35)*CG141*CH141*VLOOKUP('Données projet'!$B$12,Paramètres!$A$1:$I$89,3,0)*0.475*44/12</f>
        <v>32.449884592651372</v>
      </c>
      <c r="CL141" s="23">
        <f>EXP(-LN(2)/25)*CL140+(1-EXP(-LN(2)/25))/(LN(2)/25)*Calculateur!CG141*Calculateur!CI141*VLOOKUP('Données projet'!$B$12,Paramètres!$A$1:$I$89,3,0)*0.475*44/12</f>
        <v>11.178549613056662</v>
      </c>
      <c r="CM141" s="23">
        <f>EXP(-LN(2)/2)*CM140+(1-EXP(-LN(2)/2))/(LN(2)/2)*CG141*CJ141*VLOOKUP('Données projet'!$B$12,Paramètres!$A$1:$I$89,3,0)*0.475*44/12</f>
        <v>0</v>
      </c>
      <c r="CN141" s="24">
        <f t="shared" si="120"/>
        <v>43.628434205708032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-5.6843418860808015E-14</v>
      </c>
      <c r="CU141" s="18">
        <f>CT141*VLOOKUP('Données projet'!$B$13,Paramètres!$A$1:$I$89,3,0)*VLOOKUP('Données projet'!$B$13,Paramètres!$A$1:$I$89,5,0)</f>
        <v>-5.1431925385259088E-14</v>
      </c>
      <c r="CV141" s="14" t="e">
        <f t="shared" si="149"/>
        <v>#NUM!</v>
      </c>
      <c r="CW141" s="22" t="e">
        <f t="shared" si="121"/>
        <v>#NUM!</v>
      </c>
      <c r="CX141" s="62" t="e">
        <f t="shared" si="122"/>
        <v>#NUM!</v>
      </c>
      <c r="CY141" s="62">
        <f ca="1">AVERAGE(OFFSET($CX$3,0,0,'Données projet'!$E$13+1,1))-AVERAGE(OFFSET($H$3,0,0,'Données projet'!$E$13+1,1))</f>
        <v>376.68007030857598</v>
      </c>
      <c r="CZ141" s="62">
        <f t="shared" si="150"/>
        <v>532.90758914457626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>
        <f>EXP(-LN(2)/35)*DF140+(1-EXP(-LN(2)/35))/(LN(2)/35)*DB141*DC141*VLOOKUP('Données projet'!$B$13,Paramètres!$A$1:$I$89,3,0)*0.475*44/12</f>
        <v>14.842116914004402</v>
      </c>
      <c r="DG141" s="23">
        <f>EXP(-LN(2)/25)*DG140+(1-EXP(-LN(2)/25))/(LN(2)/25)*Calculateur!DB141*Calculateur!DD141*VLOOKUP('Données projet'!$B$13,Paramètres!$A$1:$I$89,3,0)*0.475*44/12</f>
        <v>0.65588856676041718</v>
      </c>
      <c r="DH141" s="23">
        <f>EXP(-LN(2)/2)*DH140+(1-EXP(-LN(2)/2))/(LN(2)/2)*DB141*DE141*VLOOKUP('Données projet'!$B$13,Paramètres!$A$1:$I$89,3,0)*0.475*44/12</f>
        <v>0</v>
      </c>
      <c r="DI141" s="24">
        <f t="shared" si="123"/>
        <v>15.498005480764819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5.6843418860808015E-14</v>
      </c>
      <c r="DP141" s="18">
        <f>DO141*VLOOKUP('Données projet'!$B$14,Paramètres!$A$1:$I$89,3,0)*VLOOKUP('Données projet'!$B$14,Paramètres!$A$1:$I$89,5,0)</f>
        <v>5.4092197387944907E-14</v>
      </c>
      <c r="DQ141" s="14">
        <f t="shared" si="151"/>
        <v>8.7287050538073676E-13</v>
      </c>
      <c r="DR141" s="22">
        <f t="shared" si="124"/>
        <v>1.6144600406554537E-12</v>
      </c>
      <c r="DS141" s="62">
        <f t="shared" si="125"/>
        <v>285.14132726550753</v>
      </c>
      <c r="DT141" s="62">
        <f ca="1">AVERAGE(OFFSET($DS$3,0,0,'Données projet'!$E$14+1,1))-AVERAGE(OFFSET($H$3,0,0,'Données projet'!$E$14+1,1))</f>
        <v>364.63161066507769</v>
      </c>
      <c r="DU141" s="62">
        <f t="shared" si="152"/>
        <v>355.44729904860708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>
        <f>EXP(-LN(2)/35)*EA140+(1-EXP(-LN(2)/35))/(LN(2)/35)*DW141*DX141*VLOOKUP('Données projet'!$B$14,Paramètres!$A$1:$I$89,3,0)*0.475*44/12</f>
        <v>42.079363359055584</v>
      </c>
      <c r="EB141" s="23">
        <f>EXP(-LN(2)/25)*EB140+(1-EXP(-LN(2)/25))/(LN(2)/25)*Calculateur!DW141*Calculateur!DY141*VLOOKUP('Données projet'!$B$14,Paramètres!$A$1:$I$89,3,0)*0.475*44/12</f>
        <v>0</v>
      </c>
      <c r="EC141" s="23">
        <f>EXP(-LN(2)/2)*EC140+(1-EXP(-LN(2)/2))/(LN(2)/2)*DW141*DZ141*VLOOKUP('Données projet'!$B$14,Paramètres!$A$1:$I$89,3,0)*0.475*44/12</f>
        <v>0</v>
      </c>
      <c r="ED141" s="24">
        <f t="shared" si="126"/>
        <v>42.079363359055584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5.6843418860808015E-14</v>
      </c>
      <c r="EK141" s="18">
        <f>EJ141*VLOOKUP('Données projet'!$B$15,Paramètres!$A$1:$I$89,3,0)*VLOOKUP('Données projet'!$B$15,Paramètres!$A$1:$I$89,5,0)</f>
        <v>4.1677594708744434E-14</v>
      </c>
      <c r="EL141" s="14">
        <f t="shared" si="153"/>
        <v>6.9326303456159188E-13</v>
      </c>
      <c r="EM141" s="22">
        <f t="shared" si="127"/>
        <v>1.2800215959791691E-12</v>
      </c>
      <c r="EN141" s="62">
        <f t="shared" si="128"/>
        <v>285.14132726550724</v>
      </c>
      <c r="EO141" s="62">
        <f ca="1">AVERAGE(OFFSET($EN$3,0,0,'Données projet'!$E$15+1,1))-AVERAGE(OFFSET($H$3,0,0,'Données projet'!$E$15+1,1))</f>
        <v>293.59366973965774</v>
      </c>
      <c r="EP141" s="62">
        <f t="shared" si="154"/>
        <v>288.13804536120426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>
        <f>EXP(-LN(2)/35)*EV140+(1-EXP(-LN(2)/35))/(LN(2)/35)*ER141*ES141*VLOOKUP('Données projet'!$B$15,Paramètres!$A$1:$I$89,3,0)*0.475*44/12</f>
        <v>32.421804555337907</v>
      </c>
      <c r="EW141" s="23">
        <f>EXP(-LN(2)/25)*EW140+(1-EXP(-LN(2)/25))/(LN(2)/25)*Calculateur!ER141*Calculateur!ET141*VLOOKUP('Données projet'!$B$15,Paramètres!$A$1:$I$89,3,0)*0.475*44/12</f>
        <v>0</v>
      </c>
      <c r="EX141" s="23">
        <f>EXP(-LN(2)/2)*EX140+(1-EXP(-LN(2)/2))/(LN(2)/2)*ER141*EU141*VLOOKUP('Données projet'!$B$15,Paramètres!$A$1:$I$89,3,0)*0.475*44/12</f>
        <v>0</v>
      </c>
      <c r="EY141" s="24">
        <f t="shared" si="129"/>
        <v>32.421804555337907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5.6843418860808015E-14</v>
      </c>
      <c r="FF141" s="18">
        <f>FE141*VLOOKUP('Données projet'!$B$16,Paramètres!$A$1:$I$89,3,0)*VLOOKUP('Données projet'!$B$16,Paramètres!$A$1:$I$89,5,0)</f>
        <v>5.4978954722173515E-14</v>
      </c>
      <c r="FG141" s="14">
        <f t="shared" si="155"/>
        <v>8.8550225887742724E-13</v>
      </c>
      <c r="FH141" s="22">
        <f t="shared" si="130"/>
        <v>1.6380047803526383E-12</v>
      </c>
      <c r="FI141" s="62">
        <f t="shared" si="131"/>
        <v>285.14132726550758</v>
      </c>
      <c r="FJ141" s="62">
        <f ca="1">AVERAGE(OFFSET($FI$3,0,0,'Données projet'!$E$16+1,1))-AVERAGE(OFFSET($H$3,0,0,'Données projet'!$E$16+1,1))</f>
        <v>369.69145521630799</v>
      </c>
      <c r="FK141" s="62">
        <f t="shared" si="156"/>
        <v>360.24112103688719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>
        <f>EXP(-LN(2)/35)*FQ140+(1-EXP(-LN(2)/35))/(LN(2)/35)*FM141*FN141*VLOOKUP('Données projet'!$B$16,Paramètres!$A$1:$I$89,3,0)*0.475*44/12</f>
        <v>42.769188987892562</v>
      </c>
      <c r="FR141" s="23">
        <f>EXP(-LN(2)/25)*FR140+(1-EXP(-LN(2)/25))/(LN(2)/25)*Calculateur!FM141*Calculateur!FO141*VLOOKUP('Données projet'!$B$16,Paramètres!$A$1:$I$89,3,0)*0.475*44/12</f>
        <v>0</v>
      </c>
      <c r="FS141" s="23">
        <f>EXP(-LN(2)/2)*FS140+(1-EXP(-LN(2)/2))/(LN(2)/2)*FM141*FP141*VLOOKUP('Données projet'!$B$16,Paramètres!$A$1:$I$89,3,0)*0.475*44/12</f>
        <v>0</v>
      </c>
      <c r="FT141" s="24">
        <f t="shared" si="132"/>
        <v>42.769188987892562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5.6843418860808015E-14</v>
      </c>
      <c r="GA141" s="18">
        <f>FZ141*VLOOKUP('Données projet'!$B$17,Paramètres!$A$1:$I$89,3,0)*VLOOKUP('Données projet'!$B$17,Paramètres!$A$1:$I$89,5,0)</f>
        <v>6.1186256061773749E-14</v>
      </c>
      <c r="GB141" s="14">
        <f t="shared" si="157"/>
        <v>9.7328366192051127E-13</v>
      </c>
      <c r="GC141" s="22">
        <f t="shared" si="133"/>
        <v>1.8017017738191463E-12</v>
      </c>
      <c r="GD141" s="62">
        <f t="shared" si="134"/>
        <v>285.14132726550775</v>
      </c>
      <c r="GE141" s="62">
        <f ca="1">AVERAGE(OFFSET($GD$3,0,0,'Données projet'!$E$17+1,1))-AVERAGE(OFFSET($H$3,0,0,'Données projet'!$E$17+1,1))</f>
        <v>405.06394904053946</v>
      </c>
      <c r="GF141" s="62">
        <f t="shared" si="158"/>
        <v>393.75247087518198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>
        <f>EXP(-LN(2)/35)*GL140+(1-EXP(-LN(2)/35))/(LN(2)/35)*GH141*GI141*VLOOKUP('Données projet'!$B$17,Paramètres!$A$1:$I$89,3,0)*0.475*44/12</f>
        <v>47.597968389751387</v>
      </c>
      <c r="GM141" s="23">
        <f>EXP(-LN(2)/25)*GM140+(1-EXP(-LN(2)/25))/(LN(2)/25)*Calculateur!GH141*Calculateur!GJ141*VLOOKUP('Données projet'!$B$17,Paramètres!$A$1:$I$89,3,0)*0.475*44/12</f>
        <v>0</v>
      </c>
      <c r="GN141" s="23">
        <f>EXP(-LN(2)/2)*GN140+(1-EXP(-LN(2)/2))/(LN(2)/2)*GH141*GK141*VLOOKUP('Données projet'!$B$17,Paramètres!$A$1:$I$89,3,0)*0.475*44/12</f>
        <v>0</v>
      </c>
      <c r="GO141" s="23">
        <f t="shared" si="135"/>
        <v>47.597968389751387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5.6843418860808015E-14</v>
      </c>
      <c r="GV141" s="18">
        <f>GU141*VLOOKUP('Données projet'!$B$18,Paramètres!$A$1:$I$89,3,0)*VLOOKUP('Données projet'!$B$18,Paramètres!$A$1:$I$89,5,0)</f>
        <v>3.813056537183002E-14</v>
      </c>
      <c r="GW141" s="14">
        <f t="shared" si="159"/>
        <v>6.4086286045526829E-13</v>
      </c>
      <c r="GX141" s="22">
        <f t="shared" si="136"/>
        <v>1.1825802166488628E-12</v>
      </c>
      <c r="GY141" s="62">
        <f t="shared" si="137"/>
        <v>285.14132726550713</v>
      </c>
      <c r="GZ141" s="62">
        <f ca="1">AVERAGE(OFFSET($GY$3,0,0,'Données projet'!$E$18+1,1))-AVERAGE(OFFSET($H$3,0,0,'Données projet'!$E$18+1,1))</f>
        <v>273.21861937609918</v>
      </c>
      <c r="HA141" s="62">
        <f t="shared" si="160"/>
        <v>268.83004886965318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>
        <f>EXP(-LN(2)/35)*HG140+(1-EXP(-LN(2)/35))/(LN(2)/35)*HC141*HD141*VLOOKUP('Données projet'!$B$18,Paramètres!$A$1:$I$89,3,0)*0.475*44/12</f>
        <v>36.560758328359761</v>
      </c>
      <c r="HH141" s="23">
        <f>EXP(-LN(2)/25)*HH140+(1-EXP(-LN(2)/25))/(LN(2)/25)*Calculateur!HC141*Calculateur!HE141*VLOOKUP('Données projet'!$B$18,Paramètres!$A$1:$I$89,3,0)*0.475*44/12</f>
        <v>0</v>
      </c>
      <c r="HI141" s="23">
        <f>EXP(-LN(2)/2)*HI140+(1-EXP(-LN(2)/2))/(LN(2)/2)*HC141*HF141*VLOOKUP('Données projet'!$B$18,Paramètres!$A$1:$I$89,3,0)*0.475*44/12</f>
        <v>0</v>
      </c>
      <c r="HJ141" s="24">
        <f t="shared" si="138"/>
        <v>36.560758328359761</v>
      </c>
    </row>
    <row r="142" spans="1:218" s="5" customFormat="1" x14ac:dyDescent="0.4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5.8</v>
      </c>
      <c r="N142" s="14">
        <f>IF('Données projet'!$A$36&gt;35,N141+M142-V141,IF(A142&lt;'Données projet'!$A$36,$K$205^A142,IF(A142='Données projet'!$A$36,'Données projet'!$B$36,N141+M142-V141)))</f>
        <v>281.79999999999995</v>
      </c>
      <c r="O142" s="14">
        <f>N142*VLOOKUP('Données projet'!$B$9,Paramètres!$A$1:$I$89,3,0)*VLOOKUP('Données projet'!$B$9,Paramètres!$A$1:$I$89,5,0)</f>
        <v>254.97263999999996</v>
      </c>
      <c r="P142" s="14">
        <f t="shared" si="141"/>
        <v>61.649533232533919</v>
      </c>
      <c r="Q142" s="22">
        <f t="shared" si="108"/>
        <v>551.45028504666311</v>
      </c>
      <c r="R142" s="62">
        <f t="shared" si="109"/>
        <v>836.73372530286406</v>
      </c>
      <c r="S142" s="62">
        <f ca="1">AVERAGE(OFFSET($R$3,0,0,'Données projet'!$E$9+1,1))-AVERAGE(OFFSET($H$3,0,0,'Données projet'!$E$9+1,1))</f>
        <v>432.80275651765203</v>
      </c>
      <c r="T142" s="62">
        <f t="shared" si="142"/>
        <v>203.89279893419919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34.859592314284015</v>
      </c>
      <c r="AA142" s="23">
        <f>EXP(-LN(2)/25)*AA141+(1-EXP(-LN(2)/25))/(LN(2)/25)*Calculateur!V142*Calculateur!X142*VLOOKUP('Données projet'!$B$9,Paramètres!$A$1:$I$89,3,0)*0.475*44/12</f>
        <v>23.165669331588642</v>
      </c>
      <c r="AB142" s="23">
        <f>EXP(-LN(2)/2)*AB141+(1-EXP(-LN(2)/2))/(LN(2)/2)*V142*Y142*VLOOKUP('Données projet'!$B$9,Paramètres!$A$1:$I$89,3,0)*0.475*44/12</f>
        <v>0</v>
      </c>
      <c r="AC142" s="24">
        <f t="shared" si="111"/>
        <v>58.025261645872661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54.000000000000341</v>
      </c>
      <c r="AJ142" s="14">
        <f>AI142*VLOOKUP('Données projet'!$B$10,Paramètres!$A$1:$I$89,3,0)*VLOOKUP('Données projet'!$B$10,Paramètres!$A$1:$I$89,5,0)</f>
        <v>23.868000000000151</v>
      </c>
      <c r="AK142" s="14">
        <f t="shared" si="143"/>
        <v>7.6030930962115804</v>
      </c>
      <c r="AL142" s="22">
        <f t="shared" si="112"/>
        <v>54.812153809235433</v>
      </c>
      <c r="AM142" s="62">
        <f t="shared" si="113"/>
        <v>340.09559406543633</v>
      </c>
      <c r="AN142" s="62">
        <f ca="1">AVERAGE(OFFSET($AM$3,0,0,'Données projet'!$E$10+1,1))-AVERAGE(OFFSET($H$3,0,0,'Données projet'!$E$10+1,1))</f>
        <v>413.08876898406481</v>
      </c>
      <c r="AO142" s="62">
        <f t="shared" si="144"/>
        <v>520.31320932826566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57.474673754281682</v>
      </c>
      <c r="AV142" s="23">
        <f>EXP(-LN(2)/25)*AV141+(1-EXP(-LN(2)/25))/(LN(2)/25)*Calculateur!AQ142*Calculateur!AS142*VLOOKUP('Données projet'!$B$10,Paramètres!$A$1:$I$89,3,0)*0.475*44/12</f>
        <v>2.2574953268554534</v>
      </c>
      <c r="AW142" s="23">
        <f>EXP(-LN(2)/2)*AW141+(1-EXP(-LN(2)/2))/(LN(2)/2)*AQ142*AT142*VLOOKUP('Données projet'!$B$10,Paramètres!$A$1:$I$89,3,0)*0.475*44/12</f>
        <v>2.8621511010413211E-14</v>
      </c>
      <c r="AX142" s="23">
        <f t="shared" si="114"/>
        <v>59.732169081137165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54.000000000000341</v>
      </c>
      <c r="BE142" s="14">
        <f>BD142*VLOOKUP('Données projet'!$B$11,Paramètres!$A$1:$I$89,3,0)*VLOOKUP('Données projet'!$B$11,Paramètres!$A$1:$I$89,5,0)</f>
        <v>30.186000000000188</v>
      </c>
      <c r="BF142" s="14">
        <f t="shared" si="145"/>
        <v>9.3563888882899153</v>
      </c>
      <c r="BG142" s="22">
        <f t="shared" si="115"/>
        <v>68.869660647105263</v>
      </c>
      <c r="BH142" s="62">
        <f t="shared" si="116"/>
        <v>354.15310090330615</v>
      </c>
      <c r="BI142" s="62">
        <f ca="1">AVERAGE(OFFSET($BH$3,0,0,'Données projet'!$E$11+1,1))-AVERAGE(OFFSET($H$3,0,0,'Données projet'!$E$11+1,1))</f>
        <v>507.66185230065889</v>
      </c>
      <c r="BJ142" s="62">
        <f t="shared" si="146"/>
        <v>640.14375617778342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72.688557983356191</v>
      </c>
      <c r="BQ142" s="23">
        <f>EXP(-LN(2)/25)*BQ141+(1-EXP(-LN(2)/25))/(LN(2)/25)*Calculateur!BL142*Calculateur!BN142*VLOOKUP('Données projet'!$B$11,Paramètres!$A$1:$I$89,3,0)*0.475*44/12</f>
        <v>2.8550676192583699</v>
      </c>
      <c r="BR142" s="23">
        <f>EXP(-LN(2)/2)*BR141+(1-EXP(-LN(2)/2))/(LN(2)/2)*BL142*BO142*VLOOKUP('Données projet'!$B$11,Paramètres!$A$1:$I$89,3,0)*0.475*44/12</f>
        <v>3.6197793336699087E-14</v>
      </c>
      <c r="BS142" s="24">
        <f t="shared" si="117"/>
        <v>75.543625602614597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417.04879970000007</v>
      </c>
      <c r="BZ142" s="14">
        <f>BY142*VLOOKUP('Données projet'!$B$12,Paramètres!$A$1:$I$89,3,0)*VLOOKUP('Données projet'!$B$12,Paramètres!$A$1:$I$89,5,0)</f>
        <v>195.17883825960004</v>
      </c>
      <c r="CA142" s="14">
        <f t="shared" si="147"/>
        <v>48.683122291673484</v>
      </c>
      <c r="CB142" s="22">
        <f t="shared" si="118"/>
        <v>424.72624796013469</v>
      </c>
      <c r="CC142" s="62">
        <f t="shared" si="119"/>
        <v>710.00968821633558</v>
      </c>
      <c r="CD142" s="62">
        <f ca="1">AVERAGE(OFFSET($CC$3,0,0,'Données projet'!$E$12+1,1))-AVERAGE(OFFSET($H$3,0,0,'Données projet'!$E$12+1,1))</f>
        <v>289.21044803824958</v>
      </c>
      <c r="CE142" s="62">
        <f t="shared" si="148"/>
        <v>196.11836398299445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>
        <f>EXP(-LN(2)/35)*CK141+(1-EXP(-LN(2)/35))/(LN(2)/35)*CG142*CH142*VLOOKUP('Données projet'!$B$12,Paramètres!$A$1:$I$89,3,0)*0.475*44/12</f>
        <v>31.813562148264737</v>
      </c>
      <c r="CL142" s="23">
        <f>EXP(-LN(2)/25)*CL141+(1-EXP(-LN(2)/25))/(LN(2)/25)*Calculateur!CG142*Calculateur!CI142*VLOOKUP('Données projet'!$B$12,Paramètres!$A$1:$I$89,3,0)*0.475*44/12</f>
        <v>10.872871586033252</v>
      </c>
      <c r="CM142" s="23">
        <f>EXP(-LN(2)/2)*CM141+(1-EXP(-LN(2)/2))/(LN(2)/2)*CG142*CJ142*VLOOKUP('Données projet'!$B$12,Paramètres!$A$1:$I$89,3,0)*0.475*44/12</f>
        <v>0</v>
      </c>
      <c r="CN142" s="24">
        <f t="shared" si="120"/>
        <v>42.686433734297992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-5.6843418860808015E-14</v>
      </c>
      <c r="CU142" s="18">
        <f>CT142*VLOOKUP('Données projet'!$B$13,Paramètres!$A$1:$I$89,3,0)*VLOOKUP('Données projet'!$B$13,Paramètres!$A$1:$I$89,5,0)</f>
        <v>-5.1431925385259088E-14</v>
      </c>
      <c r="CV142" s="14" t="e">
        <f t="shared" si="149"/>
        <v>#NUM!</v>
      </c>
      <c r="CW142" s="22" t="e">
        <f t="shared" si="121"/>
        <v>#NUM!</v>
      </c>
      <c r="CX142" s="62" t="e">
        <f t="shared" si="122"/>
        <v>#NUM!</v>
      </c>
      <c r="CY142" s="62">
        <f ca="1">AVERAGE(OFFSET($CX$3,0,0,'Données projet'!$E$13+1,1))-AVERAGE(OFFSET($H$3,0,0,'Données projet'!$E$13+1,1))</f>
        <v>376.68007030857598</v>
      </c>
      <c r="CZ142" s="62">
        <f t="shared" si="150"/>
        <v>532.90758914457626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>
        <f>EXP(-LN(2)/35)*DF141+(1-EXP(-LN(2)/35))/(LN(2)/35)*DB142*DC142*VLOOKUP('Données projet'!$B$13,Paramètres!$A$1:$I$89,3,0)*0.475*44/12</f>
        <v>14.551072054118203</v>
      </c>
      <c r="DG142" s="23">
        <f>EXP(-LN(2)/25)*DG141+(1-EXP(-LN(2)/25))/(LN(2)/25)*Calculateur!DB142*Calculateur!DD142*VLOOKUP('Données projet'!$B$13,Paramètres!$A$1:$I$89,3,0)*0.475*44/12</f>
        <v>0.63795325941067293</v>
      </c>
      <c r="DH142" s="23">
        <f>EXP(-LN(2)/2)*DH141+(1-EXP(-LN(2)/2))/(LN(2)/2)*DB142*DE142*VLOOKUP('Données projet'!$B$13,Paramètres!$A$1:$I$89,3,0)*0.475*44/12</f>
        <v>0</v>
      </c>
      <c r="DI142" s="24">
        <f t="shared" si="123"/>
        <v>15.189025313528877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5.6843418860808015E-14</v>
      </c>
      <c r="DP142" s="18">
        <f>DO142*VLOOKUP('Données projet'!$B$14,Paramètres!$A$1:$I$89,3,0)*VLOOKUP('Données projet'!$B$14,Paramètres!$A$1:$I$89,5,0)</f>
        <v>5.4092197387944907E-14</v>
      </c>
      <c r="DQ142" s="14">
        <f t="shared" si="151"/>
        <v>8.7287050538073676E-13</v>
      </c>
      <c r="DR142" s="22">
        <f t="shared" si="124"/>
        <v>1.6144600406554537E-12</v>
      </c>
      <c r="DS142" s="62">
        <f t="shared" si="125"/>
        <v>285.28344025620248</v>
      </c>
      <c r="DT142" s="62">
        <f ca="1">AVERAGE(OFFSET($DS$3,0,0,'Données projet'!$E$14+1,1))-AVERAGE(OFFSET($H$3,0,0,'Données projet'!$E$14+1,1))</f>
        <v>364.63161066507769</v>
      </c>
      <c r="DU142" s="62">
        <f t="shared" si="152"/>
        <v>355.44729904860708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>
        <f>EXP(-LN(2)/35)*EA141+(1-EXP(-LN(2)/35))/(LN(2)/35)*DW142*DX142*VLOOKUP('Données projet'!$B$14,Paramètres!$A$1:$I$89,3,0)*0.475*44/12</f>
        <v>41.254212709461861</v>
      </c>
      <c r="EB142" s="23">
        <f>EXP(-LN(2)/25)*EB141+(1-EXP(-LN(2)/25))/(LN(2)/25)*Calculateur!DW142*Calculateur!DY142*VLOOKUP('Données projet'!$B$14,Paramètres!$A$1:$I$89,3,0)*0.475*44/12</f>
        <v>0</v>
      </c>
      <c r="EC142" s="23">
        <f>EXP(-LN(2)/2)*EC141+(1-EXP(-LN(2)/2))/(LN(2)/2)*DW142*DZ142*VLOOKUP('Données projet'!$B$14,Paramètres!$A$1:$I$89,3,0)*0.475*44/12</f>
        <v>0</v>
      </c>
      <c r="ED142" s="24">
        <f t="shared" si="126"/>
        <v>41.254212709461861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5.6843418860808015E-14</v>
      </c>
      <c r="EK142" s="18">
        <f>EJ142*VLOOKUP('Données projet'!$B$15,Paramètres!$A$1:$I$89,3,0)*VLOOKUP('Données projet'!$B$15,Paramètres!$A$1:$I$89,5,0)</f>
        <v>4.1677594708744434E-14</v>
      </c>
      <c r="EL142" s="14">
        <f t="shared" si="153"/>
        <v>6.9326303456159188E-13</v>
      </c>
      <c r="EM142" s="22">
        <f t="shared" si="127"/>
        <v>1.2800215959791691E-12</v>
      </c>
      <c r="EN142" s="62">
        <f t="shared" si="128"/>
        <v>285.2834402562022</v>
      </c>
      <c r="EO142" s="62">
        <f ca="1">AVERAGE(OFFSET($EN$3,0,0,'Données projet'!$E$15+1,1))-AVERAGE(OFFSET($H$3,0,0,'Données projet'!$E$15+1,1))</f>
        <v>293.59366973965774</v>
      </c>
      <c r="EP142" s="62">
        <f t="shared" si="154"/>
        <v>288.13804536120426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>
        <f>EXP(-LN(2)/35)*EV141+(1-EXP(-LN(2)/35))/(LN(2)/35)*ER142*ES142*VLOOKUP('Données projet'!$B$15,Paramètres!$A$1:$I$89,3,0)*0.475*44/12</f>
        <v>31.786032743355857</v>
      </c>
      <c r="EW142" s="23">
        <f>EXP(-LN(2)/25)*EW141+(1-EXP(-LN(2)/25))/(LN(2)/25)*Calculateur!ER142*Calculateur!ET142*VLOOKUP('Données projet'!$B$15,Paramètres!$A$1:$I$89,3,0)*0.475*44/12</f>
        <v>0</v>
      </c>
      <c r="EX142" s="23">
        <f>EXP(-LN(2)/2)*EX141+(1-EXP(-LN(2)/2))/(LN(2)/2)*ER142*EU142*VLOOKUP('Données projet'!$B$15,Paramètres!$A$1:$I$89,3,0)*0.475*44/12</f>
        <v>0</v>
      </c>
      <c r="EY142" s="24">
        <f t="shared" si="129"/>
        <v>31.786032743355857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5.6843418860808015E-14</v>
      </c>
      <c r="FF142" s="18">
        <f>FE142*VLOOKUP('Données projet'!$B$16,Paramètres!$A$1:$I$89,3,0)*VLOOKUP('Données projet'!$B$16,Paramètres!$A$1:$I$89,5,0)</f>
        <v>5.4978954722173515E-14</v>
      </c>
      <c r="FG142" s="14">
        <f t="shared" si="155"/>
        <v>8.8550225887742724E-13</v>
      </c>
      <c r="FH142" s="22">
        <f t="shared" si="130"/>
        <v>1.6380047803526383E-12</v>
      </c>
      <c r="FI142" s="62">
        <f t="shared" si="131"/>
        <v>285.28344025620254</v>
      </c>
      <c r="FJ142" s="62">
        <f ca="1">AVERAGE(OFFSET($FI$3,0,0,'Données projet'!$E$16+1,1))-AVERAGE(OFFSET($H$3,0,0,'Données projet'!$E$16+1,1))</f>
        <v>369.69145521630799</v>
      </c>
      <c r="FK142" s="62">
        <f t="shared" si="156"/>
        <v>360.24112103688719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>
        <f>EXP(-LN(2)/35)*FQ141+(1-EXP(-LN(2)/35))/(LN(2)/35)*FM142*FN142*VLOOKUP('Données projet'!$B$16,Paramètres!$A$1:$I$89,3,0)*0.475*44/12</f>
        <v>41.930511278469432</v>
      </c>
      <c r="FR142" s="23">
        <f>EXP(-LN(2)/25)*FR141+(1-EXP(-LN(2)/25))/(LN(2)/25)*Calculateur!FM142*Calculateur!FO142*VLOOKUP('Données projet'!$B$16,Paramètres!$A$1:$I$89,3,0)*0.475*44/12</f>
        <v>0</v>
      </c>
      <c r="FS142" s="23">
        <f>EXP(-LN(2)/2)*FS141+(1-EXP(-LN(2)/2))/(LN(2)/2)*FM142*FP142*VLOOKUP('Données projet'!$B$16,Paramètres!$A$1:$I$89,3,0)*0.475*44/12</f>
        <v>0</v>
      </c>
      <c r="FT142" s="24">
        <f t="shared" si="132"/>
        <v>41.930511278469432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5.6843418860808015E-14</v>
      </c>
      <c r="GA142" s="18">
        <f>FZ142*VLOOKUP('Données projet'!$B$17,Paramètres!$A$1:$I$89,3,0)*VLOOKUP('Données projet'!$B$17,Paramètres!$A$1:$I$89,5,0)</f>
        <v>6.1186256061773749E-14</v>
      </c>
      <c r="GB142" s="14">
        <f t="shared" si="157"/>
        <v>9.7328366192051127E-13</v>
      </c>
      <c r="GC142" s="22">
        <f t="shared" si="133"/>
        <v>1.8017017738191463E-12</v>
      </c>
      <c r="GD142" s="62">
        <f t="shared" si="134"/>
        <v>285.28344025620271</v>
      </c>
      <c r="GE142" s="62">
        <f ca="1">AVERAGE(OFFSET($GD$3,0,0,'Données projet'!$E$17+1,1))-AVERAGE(OFFSET($H$3,0,0,'Données projet'!$E$17+1,1))</f>
        <v>405.06394904053946</v>
      </c>
      <c r="GF142" s="62">
        <f t="shared" si="158"/>
        <v>393.75247087518198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>
        <f>EXP(-LN(2)/35)*GL141+(1-EXP(-LN(2)/35))/(LN(2)/35)*GH142*GI142*VLOOKUP('Données projet'!$B$17,Paramètres!$A$1:$I$89,3,0)*0.475*44/12</f>
        <v>46.664601261522421</v>
      </c>
      <c r="GM142" s="23">
        <f>EXP(-LN(2)/25)*GM141+(1-EXP(-LN(2)/25))/(LN(2)/25)*Calculateur!GH142*Calculateur!GJ142*VLOOKUP('Données projet'!$B$17,Paramètres!$A$1:$I$89,3,0)*0.475*44/12</f>
        <v>0</v>
      </c>
      <c r="GN142" s="23">
        <f>EXP(-LN(2)/2)*GN141+(1-EXP(-LN(2)/2))/(LN(2)/2)*GH142*GK142*VLOOKUP('Données projet'!$B$17,Paramètres!$A$1:$I$89,3,0)*0.475*44/12</f>
        <v>0</v>
      </c>
      <c r="GO142" s="23">
        <f t="shared" si="135"/>
        <v>46.664601261522421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5.6843418860808015E-14</v>
      </c>
      <c r="GV142" s="18">
        <f>GU142*VLOOKUP('Données projet'!$B$18,Paramètres!$A$1:$I$89,3,0)*VLOOKUP('Données projet'!$B$18,Paramètres!$A$1:$I$89,5,0)</f>
        <v>3.813056537183002E-14</v>
      </c>
      <c r="GW142" s="14">
        <f t="shared" si="159"/>
        <v>6.4086286045526829E-13</v>
      </c>
      <c r="GX142" s="22">
        <f t="shared" si="136"/>
        <v>1.1825802166488628E-12</v>
      </c>
      <c r="GY142" s="62">
        <f t="shared" si="137"/>
        <v>285.28344025620208</v>
      </c>
      <c r="GZ142" s="62">
        <f ca="1">AVERAGE(OFFSET($GY$3,0,0,'Données projet'!$E$18+1,1))-AVERAGE(OFFSET($H$3,0,0,'Données projet'!$E$18+1,1))</f>
        <v>273.21861937609918</v>
      </c>
      <c r="HA142" s="62">
        <f t="shared" si="160"/>
        <v>268.83004886965318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>
        <f>EXP(-LN(2)/35)*HG141+(1-EXP(-LN(2)/35))/(LN(2)/35)*HC142*HD142*VLOOKUP('Données projet'!$B$18,Paramètres!$A$1:$I$89,3,0)*0.475*44/12</f>
        <v>35.843824157401279</v>
      </c>
      <c r="HH142" s="23">
        <f>EXP(-LN(2)/25)*HH141+(1-EXP(-LN(2)/25))/(LN(2)/25)*Calculateur!HC142*Calculateur!HE142*VLOOKUP('Données projet'!$B$18,Paramètres!$A$1:$I$89,3,0)*0.475*44/12</f>
        <v>0</v>
      </c>
      <c r="HI142" s="23">
        <f>EXP(-LN(2)/2)*HI141+(1-EXP(-LN(2)/2))/(LN(2)/2)*HC142*HF142*VLOOKUP('Données projet'!$B$18,Paramètres!$A$1:$I$89,3,0)*0.475*44/12</f>
        <v>0</v>
      </c>
      <c r="HJ142" s="24">
        <f t="shared" si="138"/>
        <v>35.843824157401279</v>
      </c>
    </row>
    <row r="143" spans="1:218" s="5" customFormat="1" x14ac:dyDescent="0.4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5.8</v>
      </c>
      <c r="N143" s="14">
        <f>IF('Données projet'!$A$36&gt;35,N142+M143-V142,IF(A143&lt;'Données projet'!$A$36,$K$205^A143,IF(A143='Données projet'!$A$36,'Données projet'!$B$36,N142+M143-V142)))</f>
        <v>287.59999999999997</v>
      </c>
      <c r="O143" s="14">
        <f>N143*VLOOKUP('Données projet'!$B$9,Paramètres!$A$1:$I$89,3,0)*VLOOKUP('Données projet'!$B$9,Paramètres!$A$1:$I$89,5,0)</f>
        <v>260.22047999999995</v>
      </c>
      <c r="P143" s="14">
        <f t="shared" si="141"/>
        <v>62.769373063603602</v>
      </c>
      <c r="Q143" s="22">
        <f t="shared" si="108"/>
        <v>562.54066075244293</v>
      </c>
      <c r="R143" s="62">
        <f t="shared" si="109"/>
        <v>847.96374865666735</v>
      </c>
      <c r="S143" s="62">
        <f ca="1">AVERAGE(OFFSET($R$3,0,0,'Données projet'!$E$9+1,1))-AVERAGE(OFFSET($H$3,0,0,'Données projet'!$E$9+1,1))</f>
        <v>432.80275651765203</v>
      </c>
      <c r="T143" s="62">
        <f t="shared" si="142"/>
        <v>203.89279893419919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34.176016971252743</v>
      </c>
      <c r="AA143" s="23">
        <f>EXP(-LN(2)/25)*AA142+(1-EXP(-LN(2)/25))/(LN(2)/25)*Calculateur!V143*Calculateur!X143*VLOOKUP('Données projet'!$B$9,Paramètres!$A$1:$I$89,3,0)*0.475*44/12</f>
        <v>22.532202885486747</v>
      </c>
      <c r="AB143" s="23">
        <f>EXP(-LN(2)/2)*AB142+(1-EXP(-LN(2)/2))/(LN(2)/2)*V143*Y143*VLOOKUP('Données projet'!$B$9,Paramètres!$A$1:$I$89,3,0)*0.475*44/12</f>
        <v>0</v>
      </c>
      <c r="AC143" s="24">
        <f t="shared" si="111"/>
        <v>56.70821985673949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54.000000000000341</v>
      </c>
      <c r="AJ143" s="14">
        <f>AI143*VLOOKUP('Données projet'!$B$10,Paramètres!$A$1:$I$89,3,0)*VLOOKUP('Données projet'!$B$10,Paramètres!$A$1:$I$89,5,0)</f>
        <v>23.868000000000151</v>
      </c>
      <c r="AK143" s="14">
        <f t="shared" si="143"/>
        <v>7.6030930962115804</v>
      </c>
      <c r="AL143" s="22">
        <f t="shared" si="112"/>
        <v>54.812153809235433</v>
      </c>
      <c r="AM143" s="62">
        <f t="shared" si="113"/>
        <v>340.2352417134598</v>
      </c>
      <c r="AN143" s="62">
        <f ca="1">AVERAGE(OFFSET($AM$3,0,0,'Données projet'!$E$10+1,1))-AVERAGE(OFFSET($H$3,0,0,'Données projet'!$E$10+1,1))</f>
        <v>413.08876898406481</v>
      </c>
      <c r="AO143" s="62">
        <f t="shared" si="144"/>
        <v>520.31320932826566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56.347630458049707</v>
      </c>
      <c r="AV143" s="23">
        <f>EXP(-LN(2)/25)*AV142+(1-EXP(-LN(2)/25))/(LN(2)/25)*Calculateur!AQ143*Calculateur!AS143*VLOOKUP('Données projet'!$B$10,Paramètres!$A$1:$I$89,3,0)*0.475*44/12</f>
        <v>2.1957639984260715</v>
      </c>
      <c r="AW143" s="23">
        <f>EXP(-LN(2)/2)*AW142+(1-EXP(-LN(2)/2))/(LN(2)/2)*AQ143*AT143*VLOOKUP('Données projet'!$B$10,Paramètres!$A$1:$I$89,3,0)*0.475*44/12</f>
        <v>2.0238464523268616E-14</v>
      </c>
      <c r="AX143" s="23">
        <f t="shared" si="114"/>
        <v>58.543394456475802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54.000000000000341</v>
      </c>
      <c r="BE143" s="14">
        <f>BD143*VLOOKUP('Données projet'!$B$11,Paramètres!$A$1:$I$89,3,0)*VLOOKUP('Données projet'!$B$11,Paramètres!$A$1:$I$89,5,0)</f>
        <v>30.186000000000188</v>
      </c>
      <c r="BF143" s="14">
        <f t="shared" si="145"/>
        <v>9.3563888882899153</v>
      </c>
      <c r="BG143" s="22">
        <f t="shared" si="115"/>
        <v>68.869660647105263</v>
      </c>
      <c r="BH143" s="62">
        <f t="shared" si="116"/>
        <v>354.29274855132962</v>
      </c>
      <c r="BI143" s="62">
        <f ca="1">AVERAGE(OFFSET($BH$3,0,0,'Données projet'!$E$11+1,1))-AVERAGE(OFFSET($H$3,0,0,'Données projet'!$E$11+1,1))</f>
        <v>507.66185230065889</v>
      </c>
      <c r="BJ143" s="62">
        <f t="shared" si="146"/>
        <v>640.14375617778342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71.263179696945159</v>
      </c>
      <c r="BQ143" s="23">
        <f>EXP(-LN(2)/25)*BQ142+(1-EXP(-LN(2)/25))/(LN(2)/25)*Calculateur!BL143*Calculateur!BN143*VLOOKUP('Données projet'!$B$11,Paramètres!$A$1:$I$89,3,0)*0.475*44/12</f>
        <v>2.7769956450682689</v>
      </c>
      <c r="BR143" s="23">
        <f>EXP(-LN(2)/2)*BR142+(1-EXP(-LN(2)/2))/(LN(2)/2)*BL143*BO143*VLOOKUP('Données projet'!$B$11,Paramètres!$A$1:$I$89,3,0)*0.475*44/12</f>
        <v>2.5595705132369149E-14</v>
      </c>
      <c r="BS143" s="24">
        <f t="shared" si="117"/>
        <v>74.040175342013455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417.04879970000007</v>
      </c>
      <c r="BZ143" s="14">
        <f>BY143*VLOOKUP('Données projet'!$B$12,Paramètres!$A$1:$I$89,3,0)*VLOOKUP('Données projet'!$B$12,Paramètres!$A$1:$I$89,5,0)</f>
        <v>195.17883825960004</v>
      </c>
      <c r="CA143" s="14">
        <f t="shared" si="147"/>
        <v>48.683122291673484</v>
      </c>
      <c r="CB143" s="22">
        <f t="shared" si="118"/>
        <v>424.72624796013469</v>
      </c>
      <c r="CC143" s="62">
        <f t="shared" si="119"/>
        <v>710.14933586435905</v>
      </c>
      <c r="CD143" s="62">
        <f ca="1">AVERAGE(OFFSET($CC$3,0,0,'Données projet'!$E$12+1,1))-AVERAGE(OFFSET($H$3,0,0,'Données projet'!$E$12+1,1))</f>
        <v>289.21044803824958</v>
      </c>
      <c r="CE143" s="62">
        <f t="shared" si="148"/>
        <v>196.11836398299445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>
        <f>EXP(-LN(2)/35)*CK142+(1-EXP(-LN(2)/35))/(LN(2)/35)*CG143*CH143*VLOOKUP('Données projet'!$B$12,Paramètres!$A$1:$I$89,3,0)*0.475*44/12</f>
        <v>31.189717598894156</v>
      </c>
      <c r="CL143" s="23">
        <f>EXP(-LN(2)/25)*CL142+(1-EXP(-LN(2)/25))/(LN(2)/25)*Calculateur!CG143*Calculateur!CI143*VLOOKUP('Données projet'!$B$12,Paramètres!$A$1:$I$89,3,0)*0.475*44/12</f>
        <v>10.575552340733706</v>
      </c>
      <c r="CM143" s="23">
        <f>EXP(-LN(2)/2)*CM142+(1-EXP(-LN(2)/2))/(LN(2)/2)*CG143*CJ143*VLOOKUP('Données projet'!$B$12,Paramètres!$A$1:$I$89,3,0)*0.475*44/12</f>
        <v>0</v>
      </c>
      <c r="CN143" s="24">
        <f t="shared" si="120"/>
        <v>41.765269939627863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-5.6843418860808015E-14</v>
      </c>
      <c r="CU143" s="18">
        <f>CT143*VLOOKUP('Données projet'!$B$13,Paramètres!$A$1:$I$89,3,0)*VLOOKUP('Données projet'!$B$13,Paramètres!$A$1:$I$89,5,0)</f>
        <v>-5.1431925385259088E-14</v>
      </c>
      <c r="CV143" s="14" t="e">
        <f t="shared" si="149"/>
        <v>#NUM!</v>
      </c>
      <c r="CW143" s="22" t="e">
        <f t="shared" si="121"/>
        <v>#NUM!</v>
      </c>
      <c r="CX143" s="62" t="e">
        <f t="shared" si="122"/>
        <v>#NUM!</v>
      </c>
      <c r="CY143" s="62">
        <f ca="1">AVERAGE(OFFSET($CX$3,0,0,'Données projet'!$E$13+1,1))-AVERAGE(OFFSET($H$3,0,0,'Données projet'!$E$13+1,1))</f>
        <v>376.68007030857598</v>
      </c>
      <c r="CZ143" s="62">
        <f t="shared" si="150"/>
        <v>532.90758914457626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>
        <f>EXP(-LN(2)/35)*DF142+(1-EXP(-LN(2)/35))/(LN(2)/35)*DB143*DC143*VLOOKUP('Données projet'!$B$13,Paramètres!$A$1:$I$89,3,0)*0.475*44/12</f>
        <v>14.265734406414538</v>
      </c>
      <c r="DG143" s="23">
        <f>EXP(-LN(2)/25)*DG142+(1-EXP(-LN(2)/25))/(LN(2)/25)*Calculateur!DB143*Calculateur!DD143*VLOOKUP('Données projet'!$B$13,Paramètres!$A$1:$I$89,3,0)*0.475*44/12</f>
        <v>0.62050839398358426</v>
      </c>
      <c r="DH143" s="23">
        <f>EXP(-LN(2)/2)*DH142+(1-EXP(-LN(2)/2))/(LN(2)/2)*DB143*DE143*VLOOKUP('Données projet'!$B$13,Paramètres!$A$1:$I$89,3,0)*0.475*44/12</f>
        <v>0</v>
      </c>
      <c r="DI143" s="24">
        <f t="shared" si="123"/>
        <v>14.886242800398122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5.6843418860808015E-14</v>
      </c>
      <c r="DP143" s="18">
        <f>DO143*VLOOKUP('Données projet'!$B$14,Paramètres!$A$1:$I$89,3,0)*VLOOKUP('Données projet'!$B$14,Paramètres!$A$1:$I$89,5,0)</f>
        <v>5.4092197387944907E-14</v>
      </c>
      <c r="DQ143" s="14">
        <f t="shared" si="151"/>
        <v>8.7287050538073676E-13</v>
      </c>
      <c r="DR143" s="22">
        <f t="shared" si="124"/>
        <v>1.6144600406554537E-12</v>
      </c>
      <c r="DS143" s="62">
        <f t="shared" si="125"/>
        <v>285.42308790422595</v>
      </c>
      <c r="DT143" s="62">
        <f ca="1">AVERAGE(OFFSET($DS$3,0,0,'Données projet'!$E$14+1,1))-AVERAGE(OFFSET($H$3,0,0,'Données projet'!$E$14+1,1))</f>
        <v>364.63161066507769</v>
      </c>
      <c r="DU143" s="62">
        <f t="shared" si="152"/>
        <v>355.44729904860708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>
        <f>EXP(-LN(2)/35)*EA142+(1-EXP(-LN(2)/35))/(LN(2)/35)*DW143*DX143*VLOOKUP('Données projet'!$B$14,Paramètres!$A$1:$I$89,3,0)*0.475*44/12</f>
        <v>40.445242760814466</v>
      </c>
      <c r="EB143" s="23">
        <f>EXP(-LN(2)/25)*EB142+(1-EXP(-LN(2)/25))/(LN(2)/25)*Calculateur!DW143*Calculateur!DY143*VLOOKUP('Données projet'!$B$14,Paramètres!$A$1:$I$89,3,0)*0.475*44/12</f>
        <v>0</v>
      </c>
      <c r="EC143" s="23">
        <f>EXP(-LN(2)/2)*EC142+(1-EXP(-LN(2)/2))/(LN(2)/2)*DW143*DZ143*VLOOKUP('Données projet'!$B$14,Paramètres!$A$1:$I$89,3,0)*0.475*44/12</f>
        <v>0</v>
      </c>
      <c r="ED143" s="24">
        <f t="shared" si="126"/>
        <v>40.445242760814466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5.6843418860808015E-14</v>
      </c>
      <c r="EK143" s="18">
        <f>EJ143*VLOOKUP('Données projet'!$B$15,Paramètres!$A$1:$I$89,3,0)*VLOOKUP('Données projet'!$B$15,Paramètres!$A$1:$I$89,5,0)</f>
        <v>4.1677594708744434E-14</v>
      </c>
      <c r="EL143" s="14">
        <f t="shared" si="153"/>
        <v>6.9326303456159188E-13</v>
      </c>
      <c r="EM143" s="22">
        <f t="shared" si="127"/>
        <v>1.2800215959791691E-12</v>
      </c>
      <c r="EN143" s="62">
        <f t="shared" si="128"/>
        <v>285.42308790422567</v>
      </c>
      <c r="EO143" s="62">
        <f ca="1">AVERAGE(OFFSET($EN$3,0,0,'Données projet'!$E$15+1,1))-AVERAGE(OFFSET($H$3,0,0,'Données projet'!$E$15+1,1))</f>
        <v>293.59366973965774</v>
      </c>
      <c r="EP143" s="62">
        <f t="shared" si="154"/>
        <v>288.13804536120426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>
        <f>EXP(-LN(2)/35)*EV142+(1-EXP(-LN(2)/35))/(LN(2)/35)*ER143*ES143*VLOOKUP('Données projet'!$B$15,Paramètres!$A$1:$I$89,3,0)*0.475*44/12</f>
        <v>31.162728028824258</v>
      </c>
      <c r="EW143" s="23">
        <f>EXP(-LN(2)/25)*EW142+(1-EXP(-LN(2)/25))/(LN(2)/25)*Calculateur!ER143*Calculateur!ET143*VLOOKUP('Données projet'!$B$15,Paramètres!$A$1:$I$89,3,0)*0.475*44/12</f>
        <v>0</v>
      </c>
      <c r="EX143" s="23">
        <f>EXP(-LN(2)/2)*EX142+(1-EXP(-LN(2)/2))/(LN(2)/2)*ER143*EU143*VLOOKUP('Données projet'!$B$15,Paramètres!$A$1:$I$89,3,0)*0.475*44/12</f>
        <v>0</v>
      </c>
      <c r="EY143" s="24">
        <f t="shared" si="129"/>
        <v>31.162728028824258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5.6843418860808015E-14</v>
      </c>
      <c r="FF143" s="18">
        <f>FE143*VLOOKUP('Données projet'!$B$16,Paramètres!$A$1:$I$89,3,0)*VLOOKUP('Données projet'!$B$16,Paramètres!$A$1:$I$89,5,0)</f>
        <v>5.4978954722173515E-14</v>
      </c>
      <c r="FG143" s="14">
        <f t="shared" si="155"/>
        <v>8.8550225887742724E-13</v>
      </c>
      <c r="FH143" s="22">
        <f t="shared" si="130"/>
        <v>1.6380047803526383E-12</v>
      </c>
      <c r="FI143" s="62">
        <f t="shared" si="131"/>
        <v>285.42308790422601</v>
      </c>
      <c r="FJ143" s="62">
        <f ca="1">AVERAGE(OFFSET($FI$3,0,0,'Données projet'!$E$16+1,1))-AVERAGE(OFFSET($H$3,0,0,'Données projet'!$E$16+1,1))</f>
        <v>369.69145521630799</v>
      </c>
      <c r="FK143" s="62">
        <f t="shared" si="156"/>
        <v>360.24112103688719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>
        <f>EXP(-LN(2)/35)*FQ142+(1-EXP(-LN(2)/35))/(LN(2)/35)*FM143*FN143*VLOOKUP('Données projet'!$B$16,Paramètres!$A$1:$I$89,3,0)*0.475*44/12</f>
        <v>41.108279527385193</v>
      </c>
      <c r="FR143" s="23">
        <f>EXP(-LN(2)/25)*FR142+(1-EXP(-LN(2)/25))/(LN(2)/25)*Calculateur!FM143*Calculateur!FO143*VLOOKUP('Données projet'!$B$16,Paramètres!$A$1:$I$89,3,0)*0.475*44/12</f>
        <v>0</v>
      </c>
      <c r="FS143" s="23">
        <f>EXP(-LN(2)/2)*FS142+(1-EXP(-LN(2)/2))/(LN(2)/2)*FM143*FP143*VLOOKUP('Données projet'!$B$16,Paramètres!$A$1:$I$89,3,0)*0.475*44/12</f>
        <v>0</v>
      </c>
      <c r="FT143" s="24">
        <f t="shared" si="132"/>
        <v>41.108279527385193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5.6843418860808015E-14</v>
      </c>
      <c r="GA143" s="18">
        <f>FZ143*VLOOKUP('Données projet'!$B$17,Paramètres!$A$1:$I$89,3,0)*VLOOKUP('Données projet'!$B$17,Paramètres!$A$1:$I$89,5,0)</f>
        <v>6.1186256061773749E-14</v>
      </c>
      <c r="GB143" s="14">
        <f t="shared" si="157"/>
        <v>9.7328366192051127E-13</v>
      </c>
      <c r="GC143" s="22">
        <f t="shared" si="133"/>
        <v>1.8017017738191463E-12</v>
      </c>
      <c r="GD143" s="62">
        <f t="shared" si="134"/>
        <v>285.42308790422618</v>
      </c>
      <c r="GE143" s="62">
        <f ca="1">AVERAGE(OFFSET($GD$3,0,0,'Données projet'!$E$17+1,1))-AVERAGE(OFFSET($H$3,0,0,'Données projet'!$E$17+1,1))</f>
        <v>405.06394904053946</v>
      </c>
      <c r="GF143" s="62">
        <f t="shared" si="158"/>
        <v>393.75247087518198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>
        <f>EXP(-LN(2)/35)*GL142+(1-EXP(-LN(2)/35))/(LN(2)/35)*GH143*GI143*VLOOKUP('Données projet'!$B$17,Paramètres!$A$1:$I$89,3,0)*0.475*44/12</f>
        <v>45.749536893380288</v>
      </c>
      <c r="GM143" s="23">
        <f>EXP(-LN(2)/25)*GM142+(1-EXP(-LN(2)/25))/(LN(2)/25)*Calculateur!GH143*Calculateur!GJ143*VLOOKUP('Données projet'!$B$17,Paramètres!$A$1:$I$89,3,0)*0.475*44/12</f>
        <v>0</v>
      </c>
      <c r="GN143" s="23">
        <f>EXP(-LN(2)/2)*GN142+(1-EXP(-LN(2)/2))/(LN(2)/2)*GH143*GK143*VLOOKUP('Données projet'!$B$17,Paramètres!$A$1:$I$89,3,0)*0.475*44/12</f>
        <v>0</v>
      </c>
      <c r="GO143" s="23">
        <f t="shared" si="135"/>
        <v>45.749536893380288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5.6843418860808015E-14</v>
      </c>
      <c r="GV143" s="18">
        <f>GU143*VLOOKUP('Données projet'!$B$18,Paramètres!$A$1:$I$89,3,0)*VLOOKUP('Données projet'!$B$18,Paramètres!$A$1:$I$89,5,0)</f>
        <v>3.813056537183002E-14</v>
      </c>
      <c r="GW143" s="14">
        <f t="shared" si="159"/>
        <v>6.4086286045526829E-13</v>
      </c>
      <c r="GX143" s="22">
        <f t="shared" si="136"/>
        <v>1.1825802166488628E-12</v>
      </c>
      <c r="GY143" s="62">
        <f t="shared" si="137"/>
        <v>285.42308790422555</v>
      </c>
      <c r="GZ143" s="62">
        <f ca="1">AVERAGE(OFFSET($GY$3,0,0,'Données projet'!$E$18+1,1))-AVERAGE(OFFSET($H$3,0,0,'Données projet'!$E$18+1,1))</f>
        <v>273.21861937609918</v>
      </c>
      <c r="HA143" s="62">
        <f t="shared" si="160"/>
        <v>268.83004886965318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>
        <f>EXP(-LN(2)/35)*HG142+(1-EXP(-LN(2)/35))/(LN(2)/35)*HC143*HD143*VLOOKUP('Données projet'!$B$18,Paramètres!$A$1:$I$89,3,0)*0.475*44/12</f>
        <v>35.140948628248623</v>
      </c>
      <c r="HH143" s="23">
        <f>EXP(-LN(2)/25)*HH142+(1-EXP(-LN(2)/25))/(LN(2)/25)*Calculateur!HC143*Calculateur!HE143*VLOOKUP('Données projet'!$B$18,Paramètres!$A$1:$I$89,3,0)*0.475*44/12</f>
        <v>0</v>
      </c>
      <c r="HI143" s="23">
        <f>EXP(-LN(2)/2)*HI142+(1-EXP(-LN(2)/2))/(LN(2)/2)*HC143*HF143*VLOOKUP('Données projet'!$B$18,Paramètres!$A$1:$I$89,3,0)*0.475*44/12</f>
        <v>0</v>
      </c>
      <c r="HJ143" s="24">
        <f t="shared" si="138"/>
        <v>35.140948628248623</v>
      </c>
    </row>
    <row r="144" spans="1:218" s="5" customFormat="1" x14ac:dyDescent="0.4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5.8</v>
      </c>
      <c r="N144" s="14">
        <f>IF('Données projet'!$A$36&gt;35,N143+M144-V143,IF(A144&lt;'Données projet'!$A$36,$K$205^A144,IF(A144='Données projet'!$A$36,'Données projet'!$B$36,N143+M144-V143)))</f>
        <v>293.39999999999998</v>
      </c>
      <c r="O144" s="14">
        <f>N144*VLOOKUP('Données projet'!$B$9,Paramètres!$A$1:$I$89,3,0)*VLOOKUP('Données projet'!$B$9,Paramètres!$A$1:$I$89,5,0)</f>
        <v>265.46831999999995</v>
      </c>
      <c r="P144" s="14">
        <f t="shared" si="141"/>
        <v>63.886587047268755</v>
      </c>
      <c r="Q144" s="22">
        <f t="shared" si="108"/>
        <v>573.62646310732623</v>
      </c>
      <c r="R144" s="62">
        <f t="shared" si="109"/>
        <v>859.18677608508619</v>
      </c>
      <c r="S144" s="62">
        <f ca="1">AVERAGE(OFFSET($R$3,0,0,'Données projet'!$E$9+1,1))-AVERAGE(OFFSET($H$3,0,0,'Données projet'!$E$9+1,1))</f>
        <v>432.80275651765203</v>
      </c>
      <c r="T144" s="62">
        <f t="shared" si="142"/>
        <v>203.89279893419919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33.505846123758523</v>
      </c>
      <c r="AA144" s="23">
        <f>EXP(-LN(2)/25)*AA143+(1-EXP(-LN(2)/25))/(LN(2)/25)*Calculateur!V144*Calculateur!X144*VLOOKUP('Données projet'!$B$9,Paramètres!$A$1:$I$89,3,0)*0.475*44/12</f>
        <v>21.91605861266606</v>
      </c>
      <c r="AB144" s="23">
        <f>EXP(-LN(2)/2)*AB143+(1-EXP(-LN(2)/2))/(LN(2)/2)*V144*Y144*VLOOKUP('Données projet'!$B$9,Paramètres!$A$1:$I$89,3,0)*0.475*44/12</f>
        <v>0</v>
      </c>
      <c r="AC144" s="24">
        <f t="shared" si="111"/>
        <v>55.42190473642458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54.000000000000341</v>
      </c>
      <c r="AJ144" s="14">
        <f>AI144*VLOOKUP('Données projet'!$B$10,Paramètres!$A$1:$I$89,3,0)*VLOOKUP('Données projet'!$B$10,Paramètres!$A$1:$I$89,5,0)</f>
        <v>23.868000000000151</v>
      </c>
      <c r="AK144" s="14">
        <f t="shared" si="143"/>
        <v>7.6030930962115804</v>
      </c>
      <c r="AL144" s="22">
        <f t="shared" si="112"/>
        <v>54.812153809235433</v>
      </c>
      <c r="AM144" s="62">
        <f t="shared" si="113"/>
        <v>340.37246678699546</v>
      </c>
      <c r="AN144" s="62">
        <f ca="1">AVERAGE(OFFSET($AM$3,0,0,'Données projet'!$E$10+1,1))-AVERAGE(OFFSET($H$3,0,0,'Données projet'!$E$10+1,1))</f>
        <v>413.08876898406481</v>
      </c>
      <c r="AO144" s="62">
        <f t="shared" si="144"/>
        <v>520.31320932826566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55.24268779342831</v>
      </c>
      <c r="AV144" s="23">
        <f>EXP(-LN(2)/25)*AV143+(1-EXP(-LN(2)/25))/(LN(2)/25)*Calculateur!AQ144*Calculateur!AS144*VLOOKUP('Données projet'!$B$10,Paramètres!$A$1:$I$89,3,0)*0.475*44/12</f>
        <v>2.1357207164189003</v>
      </c>
      <c r="AW144" s="23">
        <f>EXP(-LN(2)/2)*AW143+(1-EXP(-LN(2)/2))/(LN(2)/2)*AQ144*AT144*VLOOKUP('Données projet'!$B$10,Paramètres!$A$1:$I$89,3,0)*0.475*44/12</f>
        <v>1.4310755505206606E-14</v>
      </c>
      <c r="AX144" s="23">
        <f t="shared" si="114"/>
        <v>57.378408509847226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54.000000000000341</v>
      </c>
      <c r="BE144" s="14">
        <f>BD144*VLOOKUP('Données projet'!$B$11,Paramètres!$A$1:$I$89,3,0)*VLOOKUP('Données projet'!$B$11,Paramètres!$A$1:$I$89,5,0)</f>
        <v>30.186000000000188</v>
      </c>
      <c r="BF144" s="14">
        <f t="shared" si="145"/>
        <v>9.3563888882899153</v>
      </c>
      <c r="BG144" s="22">
        <f t="shared" si="115"/>
        <v>68.869660647105263</v>
      </c>
      <c r="BH144" s="62">
        <f t="shared" si="116"/>
        <v>354.42997362486528</v>
      </c>
      <c r="BI144" s="62">
        <f ca="1">AVERAGE(OFFSET($BH$3,0,0,'Données projet'!$E$11+1,1))-AVERAGE(OFFSET($H$3,0,0,'Données projet'!$E$11+1,1))</f>
        <v>507.66185230065889</v>
      </c>
      <c r="BJ144" s="62">
        <f t="shared" si="146"/>
        <v>640.14375617778342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69.865752209335739</v>
      </c>
      <c r="BQ144" s="23">
        <f>EXP(-LN(2)/25)*BQ143+(1-EXP(-LN(2)/25))/(LN(2)/25)*Calculateur!BL144*Calculateur!BN144*VLOOKUP('Données projet'!$B$11,Paramètres!$A$1:$I$89,3,0)*0.475*44/12</f>
        <v>2.7010585531180231</v>
      </c>
      <c r="BR144" s="23">
        <f>EXP(-LN(2)/2)*BR143+(1-EXP(-LN(2)/2))/(LN(2)/2)*BL144*BO144*VLOOKUP('Données projet'!$B$11,Paramètres!$A$1:$I$89,3,0)*0.475*44/12</f>
        <v>1.8098896668349543E-14</v>
      </c>
      <c r="BS144" s="24">
        <f t="shared" si="117"/>
        <v>72.56681076245377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417.04879970000007</v>
      </c>
      <c r="BZ144" s="14">
        <f>BY144*VLOOKUP('Données projet'!$B$12,Paramètres!$A$1:$I$89,3,0)*VLOOKUP('Données projet'!$B$12,Paramètres!$A$1:$I$89,5,0)</f>
        <v>195.17883825960004</v>
      </c>
      <c r="CA144" s="14">
        <f t="shared" si="147"/>
        <v>48.683122291673484</v>
      </c>
      <c r="CB144" s="22">
        <f t="shared" si="118"/>
        <v>424.72624796013469</v>
      </c>
      <c r="CC144" s="62">
        <f t="shared" si="119"/>
        <v>710.28656093789471</v>
      </c>
      <c r="CD144" s="62">
        <f ca="1">AVERAGE(OFFSET($CC$3,0,0,'Données projet'!$E$12+1,1))-AVERAGE(OFFSET($H$3,0,0,'Données projet'!$E$12+1,1))</f>
        <v>289.21044803824958</v>
      </c>
      <c r="CE144" s="62">
        <f t="shared" si="148"/>
        <v>196.11836398299445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>
        <f>EXP(-LN(2)/35)*CK143+(1-EXP(-LN(2)/35))/(LN(2)/35)*CG144*CH144*VLOOKUP('Données projet'!$B$12,Paramètres!$A$1:$I$89,3,0)*0.475*44/12</f>
        <v>30.578106260629127</v>
      </c>
      <c r="CL144" s="23">
        <f>EXP(-LN(2)/25)*CL143+(1-EXP(-LN(2)/25))/(LN(2)/25)*Calculateur!CG144*Calculateur!CI144*VLOOKUP('Données projet'!$B$12,Paramètres!$A$1:$I$89,3,0)*0.475*44/12</f>
        <v>10.286363305832216</v>
      </c>
      <c r="CM144" s="23">
        <f>EXP(-LN(2)/2)*CM143+(1-EXP(-LN(2)/2))/(LN(2)/2)*CG144*CJ144*VLOOKUP('Données projet'!$B$12,Paramètres!$A$1:$I$89,3,0)*0.475*44/12</f>
        <v>0</v>
      </c>
      <c r="CN144" s="24">
        <f t="shared" si="120"/>
        <v>40.864469566461345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-5.6843418860808015E-14</v>
      </c>
      <c r="CU144" s="18">
        <f>CT144*VLOOKUP('Données projet'!$B$13,Paramètres!$A$1:$I$89,3,0)*VLOOKUP('Données projet'!$B$13,Paramètres!$A$1:$I$89,5,0)</f>
        <v>-5.1431925385259088E-14</v>
      </c>
      <c r="CV144" s="14" t="e">
        <f t="shared" si="149"/>
        <v>#NUM!</v>
      </c>
      <c r="CW144" s="22" t="e">
        <f t="shared" si="121"/>
        <v>#NUM!</v>
      </c>
      <c r="CX144" s="62" t="e">
        <f t="shared" si="122"/>
        <v>#NUM!</v>
      </c>
      <c r="CY144" s="62">
        <f ca="1">AVERAGE(OFFSET($CX$3,0,0,'Données projet'!$E$13+1,1))-AVERAGE(OFFSET($H$3,0,0,'Données projet'!$E$13+1,1))</f>
        <v>376.68007030857598</v>
      </c>
      <c r="CZ144" s="62">
        <f t="shared" si="150"/>
        <v>532.90758914457626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>
        <f>EXP(-LN(2)/35)*DF143+(1-EXP(-LN(2)/35))/(LN(2)/35)*DB144*DC144*VLOOKUP('Données projet'!$B$13,Paramètres!$A$1:$I$89,3,0)*0.475*44/12</f>
        <v>13.98599205594356</v>
      </c>
      <c r="DG144" s="23">
        <f>EXP(-LN(2)/25)*DG143+(1-EXP(-LN(2)/25))/(LN(2)/25)*Calculateur!DB144*Calculateur!DD144*VLOOKUP('Données projet'!$B$13,Paramètres!$A$1:$I$89,3,0)*0.475*44/12</f>
        <v>0.60354055931898487</v>
      </c>
      <c r="DH144" s="23">
        <f>EXP(-LN(2)/2)*DH143+(1-EXP(-LN(2)/2))/(LN(2)/2)*DB144*DE144*VLOOKUP('Données projet'!$B$13,Paramètres!$A$1:$I$89,3,0)*0.475*44/12</f>
        <v>0</v>
      </c>
      <c r="DI144" s="24">
        <f t="shared" si="123"/>
        <v>14.589532615262545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5.6843418860808015E-14</v>
      </c>
      <c r="DP144" s="18">
        <f>DO144*VLOOKUP('Données projet'!$B$14,Paramètres!$A$1:$I$89,3,0)*VLOOKUP('Données projet'!$B$14,Paramètres!$A$1:$I$89,5,0)</f>
        <v>5.4092197387944907E-14</v>
      </c>
      <c r="DQ144" s="14">
        <f t="shared" si="151"/>
        <v>8.7287050538073676E-13</v>
      </c>
      <c r="DR144" s="22">
        <f t="shared" si="124"/>
        <v>1.6144600406554537E-12</v>
      </c>
      <c r="DS144" s="62">
        <f t="shared" si="125"/>
        <v>285.56031297776161</v>
      </c>
      <c r="DT144" s="62">
        <f ca="1">AVERAGE(OFFSET($DS$3,0,0,'Données projet'!$E$14+1,1))-AVERAGE(OFFSET($H$3,0,0,'Données projet'!$E$14+1,1))</f>
        <v>364.63161066507769</v>
      </c>
      <c r="DU144" s="62">
        <f t="shared" si="152"/>
        <v>355.44729904860708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>
        <f>EXP(-LN(2)/35)*EA143+(1-EXP(-LN(2)/35))/(LN(2)/35)*DW144*DX144*VLOOKUP('Données projet'!$B$14,Paramètres!$A$1:$I$89,3,0)*0.475*44/12</f>
        <v>39.652136219437104</v>
      </c>
      <c r="EB144" s="23">
        <f>EXP(-LN(2)/25)*EB143+(1-EXP(-LN(2)/25))/(LN(2)/25)*Calculateur!DW144*Calculateur!DY144*VLOOKUP('Données projet'!$B$14,Paramètres!$A$1:$I$89,3,0)*0.475*44/12</f>
        <v>0</v>
      </c>
      <c r="EC144" s="23">
        <f>EXP(-LN(2)/2)*EC143+(1-EXP(-LN(2)/2))/(LN(2)/2)*DW144*DZ144*VLOOKUP('Données projet'!$B$14,Paramètres!$A$1:$I$89,3,0)*0.475*44/12</f>
        <v>0</v>
      </c>
      <c r="ED144" s="24">
        <f t="shared" si="126"/>
        <v>39.652136219437104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5.6843418860808015E-14</v>
      </c>
      <c r="EK144" s="18">
        <f>EJ144*VLOOKUP('Données projet'!$B$15,Paramètres!$A$1:$I$89,3,0)*VLOOKUP('Données projet'!$B$15,Paramètres!$A$1:$I$89,5,0)</f>
        <v>4.1677594708744434E-14</v>
      </c>
      <c r="EL144" s="14">
        <f t="shared" si="153"/>
        <v>6.9326303456159188E-13</v>
      </c>
      <c r="EM144" s="22">
        <f t="shared" si="127"/>
        <v>1.2800215959791691E-12</v>
      </c>
      <c r="EN144" s="62">
        <f t="shared" si="128"/>
        <v>285.56031297776133</v>
      </c>
      <c r="EO144" s="62">
        <f ca="1">AVERAGE(OFFSET($EN$3,0,0,'Données projet'!$E$15+1,1))-AVERAGE(OFFSET($H$3,0,0,'Données projet'!$E$15+1,1))</f>
        <v>293.59366973965774</v>
      </c>
      <c r="EP144" s="62">
        <f t="shared" si="154"/>
        <v>288.13804536120426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>
        <f>EXP(-LN(2)/35)*EV143+(1-EXP(-LN(2)/35))/(LN(2)/35)*ER144*ES144*VLOOKUP('Données projet'!$B$15,Paramètres!$A$1:$I$89,3,0)*0.475*44/12</f>
        <v>30.551645939566288</v>
      </c>
      <c r="EW144" s="23">
        <f>EXP(-LN(2)/25)*EW143+(1-EXP(-LN(2)/25))/(LN(2)/25)*Calculateur!ER144*Calculateur!ET144*VLOOKUP('Données projet'!$B$15,Paramètres!$A$1:$I$89,3,0)*0.475*44/12</f>
        <v>0</v>
      </c>
      <c r="EX144" s="23">
        <f>EXP(-LN(2)/2)*EX143+(1-EXP(-LN(2)/2))/(LN(2)/2)*ER144*EU144*VLOOKUP('Données projet'!$B$15,Paramètres!$A$1:$I$89,3,0)*0.475*44/12</f>
        <v>0</v>
      </c>
      <c r="EY144" s="24">
        <f t="shared" si="129"/>
        <v>30.551645939566288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5.6843418860808015E-14</v>
      </c>
      <c r="FF144" s="18">
        <f>FE144*VLOOKUP('Données projet'!$B$16,Paramètres!$A$1:$I$89,3,0)*VLOOKUP('Données projet'!$B$16,Paramètres!$A$1:$I$89,5,0)</f>
        <v>5.4978954722173515E-14</v>
      </c>
      <c r="FG144" s="14">
        <f t="shared" si="155"/>
        <v>8.8550225887742724E-13</v>
      </c>
      <c r="FH144" s="22">
        <f t="shared" si="130"/>
        <v>1.6380047803526383E-12</v>
      </c>
      <c r="FI144" s="62">
        <f t="shared" si="131"/>
        <v>285.56031297776167</v>
      </c>
      <c r="FJ144" s="62">
        <f ca="1">AVERAGE(OFFSET($FI$3,0,0,'Données projet'!$E$16+1,1))-AVERAGE(OFFSET($H$3,0,0,'Données projet'!$E$16+1,1))</f>
        <v>369.69145521630799</v>
      </c>
      <c r="FK144" s="62">
        <f t="shared" si="156"/>
        <v>360.24112103688719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>
        <f>EXP(-LN(2)/35)*FQ143+(1-EXP(-LN(2)/35))/(LN(2)/35)*FM144*FN144*VLOOKUP('Données projet'!$B$16,Paramètres!$A$1:$I$89,3,0)*0.475*44/12</f>
        <v>40.302171239427871</v>
      </c>
      <c r="FR144" s="23">
        <f>EXP(-LN(2)/25)*FR143+(1-EXP(-LN(2)/25))/(LN(2)/25)*Calculateur!FM144*Calculateur!FO144*VLOOKUP('Données projet'!$B$16,Paramètres!$A$1:$I$89,3,0)*0.475*44/12</f>
        <v>0</v>
      </c>
      <c r="FS144" s="23">
        <f>EXP(-LN(2)/2)*FS143+(1-EXP(-LN(2)/2))/(LN(2)/2)*FM144*FP144*VLOOKUP('Données projet'!$B$16,Paramètres!$A$1:$I$89,3,0)*0.475*44/12</f>
        <v>0</v>
      </c>
      <c r="FT144" s="24">
        <f t="shared" si="132"/>
        <v>40.302171239427871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5.6843418860808015E-14</v>
      </c>
      <c r="GA144" s="18">
        <f>FZ144*VLOOKUP('Données projet'!$B$17,Paramètres!$A$1:$I$89,3,0)*VLOOKUP('Données projet'!$B$17,Paramètres!$A$1:$I$89,5,0)</f>
        <v>6.1186256061773749E-14</v>
      </c>
      <c r="GB144" s="14">
        <f t="shared" si="157"/>
        <v>9.7328366192051127E-13</v>
      </c>
      <c r="GC144" s="22">
        <f t="shared" si="133"/>
        <v>1.8017017738191463E-12</v>
      </c>
      <c r="GD144" s="62">
        <f t="shared" si="134"/>
        <v>285.56031297776184</v>
      </c>
      <c r="GE144" s="62">
        <f ca="1">AVERAGE(OFFSET($GD$3,0,0,'Données projet'!$E$17+1,1))-AVERAGE(OFFSET($H$3,0,0,'Données projet'!$E$17+1,1))</f>
        <v>405.06394904053946</v>
      </c>
      <c r="GF144" s="62">
        <f t="shared" si="158"/>
        <v>393.75247087518198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>
        <f>EXP(-LN(2)/35)*GL143+(1-EXP(-LN(2)/35))/(LN(2)/35)*GH144*GI144*VLOOKUP('Données projet'!$B$17,Paramètres!$A$1:$I$89,3,0)*0.475*44/12</f>
        <v>44.85241637936327</v>
      </c>
      <c r="GM144" s="23">
        <f>EXP(-LN(2)/25)*GM143+(1-EXP(-LN(2)/25))/(LN(2)/25)*Calculateur!GH144*Calculateur!GJ144*VLOOKUP('Données projet'!$B$17,Paramètres!$A$1:$I$89,3,0)*0.475*44/12</f>
        <v>0</v>
      </c>
      <c r="GN144" s="23">
        <f>EXP(-LN(2)/2)*GN143+(1-EXP(-LN(2)/2))/(LN(2)/2)*GH144*GK144*VLOOKUP('Données projet'!$B$17,Paramètres!$A$1:$I$89,3,0)*0.475*44/12</f>
        <v>0</v>
      </c>
      <c r="GO144" s="23">
        <f t="shared" si="135"/>
        <v>44.85241637936327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5.6843418860808015E-14</v>
      </c>
      <c r="GV144" s="18">
        <f>GU144*VLOOKUP('Données projet'!$B$18,Paramètres!$A$1:$I$89,3,0)*VLOOKUP('Données projet'!$B$18,Paramètres!$A$1:$I$89,5,0)</f>
        <v>3.813056537183002E-14</v>
      </c>
      <c r="GW144" s="14">
        <f t="shared" si="159"/>
        <v>6.4086286045526829E-13</v>
      </c>
      <c r="GX144" s="22">
        <f t="shared" si="136"/>
        <v>1.1825802166488628E-12</v>
      </c>
      <c r="GY144" s="62">
        <f t="shared" si="137"/>
        <v>285.56031297776121</v>
      </c>
      <c r="GZ144" s="62">
        <f ca="1">AVERAGE(OFFSET($GY$3,0,0,'Données projet'!$E$18+1,1))-AVERAGE(OFFSET($H$3,0,0,'Données projet'!$E$18+1,1))</f>
        <v>273.21861937609918</v>
      </c>
      <c r="HA144" s="62">
        <f t="shared" si="160"/>
        <v>268.83004886965318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>
        <f>EXP(-LN(2)/35)*HG143+(1-EXP(-LN(2)/35))/(LN(2)/35)*HC144*HD144*VLOOKUP('Données projet'!$B$18,Paramètres!$A$1:$I$89,3,0)*0.475*44/12</f>
        <v>34.451856059510909</v>
      </c>
      <c r="HH144" s="23">
        <f>EXP(-LN(2)/25)*HH143+(1-EXP(-LN(2)/25))/(LN(2)/25)*Calculateur!HC144*Calculateur!HE144*VLOOKUP('Données projet'!$B$18,Paramètres!$A$1:$I$89,3,0)*0.475*44/12</f>
        <v>0</v>
      </c>
      <c r="HI144" s="23">
        <f>EXP(-LN(2)/2)*HI143+(1-EXP(-LN(2)/2))/(LN(2)/2)*HC144*HF144*VLOOKUP('Données projet'!$B$18,Paramètres!$A$1:$I$89,3,0)*0.475*44/12</f>
        <v>0</v>
      </c>
      <c r="HJ144" s="24">
        <f t="shared" si="138"/>
        <v>34.451856059510909</v>
      </c>
    </row>
    <row r="145" spans="1:218" s="5" customFormat="1" x14ac:dyDescent="0.4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5.8</v>
      </c>
      <c r="N145" s="14">
        <f>IF('Données projet'!$A$36&gt;35,N144+M145-V144,IF(A145&lt;'Données projet'!$A$36,$K$205^A145,IF(A145='Données projet'!$A$36,'Données projet'!$B$36,N144+M145-V144)))</f>
        <v>299.2</v>
      </c>
      <c r="O145" s="14">
        <f>N145*VLOOKUP('Données projet'!$B$9,Paramètres!$A$1:$I$89,3,0)*VLOOKUP('Données projet'!$B$9,Paramètres!$A$1:$I$89,5,0)</f>
        <v>270.71615999999995</v>
      </c>
      <c r="P145" s="14">
        <f t="shared" si="141"/>
        <v>65.001233075018177</v>
      </c>
      <c r="Q145" s="22">
        <f t="shared" si="108"/>
        <v>584.70779293898988</v>
      </c>
      <c r="R145" s="62">
        <f t="shared" si="109"/>
        <v>870.4029504420489</v>
      </c>
      <c r="S145" s="62">
        <f ca="1">AVERAGE(OFFSET($R$3,0,0,'Données projet'!$E$9+1,1))-AVERAGE(OFFSET($H$3,0,0,'Données projet'!$E$9+1,1))</f>
        <v>432.80275651765203</v>
      </c>
      <c r="T145" s="62">
        <f t="shared" si="142"/>
        <v>203.89279893419919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32.848816917819811</v>
      </c>
      <c r="AA145" s="23">
        <f>EXP(-LN(2)/25)*AA144+(1-EXP(-LN(2)/25))/(LN(2)/25)*Calculateur!V145*Calculateur!X145*VLOOKUP('Données projet'!$B$9,Paramètres!$A$1:$I$89,3,0)*0.475*44/12</f>
        <v>21.316762837387273</v>
      </c>
      <c r="AB145" s="23">
        <f>EXP(-LN(2)/2)*AB144+(1-EXP(-LN(2)/2))/(LN(2)/2)*V145*Y145*VLOOKUP('Données projet'!$B$9,Paramètres!$A$1:$I$89,3,0)*0.475*44/12</f>
        <v>0</v>
      </c>
      <c r="AC145" s="24">
        <f t="shared" si="111"/>
        <v>54.165579755207084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54.000000000000341</v>
      </c>
      <c r="AJ145" s="14">
        <f>AI145*VLOOKUP('Données projet'!$B$10,Paramètres!$A$1:$I$89,3,0)*VLOOKUP('Données projet'!$B$10,Paramètres!$A$1:$I$89,5,0)</f>
        <v>23.868000000000151</v>
      </c>
      <c r="AK145" s="14">
        <f t="shared" si="143"/>
        <v>7.6030930962115804</v>
      </c>
      <c r="AL145" s="22">
        <f t="shared" si="112"/>
        <v>54.812153809235433</v>
      </c>
      <c r="AM145" s="62">
        <f t="shared" si="113"/>
        <v>340.50731131229452</v>
      </c>
      <c r="AN145" s="62">
        <f ca="1">AVERAGE(OFFSET($AM$3,0,0,'Données projet'!$E$10+1,1))-AVERAGE(OFFSET($H$3,0,0,'Données projet'!$E$10+1,1))</f>
        <v>413.08876898406481</v>
      </c>
      <c r="AO145" s="62">
        <f t="shared" si="144"/>
        <v>520.31320932826566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54.159412380511661</v>
      </c>
      <c r="AV145" s="23">
        <f>EXP(-LN(2)/25)*AV144+(1-EXP(-LN(2)/25))/(LN(2)/25)*Calculateur!AQ145*Calculateur!AS145*VLOOKUP('Données projet'!$B$10,Paramètres!$A$1:$I$89,3,0)*0.475*44/12</f>
        <v>2.0773193211157541</v>
      </c>
      <c r="AW145" s="23">
        <f>EXP(-LN(2)/2)*AW144+(1-EXP(-LN(2)/2))/(LN(2)/2)*AQ145*AT145*VLOOKUP('Données projet'!$B$10,Paramètres!$A$1:$I$89,3,0)*0.475*44/12</f>
        <v>1.0119232261634308E-14</v>
      </c>
      <c r="AX145" s="23">
        <f t="shared" si="114"/>
        <v>56.23673170162742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54.000000000000341</v>
      </c>
      <c r="BE145" s="14">
        <f>BD145*VLOOKUP('Données projet'!$B$11,Paramètres!$A$1:$I$89,3,0)*VLOOKUP('Données projet'!$B$11,Paramètres!$A$1:$I$89,5,0)</f>
        <v>30.186000000000188</v>
      </c>
      <c r="BF145" s="14">
        <f t="shared" si="145"/>
        <v>9.3563888882899153</v>
      </c>
      <c r="BG145" s="22">
        <f t="shared" si="115"/>
        <v>68.869660647105263</v>
      </c>
      <c r="BH145" s="62">
        <f t="shared" si="116"/>
        <v>354.56481815016434</v>
      </c>
      <c r="BI145" s="62">
        <f ca="1">AVERAGE(OFFSET($BH$3,0,0,'Données projet'!$E$11+1,1))-AVERAGE(OFFSET($H$3,0,0,'Données projet'!$E$11+1,1))</f>
        <v>507.66185230065889</v>
      </c>
      <c r="BJ145" s="62">
        <f t="shared" si="146"/>
        <v>640.14375617778342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68.495727422411733</v>
      </c>
      <c r="BQ145" s="23">
        <f>EXP(-LN(2)/25)*BQ144+(1-EXP(-LN(2)/25))/(LN(2)/25)*Calculateur!BL145*Calculateur!BN145*VLOOKUP('Données projet'!$B$11,Paramètres!$A$1:$I$89,3,0)*0.475*44/12</f>
        <v>2.6271979649405148</v>
      </c>
      <c r="BR145" s="23">
        <f>EXP(-LN(2)/2)*BR144+(1-EXP(-LN(2)/2))/(LN(2)/2)*BL145*BO145*VLOOKUP('Données projet'!$B$11,Paramètres!$A$1:$I$89,3,0)*0.475*44/12</f>
        <v>1.2797852566184575E-14</v>
      </c>
      <c r="BS145" s="24">
        <f t="shared" si="117"/>
        <v>71.122925387352268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417.04879970000007</v>
      </c>
      <c r="BZ145" s="14">
        <f>BY145*VLOOKUP('Données projet'!$B$12,Paramètres!$A$1:$I$89,3,0)*VLOOKUP('Données projet'!$B$12,Paramètres!$A$1:$I$89,5,0)</f>
        <v>195.17883825960004</v>
      </c>
      <c r="CA145" s="14">
        <f t="shared" si="147"/>
        <v>48.683122291673484</v>
      </c>
      <c r="CB145" s="22">
        <f t="shared" si="118"/>
        <v>424.72624796013469</v>
      </c>
      <c r="CC145" s="62">
        <f t="shared" si="119"/>
        <v>710.42140546319376</v>
      </c>
      <c r="CD145" s="62">
        <f ca="1">AVERAGE(OFFSET($CC$3,0,0,'Données projet'!$E$12+1,1))-AVERAGE(OFFSET($H$3,0,0,'Données projet'!$E$12+1,1))</f>
        <v>289.21044803824958</v>
      </c>
      <c r="CE145" s="62">
        <f t="shared" si="148"/>
        <v>196.11836398299445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>
        <f>EXP(-LN(2)/35)*CK144+(1-EXP(-LN(2)/35))/(LN(2)/35)*CG145*CH145*VLOOKUP('Données projet'!$B$12,Paramètres!$A$1:$I$89,3,0)*0.475*44/12</f>
        <v>29.978488247661396</v>
      </c>
      <c r="CL145" s="23">
        <f>EXP(-LN(2)/25)*CL144+(1-EXP(-LN(2)/25))/(LN(2)/25)*Calculateur!CG145*Calculateur!CI145*VLOOKUP('Données projet'!$B$12,Paramètres!$A$1:$I$89,3,0)*0.475*44/12</f>
        <v>10.005082160297897</v>
      </c>
      <c r="CM145" s="23">
        <f>EXP(-LN(2)/2)*CM144+(1-EXP(-LN(2)/2))/(LN(2)/2)*CG145*CJ145*VLOOKUP('Données projet'!$B$12,Paramètres!$A$1:$I$89,3,0)*0.475*44/12</f>
        <v>0</v>
      </c>
      <c r="CN145" s="24">
        <f t="shared" si="120"/>
        <v>39.983570407959292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-5.6843418860808015E-14</v>
      </c>
      <c r="CU145" s="18">
        <f>CT145*VLOOKUP('Données projet'!$B$13,Paramètres!$A$1:$I$89,3,0)*VLOOKUP('Données projet'!$B$13,Paramètres!$A$1:$I$89,5,0)</f>
        <v>-5.1431925385259088E-14</v>
      </c>
      <c r="CV145" s="14" t="e">
        <f t="shared" si="149"/>
        <v>#NUM!</v>
      </c>
      <c r="CW145" s="22" t="e">
        <f t="shared" si="121"/>
        <v>#NUM!</v>
      </c>
      <c r="CX145" s="62" t="e">
        <f t="shared" si="122"/>
        <v>#NUM!</v>
      </c>
      <c r="CY145" s="62">
        <f ca="1">AVERAGE(OFFSET($CX$3,0,0,'Données projet'!$E$13+1,1))-AVERAGE(OFFSET($H$3,0,0,'Données projet'!$E$13+1,1))</f>
        <v>376.68007030857598</v>
      </c>
      <c r="CZ145" s="62">
        <f t="shared" si="150"/>
        <v>532.90758914457626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>
        <f>EXP(-LN(2)/35)*DF144+(1-EXP(-LN(2)/35))/(LN(2)/35)*DB145*DC145*VLOOKUP('Données projet'!$B$13,Paramètres!$A$1:$I$89,3,0)*0.475*44/12</f>
        <v>13.711735282339333</v>
      </c>
      <c r="DG145" s="23">
        <f>EXP(-LN(2)/25)*DG144+(1-EXP(-LN(2)/25))/(LN(2)/25)*Calculateur!DB145*Calculateur!DD145*VLOOKUP('Données projet'!$B$13,Paramètres!$A$1:$I$89,3,0)*0.475*44/12</f>
        <v>0.58703671098558863</v>
      </c>
      <c r="DH145" s="23">
        <f>EXP(-LN(2)/2)*DH144+(1-EXP(-LN(2)/2))/(LN(2)/2)*DB145*DE145*VLOOKUP('Données projet'!$B$13,Paramètres!$A$1:$I$89,3,0)*0.475*44/12</f>
        <v>0</v>
      </c>
      <c r="DI145" s="24">
        <f t="shared" si="123"/>
        <v>14.298771993324921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5.6843418860808015E-14</v>
      </c>
      <c r="DP145" s="18">
        <f>DO145*VLOOKUP('Données projet'!$B$14,Paramètres!$A$1:$I$89,3,0)*VLOOKUP('Données projet'!$B$14,Paramètres!$A$1:$I$89,5,0)</f>
        <v>5.4092197387944907E-14</v>
      </c>
      <c r="DQ145" s="14">
        <f t="shared" si="151"/>
        <v>8.7287050538073676E-13</v>
      </c>
      <c r="DR145" s="22">
        <f t="shared" si="124"/>
        <v>1.6144600406554537E-12</v>
      </c>
      <c r="DS145" s="62">
        <f t="shared" si="125"/>
        <v>285.69515750306067</v>
      </c>
      <c r="DT145" s="62">
        <f ca="1">AVERAGE(OFFSET($DS$3,0,0,'Données projet'!$E$14+1,1))-AVERAGE(OFFSET($H$3,0,0,'Données projet'!$E$14+1,1))</f>
        <v>364.63161066507769</v>
      </c>
      <c r="DU145" s="62">
        <f t="shared" si="152"/>
        <v>355.44729904860708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>
        <f>EXP(-LN(2)/35)*EA144+(1-EXP(-LN(2)/35))/(LN(2)/35)*DW145*DX145*VLOOKUP('Données projet'!$B$14,Paramètres!$A$1:$I$89,3,0)*0.475*44/12</f>
        <v>38.874582013588928</v>
      </c>
      <c r="EB145" s="23">
        <f>EXP(-LN(2)/25)*EB144+(1-EXP(-LN(2)/25))/(LN(2)/25)*Calculateur!DW145*Calculateur!DY145*VLOOKUP('Données projet'!$B$14,Paramètres!$A$1:$I$89,3,0)*0.475*44/12</f>
        <v>0</v>
      </c>
      <c r="EC145" s="23">
        <f>EXP(-LN(2)/2)*EC144+(1-EXP(-LN(2)/2))/(LN(2)/2)*DW145*DZ145*VLOOKUP('Données projet'!$B$14,Paramètres!$A$1:$I$89,3,0)*0.475*44/12</f>
        <v>0</v>
      </c>
      <c r="ED145" s="24">
        <f t="shared" si="126"/>
        <v>38.874582013588928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5.6843418860808015E-14</v>
      </c>
      <c r="EK145" s="18">
        <f>EJ145*VLOOKUP('Données projet'!$B$15,Paramètres!$A$1:$I$89,3,0)*VLOOKUP('Données projet'!$B$15,Paramètres!$A$1:$I$89,5,0)</f>
        <v>4.1677594708744434E-14</v>
      </c>
      <c r="EL145" s="14">
        <f t="shared" si="153"/>
        <v>6.9326303456159188E-13</v>
      </c>
      <c r="EM145" s="22">
        <f t="shared" si="127"/>
        <v>1.2800215959791691E-12</v>
      </c>
      <c r="EN145" s="62">
        <f t="shared" si="128"/>
        <v>285.69515750306039</v>
      </c>
      <c r="EO145" s="62">
        <f ca="1">AVERAGE(OFFSET($EN$3,0,0,'Données projet'!$E$15+1,1))-AVERAGE(OFFSET($H$3,0,0,'Données projet'!$E$15+1,1))</f>
        <v>293.59366973965774</v>
      </c>
      <c r="EP145" s="62">
        <f t="shared" si="154"/>
        <v>288.13804536120426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>
        <f>EXP(-LN(2)/35)*EV144+(1-EXP(-LN(2)/35))/(LN(2)/35)*ER145*ES145*VLOOKUP('Données projet'!$B$15,Paramètres!$A$1:$I$89,3,0)*0.475*44/12</f>
        <v>29.952546797355396</v>
      </c>
      <c r="EW145" s="23">
        <f>EXP(-LN(2)/25)*EW144+(1-EXP(-LN(2)/25))/(LN(2)/25)*Calculateur!ER145*Calculateur!ET145*VLOOKUP('Données projet'!$B$15,Paramètres!$A$1:$I$89,3,0)*0.475*44/12</f>
        <v>0</v>
      </c>
      <c r="EX145" s="23">
        <f>EXP(-LN(2)/2)*EX144+(1-EXP(-LN(2)/2))/(LN(2)/2)*ER145*EU145*VLOOKUP('Données projet'!$B$15,Paramètres!$A$1:$I$89,3,0)*0.475*44/12</f>
        <v>0</v>
      </c>
      <c r="EY145" s="24">
        <f t="shared" si="129"/>
        <v>29.952546797355396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5.6843418860808015E-14</v>
      </c>
      <c r="FF145" s="18">
        <f>FE145*VLOOKUP('Données projet'!$B$16,Paramètres!$A$1:$I$89,3,0)*VLOOKUP('Données projet'!$B$16,Paramètres!$A$1:$I$89,5,0)</f>
        <v>5.4978954722173515E-14</v>
      </c>
      <c r="FG145" s="14">
        <f t="shared" si="155"/>
        <v>8.8550225887742724E-13</v>
      </c>
      <c r="FH145" s="22">
        <f t="shared" si="130"/>
        <v>1.6380047803526383E-12</v>
      </c>
      <c r="FI145" s="62">
        <f t="shared" si="131"/>
        <v>285.69515750306073</v>
      </c>
      <c r="FJ145" s="62">
        <f ca="1">AVERAGE(OFFSET($FI$3,0,0,'Données projet'!$E$16+1,1))-AVERAGE(OFFSET($H$3,0,0,'Données projet'!$E$16+1,1))</f>
        <v>369.69145521630799</v>
      </c>
      <c r="FK145" s="62">
        <f t="shared" si="156"/>
        <v>360.24112103688719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>
        <f>EXP(-LN(2)/35)*FQ144+(1-EXP(-LN(2)/35))/(LN(2)/35)*FM145*FN145*VLOOKUP('Données projet'!$B$16,Paramètres!$A$1:$I$89,3,0)*0.475*44/12</f>
        <v>39.511870243319883</v>
      </c>
      <c r="FR145" s="23">
        <f>EXP(-LN(2)/25)*FR144+(1-EXP(-LN(2)/25))/(LN(2)/25)*Calculateur!FM145*Calculateur!FO145*VLOOKUP('Données projet'!$B$16,Paramètres!$A$1:$I$89,3,0)*0.475*44/12</f>
        <v>0</v>
      </c>
      <c r="FS145" s="23">
        <f>EXP(-LN(2)/2)*FS144+(1-EXP(-LN(2)/2))/(LN(2)/2)*FM145*FP145*VLOOKUP('Données projet'!$B$16,Paramètres!$A$1:$I$89,3,0)*0.475*44/12</f>
        <v>0</v>
      </c>
      <c r="FT145" s="24">
        <f t="shared" si="132"/>
        <v>39.511870243319883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5.6843418860808015E-14</v>
      </c>
      <c r="GA145" s="18">
        <f>FZ145*VLOOKUP('Données projet'!$B$17,Paramètres!$A$1:$I$89,3,0)*VLOOKUP('Données projet'!$B$17,Paramètres!$A$1:$I$89,5,0)</f>
        <v>6.1186256061773749E-14</v>
      </c>
      <c r="GB145" s="14">
        <f t="shared" si="157"/>
        <v>9.7328366192051127E-13</v>
      </c>
      <c r="GC145" s="22">
        <f t="shared" si="133"/>
        <v>1.8017017738191463E-12</v>
      </c>
      <c r="GD145" s="62">
        <f t="shared" si="134"/>
        <v>285.6951575030609</v>
      </c>
      <c r="GE145" s="62">
        <f ca="1">AVERAGE(OFFSET($GD$3,0,0,'Données projet'!$E$17+1,1))-AVERAGE(OFFSET($H$3,0,0,'Données projet'!$E$17+1,1))</f>
        <v>405.06394904053946</v>
      </c>
      <c r="GF145" s="62">
        <f t="shared" si="158"/>
        <v>393.75247087518198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>
        <f>EXP(-LN(2)/35)*GL144+(1-EXP(-LN(2)/35))/(LN(2)/35)*GH145*GI145*VLOOKUP('Données projet'!$B$17,Paramètres!$A$1:$I$89,3,0)*0.475*44/12</f>
        <v>43.972887851436639</v>
      </c>
      <c r="GM145" s="23">
        <f>EXP(-LN(2)/25)*GM144+(1-EXP(-LN(2)/25))/(LN(2)/25)*Calculateur!GH145*Calculateur!GJ145*VLOOKUP('Données projet'!$B$17,Paramètres!$A$1:$I$89,3,0)*0.475*44/12</f>
        <v>0</v>
      </c>
      <c r="GN145" s="23">
        <f>EXP(-LN(2)/2)*GN144+(1-EXP(-LN(2)/2))/(LN(2)/2)*GH145*GK145*VLOOKUP('Données projet'!$B$17,Paramètres!$A$1:$I$89,3,0)*0.475*44/12</f>
        <v>0</v>
      </c>
      <c r="GO145" s="23">
        <f t="shared" si="135"/>
        <v>43.972887851436639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5.6843418860808015E-14</v>
      </c>
      <c r="GV145" s="18">
        <f>GU145*VLOOKUP('Données projet'!$B$18,Paramètres!$A$1:$I$89,3,0)*VLOOKUP('Données projet'!$B$18,Paramètres!$A$1:$I$89,5,0)</f>
        <v>3.813056537183002E-14</v>
      </c>
      <c r="GW145" s="14">
        <f t="shared" si="159"/>
        <v>6.4086286045526829E-13</v>
      </c>
      <c r="GX145" s="22">
        <f t="shared" si="136"/>
        <v>1.1825802166488628E-12</v>
      </c>
      <c r="GY145" s="62">
        <f t="shared" si="137"/>
        <v>285.69515750306027</v>
      </c>
      <c r="GZ145" s="62">
        <f ca="1">AVERAGE(OFFSET($GY$3,0,0,'Données projet'!$E$18+1,1))-AVERAGE(OFFSET($H$3,0,0,'Données projet'!$E$18+1,1))</f>
        <v>273.21861937609918</v>
      </c>
      <c r="HA145" s="62">
        <f t="shared" si="160"/>
        <v>268.83004886965318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>
        <f>EXP(-LN(2)/35)*HG144+(1-EXP(-LN(2)/35))/(LN(2)/35)*HC145*HD145*VLOOKUP('Données projet'!$B$18,Paramètres!$A$1:$I$89,3,0)*0.475*44/12</f>
        <v>33.776276175741181</v>
      </c>
      <c r="HH145" s="23">
        <f>EXP(-LN(2)/25)*HH144+(1-EXP(-LN(2)/25))/(LN(2)/25)*Calculateur!HC145*Calculateur!HE145*VLOOKUP('Données projet'!$B$18,Paramètres!$A$1:$I$89,3,0)*0.475*44/12</f>
        <v>0</v>
      </c>
      <c r="HI145" s="23">
        <f>EXP(-LN(2)/2)*HI144+(1-EXP(-LN(2)/2))/(LN(2)/2)*HC145*HF145*VLOOKUP('Données projet'!$B$18,Paramètres!$A$1:$I$89,3,0)*0.475*44/12</f>
        <v>0</v>
      </c>
      <c r="HJ145" s="24">
        <f t="shared" si="138"/>
        <v>33.776276175741181</v>
      </c>
    </row>
    <row r="146" spans="1:218" s="5" customFormat="1" x14ac:dyDescent="0.4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5.8</v>
      </c>
      <c r="N146" s="14">
        <f>IF('Données projet'!$A$36&gt;35,N145+M146-V145,IF(A146&lt;'Données projet'!$A$36,$K$205^A146,IF(A146='Données projet'!$A$36,'Données projet'!$B$36,N145+M146-V145)))</f>
        <v>305</v>
      </c>
      <c r="O146" s="14">
        <f>N146*VLOOKUP('Données projet'!$B$9,Paramètres!$A$1:$I$89,3,0)*VLOOKUP('Données projet'!$B$9,Paramètres!$A$1:$I$89,5,0)</f>
        <v>275.964</v>
      </c>
      <c r="P146" s="14">
        <f t="shared" si="141"/>
        <v>66.113366665488911</v>
      </c>
      <c r="Q146" s="22">
        <f t="shared" si="108"/>
        <v>595.7847469423931</v>
      </c>
      <c r="R146" s="62">
        <f t="shared" si="109"/>
        <v>881.6124097197046</v>
      </c>
      <c r="S146" s="62">
        <f ca="1">AVERAGE(OFFSET($R$3,0,0,'Données projet'!$E$9+1,1))-AVERAGE(OFFSET($H$3,0,0,'Données projet'!$E$9+1,1))</f>
        <v>432.80275651765203</v>
      </c>
      <c r="T146" s="62">
        <f t="shared" si="142"/>
        <v>203.89279893419919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32.204671653861311</v>
      </c>
      <c r="AA146" s="23">
        <f>EXP(-LN(2)/25)*AA145+(1-EXP(-LN(2)/25))/(LN(2)/25)*Calculateur!V146*Calculateur!X146*VLOOKUP('Données projet'!$B$9,Paramètres!$A$1:$I$89,3,0)*0.475*44/12</f>
        <v>20.733854836599079</v>
      </c>
      <c r="AB146" s="23">
        <f>EXP(-LN(2)/2)*AB145+(1-EXP(-LN(2)/2))/(LN(2)/2)*V146*Y146*VLOOKUP('Données projet'!$B$9,Paramètres!$A$1:$I$89,3,0)*0.475*44/12</f>
        <v>0</v>
      </c>
      <c r="AC146" s="24">
        <f t="shared" si="111"/>
        <v>52.93852649046039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54.000000000000341</v>
      </c>
      <c r="AJ146" s="14">
        <f>AI146*VLOOKUP('Données projet'!$B$10,Paramètres!$A$1:$I$89,3,0)*VLOOKUP('Données projet'!$B$10,Paramètres!$A$1:$I$89,5,0)</f>
        <v>23.868000000000151</v>
      </c>
      <c r="AK146" s="14">
        <f t="shared" si="143"/>
        <v>7.6030930962115804</v>
      </c>
      <c r="AL146" s="22">
        <f t="shared" si="112"/>
        <v>54.812153809235433</v>
      </c>
      <c r="AM146" s="62">
        <f t="shared" si="113"/>
        <v>340.63981658654689</v>
      </c>
      <c r="AN146" s="62">
        <f ca="1">AVERAGE(OFFSET($AM$3,0,0,'Données projet'!$E$10+1,1))-AVERAGE(OFFSET($H$3,0,0,'Données projet'!$E$10+1,1))</f>
        <v>413.08876898406481</v>
      </c>
      <c r="AO146" s="62">
        <f t="shared" si="144"/>
        <v>520.31320932826566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53.097379337709548</v>
      </c>
      <c r="AV146" s="23">
        <f>EXP(-LN(2)/25)*AV145+(1-EXP(-LN(2)/25))/(LN(2)/25)*Calculateur!AQ146*Calculateur!AS146*VLOOKUP('Données projet'!$B$10,Paramètres!$A$1:$I$89,3,0)*0.475*44/12</f>
        <v>2.0205149150383686</v>
      </c>
      <c r="AW146" s="23">
        <f>EXP(-LN(2)/2)*AW145+(1-EXP(-LN(2)/2))/(LN(2)/2)*AQ146*AT146*VLOOKUP('Données projet'!$B$10,Paramètres!$A$1:$I$89,3,0)*0.475*44/12</f>
        <v>7.1553777526033028E-15</v>
      </c>
      <c r="AX146" s="23">
        <f t="shared" si="114"/>
        <v>55.117894252747924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54.000000000000341</v>
      </c>
      <c r="BE146" s="14">
        <f>BD146*VLOOKUP('Données projet'!$B$11,Paramètres!$A$1:$I$89,3,0)*VLOOKUP('Données projet'!$B$11,Paramètres!$A$1:$I$89,5,0)</f>
        <v>30.186000000000188</v>
      </c>
      <c r="BF146" s="14">
        <f t="shared" si="145"/>
        <v>9.3563888882899153</v>
      </c>
      <c r="BG146" s="22">
        <f t="shared" si="115"/>
        <v>68.869660647105263</v>
      </c>
      <c r="BH146" s="62">
        <f t="shared" si="116"/>
        <v>354.69732342441671</v>
      </c>
      <c r="BI146" s="62">
        <f ca="1">AVERAGE(OFFSET($BH$3,0,0,'Données projet'!$E$11+1,1))-AVERAGE(OFFSET($H$3,0,0,'Données projet'!$E$11+1,1))</f>
        <v>507.66185230065889</v>
      </c>
      <c r="BJ146" s="62">
        <f t="shared" si="146"/>
        <v>640.14375617778342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67.152567985926709</v>
      </c>
      <c r="BQ146" s="23">
        <f>EXP(-LN(2)/25)*BQ145+(1-EXP(-LN(2)/25))/(LN(2)/25)*Calculateur!BL146*Calculateur!BN146*VLOOKUP('Données projet'!$B$11,Paramètres!$A$1:$I$89,3,0)*0.475*44/12</f>
        <v>2.5553570984308802</v>
      </c>
      <c r="BR146" s="23">
        <f>EXP(-LN(2)/2)*BR145+(1-EXP(-LN(2)/2))/(LN(2)/2)*BL146*BO146*VLOOKUP('Données projet'!$B$11,Paramètres!$A$1:$I$89,3,0)*0.475*44/12</f>
        <v>9.0494483341747717E-15</v>
      </c>
      <c r="BS146" s="24">
        <f t="shared" si="117"/>
        <v>69.707925084357598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417.04879970000007</v>
      </c>
      <c r="BZ146" s="14">
        <f>BY146*VLOOKUP('Données projet'!$B$12,Paramètres!$A$1:$I$89,3,0)*VLOOKUP('Données projet'!$B$12,Paramètres!$A$1:$I$89,5,0)</f>
        <v>195.17883825960004</v>
      </c>
      <c r="CA146" s="14">
        <f t="shared" si="147"/>
        <v>48.683122291673484</v>
      </c>
      <c r="CB146" s="22">
        <f t="shared" si="118"/>
        <v>424.72624796013469</v>
      </c>
      <c r="CC146" s="62">
        <f t="shared" si="119"/>
        <v>710.55391073744613</v>
      </c>
      <c r="CD146" s="62">
        <f ca="1">AVERAGE(OFFSET($CC$3,0,0,'Données projet'!$E$12+1,1))-AVERAGE(OFFSET($H$3,0,0,'Données projet'!$E$12+1,1))</f>
        <v>289.21044803824958</v>
      </c>
      <c r="CE146" s="62">
        <f t="shared" si="148"/>
        <v>196.11836398299445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>
        <f>EXP(-LN(2)/35)*CK145+(1-EXP(-LN(2)/35))/(LN(2)/35)*CG146*CH146*VLOOKUP('Données projet'!$B$12,Paramètres!$A$1:$I$89,3,0)*0.475*44/12</f>
        <v>29.390628378197086</v>
      </c>
      <c r="CL146" s="23">
        <f>EXP(-LN(2)/25)*CL145+(1-EXP(-LN(2)/25))/(LN(2)/25)*Calculateur!CG146*Calculateur!CI146*VLOOKUP('Données projet'!$B$12,Paramètres!$A$1:$I$89,3,0)*0.475*44/12</f>
        <v>9.7314926624801483</v>
      </c>
      <c r="CM146" s="23">
        <f>EXP(-LN(2)/2)*CM145+(1-EXP(-LN(2)/2))/(LN(2)/2)*CG146*CJ146*VLOOKUP('Données projet'!$B$12,Paramètres!$A$1:$I$89,3,0)*0.475*44/12</f>
        <v>0</v>
      </c>
      <c r="CN146" s="24">
        <f t="shared" si="120"/>
        <v>39.122121040677236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-5.6843418860808015E-14</v>
      </c>
      <c r="CU146" s="18">
        <f>CT146*VLOOKUP('Données projet'!$B$13,Paramètres!$A$1:$I$89,3,0)*VLOOKUP('Données projet'!$B$13,Paramètres!$A$1:$I$89,5,0)</f>
        <v>-5.1431925385259088E-14</v>
      </c>
      <c r="CV146" s="14" t="e">
        <f t="shared" si="149"/>
        <v>#NUM!</v>
      </c>
      <c r="CW146" s="22" t="e">
        <f t="shared" si="121"/>
        <v>#NUM!</v>
      </c>
      <c r="CX146" s="62" t="e">
        <f t="shared" si="122"/>
        <v>#NUM!</v>
      </c>
      <c r="CY146" s="62">
        <f ca="1">AVERAGE(OFFSET($CX$3,0,0,'Données projet'!$E$13+1,1))-AVERAGE(OFFSET($H$3,0,0,'Données projet'!$E$13+1,1))</f>
        <v>376.68007030857598</v>
      </c>
      <c r="CZ146" s="62">
        <f t="shared" si="150"/>
        <v>532.90758914457626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>
        <f>EXP(-LN(2)/35)*DF145+(1-EXP(-LN(2)/35))/(LN(2)/35)*DB146*DC146*VLOOKUP('Données projet'!$B$13,Paramètres!$A$1:$I$89,3,0)*0.475*44/12</f>
        <v>13.442856516785371</v>
      </c>
      <c r="DG146" s="23">
        <f>EXP(-LN(2)/25)*DG145+(1-EXP(-LN(2)/25))/(LN(2)/25)*Calculateur!DB146*Calculateur!DD146*VLOOKUP('Données projet'!$B$13,Paramètres!$A$1:$I$89,3,0)*0.475*44/12</f>
        <v>0.57098416125276874</v>
      </c>
      <c r="DH146" s="23">
        <f>EXP(-LN(2)/2)*DH145+(1-EXP(-LN(2)/2))/(LN(2)/2)*DB146*DE146*VLOOKUP('Données projet'!$B$13,Paramètres!$A$1:$I$89,3,0)*0.475*44/12</f>
        <v>0</v>
      </c>
      <c r="DI146" s="24">
        <f t="shared" si="123"/>
        <v>14.013840678038139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5.6843418860808015E-14</v>
      </c>
      <c r="DP146" s="18">
        <f>DO146*VLOOKUP('Données projet'!$B$14,Paramètres!$A$1:$I$89,3,0)*VLOOKUP('Données projet'!$B$14,Paramètres!$A$1:$I$89,5,0)</f>
        <v>5.4092197387944907E-14</v>
      </c>
      <c r="DQ146" s="14">
        <f t="shared" si="151"/>
        <v>8.7287050538073676E-13</v>
      </c>
      <c r="DR146" s="22">
        <f t="shared" si="124"/>
        <v>1.6144600406554537E-12</v>
      </c>
      <c r="DS146" s="62">
        <f t="shared" si="125"/>
        <v>285.82766277731304</v>
      </c>
      <c r="DT146" s="62">
        <f ca="1">AVERAGE(OFFSET($DS$3,0,0,'Données projet'!$E$14+1,1))-AVERAGE(OFFSET($H$3,0,0,'Données projet'!$E$14+1,1))</f>
        <v>364.63161066507769</v>
      </c>
      <c r="DU146" s="62">
        <f t="shared" si="152"/>
        <v>355.44729904860708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>
        <f>EXP(-LN(2)/35)*EA145+(1-EXP(-LN(2)/35))/(LN(2)/35)*DW146*DX146*VLOOKUP('Données projet'!$B$14,Paramètres!$A$1:$I$89,3,0)*0.475*44/12</f>
        <v>38.112275171456197</v>
      </c>
      <c r="EB146" s="23">
        <f>EXP(-LN(2)/25)*EB145+(1-EXP(-LN(2)/25))/(LN(2)/25)*Calculateur!DW146*Calculateur!DY146*VLOOKUP('Données projet'!$B$14,Paramètres!$A$1:$I$89,3,0)*0.475*44/12</f>
        <v>0</v>
      </c>
      <c r="EC146" s="23">
        <f>EXP(-LN(2)/2)*EC145+(1-EXP(-LN(2)/2))/(LN(2)/2)*DW146*DZ146*VLOOKUP('Données projet'!$B$14,Paramètres!$A$1:$I$89,3,0)*0.475*44/12</f>
        <v>0</v>
      </c>
      <c r="ED146" s="24">
        <f t="shared" si="126"/>
        <v>38.112275171456197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5.6843418860808015E-14</v>
      </c>
      <c r="EK146" s="18">
        <f>EJ146*VLOOKUP('Données projet'!$B$15,Paramètres!$A$1:$I$89,3,0)*VLOOKUP('Données projet'!$B$15,Paramètres!$A$1:$I$89,5,0)</f>
        <v>4.1677594708744434E-14</v>
      </c>
      <c r="EL146" s="14">
        <f t="shared" si="153"/>
        <v>6.9326303456159188E-13</v>
      </c>
      <c r="EM146" s="22">
        <f t="shared" si="127"/>
        <v>1.2800215959791691E-12</v>
      </c>
      <c r="EN146" s="62">
        <f t="shared" si="128"/>
        <v>285.82766277731275</v>
      </c>
      <c r="EO146" s="62">
        <f ca="1">AVERAGE(OFFSET($EN$3,0,0,'Données projet'!$E$15+1,1))-AVERAGE(OFFSET($H$3,0,0,'Données projet'!$E$15+1,1))</f>
        <v>293.59366973965774</v>
      </c>
      <c r="EP146" s="62">
        <f t="shared" si="154"/>
        <v>288.13804536120426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>
        <f>EXP(-LN(2)/35)*EV145+(1-EXP(-LN(2)/35))/(LN(2)/35)*ER146*ES146*VLOOKUP('Données projet'!$B$15,Paramètres!$A$1:$I$89,3,0)*0.475*44/12</f>
        <v>29.365195623908864</v>
      </c>
      <c r="EW146" s="23">
        <f>EXP(-LN(2)/25)*EW145+(1-EXP(-LN(2)/25))/(LN(2)/25)*Calculateur!ER146*Calculateur!ET146*VLOOKUP('Données projet'!$B$15,Paramètres!$A$1:$I$89,3,0)*0.475*44/12</f>
        <v>0</v>
      </c>
      <c r="EX146" s="23">
        <f>EXP(-LN(2)/2)*EX145+(1-EXP(-LN(2)/2))/(LN(2)/2)*ER146*EU146*VLOOKUP('Données projet'!$B$15,Paramètres!$A$1:$I$89,3,0)*0.475*44/12</f>
        <v>0</v>
      </c>
      <c r="EY146" s="24">
        <f t="shared" si="129"/>
        <v>29.365195623908864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5.6843418860808015E-14</v>
      </c>
      <c r="FF146" s="18">
        <f>FE146*VLOOKUP('Données projet'!$B$16,Paramètres!$A$1:$I$89,3,0)*VLOOKUP('Données projet'!$B$16,Paramètres!$A$1:$I$89,5,0)</f>
        <v>5.4978954722173515E-14</v>
      </c>
      <c r="FG146" s="14">
        <f t="shared" si="155"/>
        <v>8.8550225887742724E-13</v>
      </c>
      <c r="FH146" s="22">
        <f t="shared" si="130"/>
        <v>1.6380047803526383E-12</v>
      </c>
      <c r="FI146" s="62">
        <f t="shared" si="131"/>
        <v>285.82766277731309</v>
      </c>
      <c r="FJ146" s="62">
        <f ca="1">AVERAGE(OFFSET($FI$3,0,0,'Données projet'!$E$16+1,1))-AVERAGE(OFFSET($H$3,0,0,'Données projet'!$E$16+1,1))</f>
        <v>369.69145521630799</v>
      </c>
      <c r="FK146" s="62">
        <f t="shared" si="156"/>
        <v>360.24112103688719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>
        <f>EXP(-LN(2)/35)*FQ145+(1-EXP(-LN(2)/35))/(LN(2)/35)*FM146*FN146*VLOOKUP('Données projet'!$B$16,Paramètres!$A$1:$I$89,3,0)*0.475*44/12</f>
        <v>38.737066567709569</v>
      </c>
      <c r="FR146" s="23">
        <f>EXP(-LN(2)/25)*FR145+(1-EXP(-LN(2)/25))/(LN(2)/25)*Calculateur!FM146*Calculateur!FO146*VLOOKUP('Données projet'!$B$16,Paramètres!$A$1:$I$89,3,0)*0.475*44/12</f>
        <v>0</v>
      </c>
      <c r="FS146" s="23">
        <f>EXP(-LN(2)/2)*FS145+(1-EXP(-LN(2)/2))/(LN(2)/2)*FM146*FP146*VLOOKUP('Données projet'!$B$16,Paramètres!$A$1:$I$89,3,0)*0.475*44/12</f>
        <v>0</v>
      </c>
      <c r="FT146" s="24">
        <f t="shared" si="132"/>
        <v>38.737066567709569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5.6843418860808015E-14</v>
      </c>
      <c r="GA146" s="18">
        <f>FZ146*VLOOKUP('Données projet'!$B$17,Paramètres!$A$1:$I$89,3,0)*VLOOKUP('Données projet'!$B$17,Paramètres!$A$1:$I$89,5,0)</f>
        <v>6.1186256061773749E-14</v>
      </c>
      <c r="GB146" s="14">
        <f t="shared" si="157"/>
        <v>9.7328366192051127E-13</v>
      </c>
      <c r="GC146" s="22">
        <f t="shared" si="133"/>
        <v>1.8017017738191463E-12</v>
      </c>
      <c r="GD146" s="62">
        <f t="shared" si="134"/>
        <v>285.82766277731326</v>
      </c>
      <c r="GE146" s="62">
        <f ca="1">AVERAGE(OFFSET($GD$3,0,0,'Données projet'!$E$17+1,1))-AVERAGE(OFFSET($H$3,0,0,'Données projet'!$E$17+1,1))</f>
        <v>405.06394904053946</v>
      </c>
      <c r="GF146" s="62">
        <f t="shared" si="158"/>
        <v>393.75247087518198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>
        <f>EXP(-LN(2)/35)*GL145+(1-EXP(-LN(2)/35))/(LN(2)/35)*GH146*GI146*VLOOKUP('Données projet'!$B$17,Paramètres!$A$1:$I$89,3,0)*0.475*44/12</f>
        <v>43.110606341483219</v>
      </c>
      <c r="GM146" s="23">
        <f>EXP(-LN(2)/25)*GM145+(1-EXP(-LN(2)/25))/(LN(2)/25)*Calculateur!GH146*Calculateur!GJ146*VLOOKUP('Données projet'!$B$17,Paramètres!$A$1:$I$89,3,0)*0.475*44/12</f>
        <v>0</v>
      </c>
      <c r="GN146" s="23">
        <f>EXP(-LN(2)/2)*GN145+(1-EXP(-LN(2)/2))/(LN(2)/2)*GH146*GK146*VLOOKUP('Données projet'!$B$17,Paramètres!$A$1:$I$89,3,0)*0.475*44/12</f>
        <v>0</v>
      </c>
      <c r="GO146" s="23">
        <f t="shared" si="135"/>
        <v>43.110606341483219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5.6843418860808015E-14</v>
      </c>
      <c r="GV146" s="18">
        <f>GU146*VLOOKUP('Données projet'!$B$18,Paramètres!$A$1:$I$89,3,0)*VLOOKUP('Données projet'!$B$18,Paramètres!$A$1:$I$89,5,0)</f>
        <v>3.813056537183002E-14</v>
      </c>
      <c r="GW146" s="14">
        <f t="shared" si="159"/>
        <v>6.4086286045526829E-13</v>
      </c>
      <c r="GX146" s="22">
        <f t="shared" si="136"/>
        <v>1.1825802166488628E-12</v>
      </c>
      <c r="GY146" s="62">
        <f t="shared" si="137"/>
        <v>285.82766277731264</v>
      </c>
      <c r="GZ146" s="62">
        <f ca="1">AVERAGE(OFFSET($GY$3,0,0,'Données projet'!$E$18+1,1))-AVERAGE(OFFSET($H$3,0,0,'Données projet'!$E$18+1,1))</f>
        <v>273.21861937609918</v>
      </c>
      <c r="HA146" s="62">
        <f t="shared" si="160"/>
        <v>268.83004886965318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>
        <f>EXP(-LN(2)/35)*HG145+(1-EXP(-LN(2)/35))/(LN(2)/35)*HC146*HD146*VLOOKUP('Données projet'!$B$18,Paramètres!$A$1:$I$89,3,0)*0.475*44/12</f>
        <v>33.113944001429132</v>
      </c>
      <c r="HH146" s="23">
        <f>EXP(-LN(2)/25)*HH145+(1-EXP(-LN(2)/25))/(LN(2)/25)*Calculateur!HC146*Calculateur!HE146*VLOOKUP('Données projet'!$B$18,Paramètres!$A$1:$I$89,3,0)*0.475*44/12</f>
        <v>0</v>
      </c>
      <c r="HI146" s="23">
        <f>EXP(-LN(2)/2)*HI145+(1-EXP(-LN(2)/2))/(LN(2)/2)*HC146*HF146*VLOOKUP('Données projet'!$B$18,Paramètres!$A$1:$I$89,3,0)*0.475*44/12</f>
        <v>0</v>
      </c>
      <c r="HJ146" s="24">
        <f t="shared" si="138"/>
        <v>33.113944001429132</v>
      </c>
    </row>
    <row r="147" spans="1:218" s="5" customFormat="1" x14ac:dyDescent="0.4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5.8</v>
      </c>
      <c r="N147" s="14">
        <f>IF('Données projet'!$A$36&gt;35,N146+M147-V146,IF(A147&lt;'Données projet'!$A$36,$K$205^A147,IF(A147='Données projet'!$A$36,'Données projet'!$B$36,N146+M147-V146)))</f>
        <v>310.8</v>
      </c>
      <c r="O147" s="14">
        <f>N147*VLOOKUP('Données projet'!$B$9,Paramètres!$A$1:$I$89,3,0)*VLOOKUP('Données projet'!$B$9,Paramètres!$A$1:$I$89,5,0)</f>
        <v>281.21184</v>
      </c>
      <c r="P147" s="14">
        <f t="shared" si="141"/>
        <v>67.22304110496664</v>
      </c>
      <c r="Q147" s="22">
        <f t="shared" si="108"/>
        <v>606.85741792448357</v>
      </c>
      <c r="R147" s="62">
        <f t="shared" si="109"/>
        <v>892.81528730577645</v>
      </c>
      <c r="S147" s="62">
        <f ca="1">AVERAGE(OFFSET($R$3,0,0,'Données projet'!$E$9+1,1))-AVERAGE(OFFSET($H$3,0,0,'Données projet'!$E$9+1,1))</f>
        <v>432.80275651765203</v>
      </c>
      <c r="T147" s="62">
        <f t="shared" si="142"/>
        <v>203.89279893419919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31.573157685639224</v>
      </c>
      <c r="AA147" s="23">
        <f>EXP(-LN(2)/25)*AA146+(1-EXP(-LN(2)/25))/(LN(2)/25)*Calculateur!V147*Calculateur!X147*VLOOKUP('Données projet'!$B$9,Paramètres!$A$1:$I$89,3,0)*0.475*44/12</f>
        <v>20.16688648574624</v>
      </c>
      <c r="AB147" s="23">
        <f>EXP(-LN(2)/2)*AB146+(1-EXP(-LN(2)/2))/(LN(2)/2)*V147*Y147*VLOOKUP('Données projet'!$B$9,Paramètres!$A$1:$I$89,3,0)*0.475*44/12</f>
        <v>0</v>
      </c>
      <c r="AC147" s="24">
        <f t="shared" si="111"/>
        <v>51.740044171385463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54.000000000000341</v>
      </c>
      <c r="AJ147" s="14">
        <f>AI147*VLOOKUP('Données projet'!$B$10,Paramètres!$A$1:$I$89,3,0)*VLOOKUP('Données projet'!$B$10,Paramètres!$A$1:$I$89,5,0)</f>
        <v>23.868000000000151</v>
      </c>
      <c r="AK147" s="14">
        <f t="shared" si="143"/>
        <v>7.6030930962115804</v>
      </c>
      <c r="AL147" s="22">
        <f t="shared" si="112"/>
        <v>54.812153809235433</v>
      </c>
      <c r="AM147" s="62">
        <f t="shared" si="113"/>
        <v>340.77002319052832</v>
      </c>
      <c r="AN147" s="62">
        <f ca="1">AVERAGE(OFFSET($AM$3,0,0,'Données projet'!$E$10+1,1))-AVERAGE(OFFSET($H$3,0,0,'Données projet'!$E$10+1,1))</f>
        <v>413.08876898406481</v>
      </c>
      <c r="AO147" s="62">
        <f t="shared" si="144"/>
        <v>520.31320932826566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52.056172115100587</v>
      </c>
      <c r="AV147" s="23">
        <f>EXP(-LN(2)/25)*AV146+(1-EXP(-LN(2)/25))/(LN(2)/25)*Calculateur!AQ147*Calculateur!AS147*VLOOKUP('Données projet'!$B$10,Paramètres!$A$1:$I$89,3,0)*0.475*44/12</f>
        <v>1.9652638284323829</v>
      </c>
      <c r="AW147" s="23">
        <f>EXP(-LN(2)/2)*AW146+(1-EXP(-LN(2)/2))/(LN(2)/2)*AQ147*AT147*VLOOKUP('Données projet'!$B$10,Paramètres!$A$1:$I$89,3,0)*0.475*44/12</f>
        <v>5.0596161308171541E-15</v>
      </c>
      <c r="AX147" s="23">
        <f t="shared" si="114"/>
        <v>54.021435943532978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54.000000000000341</v>
      </c>
      <c r="BE147" s="14">
        <f>BD147*VLOOKUP('Données projet'!$B$11,Paramètres!$A$1:$I$89,3,0)*VLOOKUP('Données projet'!$B$11,Paramètres!$A$1:$I$89,5,0)</f>
        <v>30.186000000000188</v>
      </c>
      <c r="BF147" s="14">
        <f t="shared" si="145"/>
        <v>9.3563888882899153</v>
      </c>
      <c r="BG147" s="22">
        <f t="shared" si="115"/>
        <v>68.869660647105263</v>
      </c>
      <c r="BH147" s="62">
        <f t="shared" si="116"/>
        <v>354.82753002839814</v>
      </c>
      <c r="BI147" s="62">
        <f ca="1">AVERAGE(OFFSET($BH$3,0,0,'Données projet'!$E$11+1,1))-AVERAGE(OFFSET($H$3,0,0,'Données projet'!$E$11+1,1))</f>
        <v>507.66185230065889</v>
      </c>
      <c r="BJ147" s="62">
        <f t="shared" si="146"/>
        <v>640.14375617778342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65.835747086744789</v>
      </c>
      <c r="BQ147" s="23">
        <f>EXP(-LN(2)/25)*BQ146+(1-EXP(-LN(2)/25))/(LN(2)/25)*Calculateur!BL147*Calculateur!BN147*VLOOKUP('Données projet'!$B$11,Paramètres!$A$1:$I$89,3,0)*0.475*44/12</f>
        <v>2.4854807241938985</v>
      </c>
      <c r="BR147" s="23">
        <f>EXP(-LN(2)/2)*BR146+(1-EXP(-LN(2)/2))/(LN(2)/2)*BL147*BO147*VLOOKUP('Données projet'!$B$11,Paramètres!$A$1:$I$89,3,0)*0.475*44/12</f>
        <v>6.3989262830922873E-15</v>
      </c>
      <c r="BS147" s="24">
        <f t="shared" si="117"/>
        <v>68.321227810938694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417.04879970000007</v>
      </c>
      <c r="BZ147" s="14">
        <f>BY147*VLOOKUP('Données projet'!$B$12,Paramètres!$A$1:$I$89,3,0)*VLOOKUP('Données projet'!$B$12,Paramètres!$A$1:$I$89,5,0)</f>
        <v>195.17883825960004</v>
      </c>
      <c r="CA147" s="14">
        <f t="shared" si="147"/>
        <v>48.683122291673484</v>
      </c>
      <c r="CB147" s="22">
        <f t="shared" si="118"/>
        <v>424.72624796013469</v>
      </c>
      <c r="CC147" s="62">
        <f t="shared" si="119"/>
        <v>710.68411734142751</v>
      </c>
      <c r="CD147" s="62">
        <f ca="1">AVERAGE(OFFSET($CC$3,0,0,'Données projet'!$E$12+1,1))-AVERAGE(OFFSET($H$3,0,0,'Données projet'!$E$12+1,1))</f>
        <v>289.21044803824958</v>
      </c>
      <c r="CE147" s="62">
        <f t="shared" si="148"/>
        <v>196.11836398299445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>
        <f>EXP(-LN(2)/35)*CK146+(1-EXP(-LN(2)/35))/(LN(2)/35)*CG147*CH147*VLOOKUP('Données projet'!$B$12,Paramètres!$A$1:$I$89,3,0)*0.475*44/12</f>
        <v>28.814296082213854</v>
      </c>
      <c r="CL147" s="23">
        <f>EXP(-LN(2)/25)*CL146+(1-EXP(-LN(2)/25))/(LN(2)/25)*Calculateur!CG147*Calculateur!CI147*VLOOKUP('Données projet'!$B$12,Paramètres!$A$1:$I$89,3,0)*0.475*44/12</f>
        <v>9.4653844838676715</v>
      </c>
      <c r="CM147" s="23">
        <f>EXP(-LN(2)/2)*CM146+(1-EXP(-LN(2)/2))/(LN(2)/2)*CG147*CJ147*VLOOKUP('Données projet'!$B$12,Paramètres!$A$1:$I$89,3,0)*0.475*44/12</f>
        <v>0</v>
      </c>
      <c r="CN147" s="24">
        <f t="shared" si="120"/>
        <v>38.279680566081524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-5.6843418860808015E-14</v>
      </c>
      <c r="CU147" s="18">
        <f>CT147*VLOOKUP('Données projet'!$B$13,Paramètres!$A$1:$I$89,3,0)*VLOOKUP('Données projet'!$B$13,Paramètres!$A$1:$I$89,5,0)</f>
        <v>-5.1431925385259088E-14</v>
      </c>
      <c r="CV147" s="14" t="e">
        <f t="shared" si="149"/>
        <v>#NUM!</v>
      </c>
      <c r="CW147" s="22" t="e">
        <f t="shared" si="121"/>
        <v>#NUM!</v>
      </c>
      <c r="CX147" s="62" t="e">
        <f t="shared" si="122"/>
        <v>#NUM!</v>
      </c>
      <c r="CY147" s="62">
        <f ca="1">AVERAGE(OFFSET($CX$3,0,0,'Données projet'!$E$13+1,1))-AVERAGE(OFFSET($H$3,0,0,'Données projet'!$E$13+1,1))</f>
        <v>376.68007030857598</v>
      </c>
      <c r="CZ147" s="62">
        <f t="shared" si="150"/>
        <v>532.90758914457626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>
        <f>EXP(-LN(2)/35)*DF146+(1-EXP(-LN(2)/35))/(LN(2)/35)*DB147*DC147*VLOOKUP('Données projet'!$B$13,Paramètres!$A$1:$I$89,3,0)*0.475*44/12</f>
        <v>13.179250299824067</v>
      </c>
      <c r="DG147" s="23">
        <f>EXP(-LN(2)/25)*DG146+(1-EXP(-LN(2)/25))/(LN(2)/25)*Calculateur!DB147*Calculateur!DD147*VLOOKUP('Données projet'!$B$13,Paramètres!$A$1:$I$89,3,0)*0.475*44/12</f>
        <v>0.55537056933655971</v>
      </c>
      <c r="DH147" s="23">
        <f>EXP(-LN(2)/2)*DH146+(1-EXP(-LN(2)/2))/(LN(2)/2)*DB147*DE147*VLOOKUP('Données projet'!$B$13,Paramètres!$A$1:$I$89,3,0)*0.475*44/12</f>
        <v>0</v>
      </c>
      <c r="DI147" s="24">
        <f t="shared" si="123"/>
        <v>13.734620869160628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5.6843418860808015E-14</v>
      </c>
      <c r="DP147" s="18">
        <f>DO147*VLOOKUP('Données projet'!$B$14,Paramètres!$A$1:$I$89,3,0)*VLOOKUP('Données projet'!$B$14,Paramètres!$A$1:$I$89,5,0)</f>
        <v>5.4092197387944907E-14</v>
      </c>
      <c r="DQ147" s="14">
        <f t="shared" si="151"/>
        <v>8.7287050538073676E-13</v>
      </c>
      <c r="DR147" s="22">
        <f t="shared" si="124"/>
        <v>1.6144600406554537E-12</v>
      </c>
      <c r="DS147" s="62">
        <f t="shared" si="125"/>
        <v>285.95786938129447</v>
      </c>
      <c r="DT147" s="62">
        <f ca="1">AVERAGE(OFFSET($DS$3,0,0,'Données projet'!$E$14+1,1))-AVERAGE(OFFSET($H$3,0,0,'Données projet'!$E$14+1,1))</f>
        <v>364.63161066507769</v>
      </c>
      <c r="DU147" s="62">
        <f t="shared" si="152"/>
        <v>355.44729904860708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>
        <f>EXP(-LN(2)/35)*EA146+(1-EXP(-LN(2)/35))/(LN(2)/35)*DW147*DX147*VLOOKUP('Données projet'!$B$14,Paramètres!$A$1:$I$89,3,0)*0.475*44/12</f>
        <v>37.364916701536423</v>
      </c>
      <c r="EB147" s="23">
        <f>EXP(-LN(2)/25)*EB146+(1-EXP(-LN(2)/25))/(LN(2)/25)*Calculateur!DW147*Calculateur!DY147*VLOOKUP('Données projet'!$B$14,Paramètres!$A$1:$I$89,3,0)*0.475*44/12</f>
        <v>0</v>
      </c>
      <c r="EC147" s="23">
        <f>EXP(-LN(2)/2)*EC146+(1-EXP(-LN(2)/2))/(LN(2)/2)*DW147*DZ147*VLOOKUP('Données projet'!$B$14,Paramètres!$A$1:$I$89,3,0)*0.475*44/12</f>
        <v>0</v>
      </c>
      <c r="ED147" s="24">
        <f t="shared" si="126"/>
        <v>37.364916701536423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5.6843418860808015E-14</v>
      </c>
      <c r="EK147" s="18">
        <f>EJ147*VLOOKUP('Données projet'!$B$15,Paramètres!$A$1:$I$89,3,0)*VLOOKUP('Données projet'!$B$15,Paramètres!$A$1:$I$89,5,0)</f>
        <v>4.1677594708744434E-14</v>
      </c>
      <c r="EL147" s="14">
        <f t="shared" si="153"/>
        <v>6.9326303456159188E-13</v>
      </c>
      <c r="EM147" s="22">
        <f t="shared" si="127"/>
        <v>1.2800215959791691E-12</v>
      </c>
      <c r="EN147" s="62">
        <f t="shared" si="128"/>
        <v>285.95786938129419</v>
      </c>
      <c r="EO147" s="62">
        <f ca="1">AVERAGE(OFFSET($EN$3,0,0,'Données projet'!$E$15+1,1))-AVERAGE(OFFSET($H$3,0,0,'Données projet'!$E$15+1,1))</f>
        <v>293.59366973965774</v>
      </c>
      <c r="EP147" s="62">
        <f t="shared" si="154"/>
        <v>288.13804536120426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>
        <f>EXP(-LN(2)/35)*EV146+(1-EXP(-LN(2)/35))/(LN(2)/35)*ER147*ES147*VLOOKUP('Données projet'!$B$15,Paramètres!$A$1:$I$89,3,0)*0.475*44/12</f>
        <v>28.789362048724776</v>
      </c>
      <c r="EW147" s="23">
        <f>EXP(-LN(2)/25)*EW146+(1-EXP(-LN(2)/25))/(LN(2)/25)*Calculateur!ER147*Calculateur!ET147*VLOOKUP('Données projet'!$B$15,Paramètres!$A$1:$I$89,3,0)*0.475*44/12</f>
        <v>0</v>
      </c>
      <c r="EX147" s="23">
        <f>EXP(-LN(2)/2)*EX146+(1-EXP(-LN(2)/2))/(LN(2)/2)*ER147*EU147*VLOOKUP('Données projet'!$B$15,Paramètres!$A$1:$I$89,3,0)*0.475*44/12</f>
        <v>0</v>
      </c>
      <c r="EY147" s="24">
        <f t="shared" si="129"/>
        <v>28.789362048724776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5.6843418860808015E-14</v>
      </c>
      <c r="FF147" s="18">
        <f>FE147*VLOOKUP('Données projet'!$B$16,Paramètres!$A$1:$I$89,3,0)*VLOOKUP('Données projet'!$B$16,Paramètres!$A$1:$I$89,5,0)</f>
        <v>5.4978954722173515E-14</v>
      </c>
      <c r="FG147" s="14">
        <f t="shared" si="155"/>
        <v>8.8550225887742724E-13</v>
      </c>
      <c r="FH147" s="22">
        <f t="shared" si="130"/>
        <v>1.6380047803526383E-12</v>
      </c>
      <c r="FI147" s="62">
        <f t="shared" si="131"/>
        <v>285.95786938129453</v>
      </c>
      <c r="FJ147" s="62">
        <f ca="1">AVERAGE(OFFSET($FI$3,0,0,'Données projet'!$E$16+1,1))-AVERAGE(OFFSET($H$3,0,0,'Données projet'!$E$16+1,1))</f>
        <v>369.69145521630799</v>
      </c>
      <c r="FK147" s="62">
        <f t="shared" si="156"/>
        <v>360.24112103688719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>
        <f>EXP(-LN(2)/35)*FQ146+(1-EXP(-LN(2)/35))/(LN(2)/35)*FM147*FN147*VLOOKUP('Données projet'!$B$16,Paramètres!$A$1:$I$89,3,0)*0.475*44/12</f>
        <v>37.977456319594388</v>
      </c>
      <c r="FR147" s="23">
        <f>EXP(-LN(2)/25)*FR146+(1-EXP(-LN(2)/25))/(LN(2)/25)*Calculateur!FM147*Calculateur!FO147*VLOOKUP('Données projet'!$B$16,Paramètres!$A$1:$I$89,3,0)*0.475*44/12</f>
        <v>0</v>
      </c>
      <c r="FS147" s="23">
        <f>EXP(-LN(2)/2)*FS146+(1-EXP(-LN(2)/2))/(LN(2)/2)*FM147*FP147*VLOOKUP('Données projet'!$B$16,Paramètres!$A$1:$I$89,3,0)*0.475*44/12</f>
        <v>0</v>
      </c>
      <c r="FT147" s="24">
        <f t="shared" si="132"/>
        <v>37.977456319594388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5.6843418860808015E-14</v>
      </c>
      <c r="GA147" s="18">
        <f>FZ147*VLOOKUP('Données projet'!$B$17,Paramètres!$A$1:$I$89,3,0)*VLOOKUP('Données projet'!$B$17,Paramètres!$A$1:$I$89,5,0)</f>
        <v>6.1186256061773749E-14</v>
      </c>
      <c r="GB147" s="14">
        <f t="shared" si="157"/>
        <v>9.7328366192051127E-13</v>
      </c>
      <c r="GC147" s="22">
        <f t="shared" si="133"/>
        <v>1.8017017738191463E-12</v>
      </c>
      <c r="GD147" s="62">
        <f t="shared" si="134"/>
        <v>285.9578693812947</v>
      </c>
      <c r="GE147" s="62">
        <f ca="1">AVERAGE(OFFSET($GD$3,0,0,'Données projet'!$E$17+1,1))-AVERAGE(OFFSET($H$3,0,0,'Données projet'!$E$17+1,1))</f>
        <v>405.06394904053946</v>
      </c>
      <c r="GF147" s="62">
        <f t="shared" si="158"/>
        <v>393.75247087518198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>
        <f>EXP(-LN(2)/35)*GL146+(1-EXP(-LN(2)/35))/(LN(2)/35)*GH147*GI147*VLOOKUP('Données projet'!$B$17,Paramètres!$A$1:$I$89,3,0)*0.475*44/12</f>
        <v>42.265233646000198</v>
      </c>
      <c r="GM147" s="23">
        <f>EXP(-LN(2)/25)*GM146+(1-EXP(-LN(2)/25))/(LN(2)/25)*Calculateur!GH147*Calculateur!GJ147*VLOOKUP('Données projet'!$B$17,Paramètres!$A$1:$I$89,3,0)*0.475*44/12</f>
        <v>0</v>
      </c>
      <c r="GN147" s="23">
        <f>EXP(-LN(2)/2)*GN146+(1-EXP(-LN(2)/2))/(LN(2)/2)*GH147*GK147*VLOOKUP('Données projet'!$B$17,Paramètres!$A$1:$I$89,3,0)*0.475*44/12</f>
        <v>0</v>
      </c>
      <c r="GO147" s="23">
        <f t="shared" si="135"/>
        <v>42.265233646000198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5.6843418860808015E-14</v>
      </c>
      <c r="GV147" s="18">
        <f>GU147*VLOOKUP('Données projet'!$B$18,Paramètres!$A$1:$I$89,3,0)*VLOOKUP('Données projet'!$B$18,Paramètres!$A$1:$I$89,5,0)</f>
        <v>3.813056537183002E-14</v>
      </c>
      <c r="GW147" s="14">
        <f t="shared" si="159"/>
        <v>6.4086286045526829E-13</v>
      </c>
      <c r="GX147" s="22">
        <f t="shared" si="136"/>
        <v>1.1825802166488628E-12</v>
      </c>
      <c r="GY147" s="62">
        <f t="shared" si="137"/>
        <v>285.95786938129407</v>
      </c>
      <c r="GZ147" s="62">
        <f ca="1">AVERAGE(OFFSET($GY$3,0,0,'Données projet'!$E$18+1,1))-AVERAGE(OFFSET($H$3,0,0,'Données projet'!$E$18+1,1))</f>
        <v>273.21861937609918</v>
      </c>
      <c r="HA147" s="62">
        <f t="shared" si="160"/>
        <v>268.83004886965318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>
        <f>EXP(-LN(2)/35)*HG146+(1-EXP(-LN(2)/35))/(LN(2)/35)*HC147*HD147*VLOOKUP('Données projet'!$B$18,Paramètres!$A$1:$I$89,3,0)*0.475*44/12</f>
        <v>32.464599757072612</v>
      </c>
      <c r="HH147" s="23">
        <f>EXP(-LN(2)/25)*HH146+(1-EXP(-LN(2)/25))/(LN(2)/25)*Calculateur!HC147*Calculateur!HE147*VLOOKUP('Données projet'!$B$18,Paramètres!$A$1:$I$89,3,0)*0.475*44/12</f>
        <v>0</v>
      </c>
      <c r="HI147" s="23">
        <f>EXP(-LN(2)/2)*HI146+(1-EXP(-LN(2)/2))/(LN(2)/2)*HC147*HF147*VLOOKUP('Données projet'!$B$18,Paramètres!$A$1:$I$89,3,0)*0.475*44/12</f>
        <v>0</v>
      </c>
      <c r="HJ147" s="24">
        <f t="shared" si="138"/>
        <v>32.464599757072612</v>
      </c>
    </row>
    <row r="148" spans="1:218" s="5" customFormat="1" x14ac:dyDescent="0.4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5.8</v>
      </c>
      <c r="N148" s="14">
        <f>IF('Données projet'!$A$36&gt;35,N147+M148-V147,IF(A148&lt;'Données projet'!$A$36,$K$205^A148,IF(A148='Données projet'!$A$36,'Données projet'!$B$36,N147+M148-V147)))</f>
        <v>316.60000000000002</v>
      </c>
      <c r="O148" s="14">
        <f>N148*VLOOKUP('Données projet'!$B$9,Paramètres!$A$1:$I$89,3,0)*VLOOKUP('Données projet'!$B$9,Paramètres!$A$1:$I$89,5,0)</f>
        <v>286.45968000000005</v>
      </c>
      <c r="P148" s="14">
        <f t="shared" si="141"/>
        <v>68.330307577101138</v>
      </c>
      <c r="Q148" s="22">
        <f t="shared" si="108"/>
        <v>617.92589503011789</v>
      </c>
      <c r="R148" s="62">
        <f t="shared" si="109"/>
        <v>904.01171222191147</v>
      </c>
      <c r="S148" s="62">
        <f ca="1">AVERAGE(OFFSET($R$3,0,0,'Données projet'!$E$9+1,1))-AVERAGE(OFFSET($H$3,0,0,'Données projet'!$E$9+1,1))</f>
        <v>432.80275651765203</v>
      </c>
      <c r="T148" s="62">
        <f t="shared" si="142"/>
        <v>203.89279893419919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30.954027321148484</v>
      </c>
      <c r="AA148" s="23">
        <f>EXP(-LN(2)/25)*AA147+(1-EXP(-LN(2)/25))/(LN(2)/25)*Calculateur!V148*Calculateur!X148*VLOOKUP('Données projet'!$B$9,Paramètres!$A$1:$I$89,3,0)*0.475*44/12</f>
        <v>19.615421914263042</v>
      </c>
      <c r="AB148" s="23">
        <f>EXP(-LN(2)/2)*AB147+(1-EXP(-LN(2)/2))/(LN(2)/2)*V148*Y148*VLOOKUP('Données projet'!$B$9,Paramètres!$A$1:$I$89,3,0)*0.475*44/12</f>
        <v>0</v>
      </c>
      <c r="AC148" s="24">
        <f t="shared" si="111"/>
        <v>50.569449235411525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54.000000000000341</v>
      </c>
      <c r="AJ148" s="14">
        <f>AI148*VLOOKUP('Données projet'!$B$10,Paramètres!$A$1:$I$89,3,0)*VLOOKUP('Données projet'!$B$10,Paramètres!$A$1:$I$89,5,0)</f>
        <v>23.868000000000151</v>
      </c>
      <c r="AK148" s="14">
        <f t="shared" si="143"/>
        <v>7.6030930962115804</v>
      </c>
      <c r="AL148" s="22">
        <f t="shared" si="112"/>
        <v>54.812153809235433</v>
      </c>
      <c r="AM148" s="62">
        <f t="shared" si="113"/>
        <v>340.89797100102902</v>
      </c>
      <c r="AN148" s="62">
        <f ca="1">AVERAGE(OFFSET($AM$3,0,0,'Données projet'!$E$10+1,1))-AVERAGE(OFFSET($H$3,0,0,'Données projet'!$E$10+1,1))</f>
        <v>413.08876898406481</v>
      </c>
      <c r="AO148" s="62">
        <f t="shared" si="144"/>
        <v>520.31320932826566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51.035382331053292</v>
      </c>
      <c r="AV148" s="23">
        <f>EXP(-LN(2)/25)*AV147+(1-EXP(-LN(2)/25))/(LN(2)/25)*Calculateur!AQ148*Calculateur!AS148*VLOOKUP('Données projet'!$B$10,Paramètres!$A$1:$I$89,3,0)*0.475*44/12</f>
        <v>1.9115235856951662</v>
      </c>
      <c r="AW148" s="23">
        <f>EXP(-LN(2)/2)*AW147+(1-EXP(-LN(2)/2))/(LN(2)/2)*AQ148*AT148*VLOOKUP('Données projet'!$B$10,Paramètres!$A$1:$I$89,3,0)*0.475*44/12</f>
        <v>3.5776888763016514E-15</v>
      </c>
      <c r="AX148" s="23">
        <f t="shared" si="114"/>
        <v>52.946905916748463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54.000000000000341</v>
      </c>
      <c r="BE148" s="14">
        <f>BD148*VLOOKUP('Données projet'!$B$11,Paramètres!$A$1:$I$89,3,0)*VLOOKUP('Données projet'!$B$11,Paramètres!$A$1:$I$89,5,0)</f>
        <v>30.186000000000188</v>
      </c>
      <c r="BF148" s="14">
        <f t="shared" si="145"/>
        <v>9.3563888882899153</v>
      </c>
      <c r="BG148" s="22">
        <f t="shared" si="115"/>
        <v>68.869660647105263</v>
      </c>
      <c r="BH148" s="62">
        <f t="shared" si="116"/>
        <v>354.95547783889884</v>
      </c>
      <c r="BI148" s="62">
        <f ca="1">AVERAGE(OFFSET($BH$3,0,0,'Données projet'!$E$11+1,1))-AVERAGE(OFFSET($H$3,0,0,'Données projet'!$E$11+1,1))</f>
        <v>507.66185230065889</v>
      </c>
      <c r="BJ148" s="62">
        <f t="shared" si="146"/>
        <v>640.14375617778342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64.544748242214382</v>
      </c>
      <c r="BQ148" s="23">
        <f>EXP(-LN(2)/25)*BQ147+(1-EXP(-LN(2)/25))/(LN(2)/25)*Calculateur!BL148*Calculateur!BN148*VLOOKUP('Données projet'!$B$11,Paramètres!$A$1:$I$89,3,0)*0.475*44/12</f>
        <v>2.4175151230850656</v>
      </c>
      <c r="BR148" s="23">
        <f>EXP(-LN(2)/2)*BR147+(1-EXP(-LN(2)/2))/(LN(2)/2)*BL148*BO148*VLOOKUP('Données projet'!$B$11,Paramètres!$A$1:$I$89,3,0)*0.475*44/12</f>
        <v>4.5247241670873858E-15</v>
      </c>
      <c r="BS148" s="24">
        <f t="shared" si="117"/>
        <v>66.962263365299449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417.04879970000007</v>
      </c>
      <c r="BZ148" s="14">
        <f>BY148*VLOOKUP('Données projet'!$B$12,Paramètres!$A$1:$I$89,3,0)*VLOOKUP('Données projet'!$B$12,Paramètres!$A$1:$I$89,5,0)</f>
        <v>195.17883825960004</v>
      </c>
      <c r="CA148" s="14">
        <f t="shared" si="147"/>
        <v>48.683122291673484</v>
      </c>
      <c r="CB148" s="22">
        <f t="shared" si="118"/>
        <v>424.72624796013469</v>
      </c>
      <c r="CC148" s="62">
        <f t="shared" si="119"/>
        <v>710.81206515192821</v>
      </c>
      <c r="CD148" s="62">
        <f ca="1">AVERAGE(OFFSET($CC$3,0,0,'Données projet'!$E$12+1,1))-AVERAGE(OFFSET($H$3,0,0,'Données projet'!$E$12+1,1))</f>
        <v>289.21044803824958</v>
      </c>
      <c r="CE148" s="62">
        <f t="shared" si="148"/>
        <v>196.11836398299445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>
        <f>EXP(-LN(2)/35)*CK147+(1-EXP(-LN(2)/35))/(LN(2)/35)*CG148*CH148*VLOOKUP('Données projet'!$B$12,Paramètres!$A$1:$I$89,3,0)*0.475*44/12</f>
        <v>28.249265311026864</v>
      </c>
      <c r="CL148" s="23">
        <f>EXP(-LN(2)/25)*CL147+(1-EXP(-LN(2)/25))/(LN(2)/25)*Calculateur!CG148*Calculateur!CI148*VLOOKUP('Données projet'!$B$12,Paramètres!$A$1:$I$89,3,0)*0.475*44/12</f>
        <v>9.2065530473933741</v>
      </c>
      <c r="CM148" s="23">
        <f>EXP(-LN(2)/2)*CM147+(1-EXP(-LN(2)/2))/(LN(2)/2)*CG148*CJ148*VLOOKUP('Données projet'!$B$12,Paramètres!$A$1:$I$89,3,0)*0.475*44/12</f>
        <v>0</v>
      </c>
      <c r="CN148" s="24">
        <f t="shared" si="120"/>
        <v>37.455818358420238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-5.6843418860808015E-14</v>
      </c>
      <c r="CU148" s="18">
        <f>CT148*VLOOKUP('Données projet'!$B$13,Paramètres!$A$1:$I$89,3,0)*VLOOKUP('Données projet'!$B$13,Paramètres!$A$1:$I$89,5,0)</f>
        <v>-5.1431925385259088E-14</v>
      </c>
      <c r="CV148" s="14" t="e">
        <f t="shared" si="149"/>
        <v>#NUM!</v>
      </c>
      <c r="CW148" s="22" t="e">
        <f t="shared" si="121"/>
        <v>#NUM!</v>
      </c>
      <c r="CX148" s="62" t="e">
        <f t="shared" si="122"/>
        <v>#NUM!</v>
      </c>
      <c r="CY148" s="62">
        <f ca="1">AVERAGE(OFFSET($CX$3,0,0,'Données projet'!$E$13+1,1))-AVERAGE(OFFSET($H$3,0,0,'Données projet'!$E$13+1,1))</f>
        <v>376.68007030857598</v>
      </c>
      <c r="CZ148" s="62">
        <f t="shared" si="150"/>
        <v>532.90758914457626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>
        <f>EXP(-LN(2)/35)*DF147+(1-EXP(-LN(2)/35))/(LN(2)/35)*DB148*DC148*VLOOKUP('Données projet'!$B$13,Paramètres!$A$1:$I$89,3,0)*0.475*44/12</f>
        <v>12.920813239993459</v>
      </c>
      <c r="DG148" s="23">
        <f>EXP(-LN(2)/25)*DG147+(1-EXP(-LN(2)/25))/(LN(2)/25)*Calculateur!DB148*Calculateur!DD148*VLOOKUP('Données projet'!$B$13,Paramètres!$A$1:$I$89,3,0)*0.475*44/12</f>
        <v>0.54018393191238256</v>
      </c>
      <c r="DH148" s="23">
        <f>EXP(-LN(2)/2)*DH147+(1-EXP(-LN(2)/2))/(LN(2)/2)*DB148*DE148*VLOOKUP('Données projet'!$B$13,Paramètres!$A$1:$I$89,3,0)*0.475*44/12</f>
        <v>0</v>
      </c>
      <c r="DI148" s="24">
        <f t="shared" si="123"/>
        <v>13.460997171905841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5.6843418860808015E-14</v>
      </c>
      <c r="DP148" s="18">
        <f>DO148*VLOOKUP('Données projet'!$B$14,Paramètres!$A$1:$I$89,3,0)*VLOOKUP('Données projet'!$B$14,Paramètres!$A$1:$I$89,5,0)</f>
        <v>5.4092197387944907E-14</v>
      </c>
      <c r="DQ148" s="14">
        <f t="shared" si="151"/>
        <v>8.7287050538073676E-13</v>
      </c>
      <c r="DR148" s="22">
        <f t="shared" si="124"/>
        <v>1.6144600406554537E-12</v>
      </c>
      <c r="DS148" s="62">
        <f t="shared" si="125"/>
        <v>286.08581719179517</v>
      </c>
      <c r="DT148" s="62">
        <f ca="1">AVERAGE(OFFSET($DS$3,0,0,'Données projet'!$E$14+1,1))-AVERAGE(OFFSET($H$3,0,0,'Données projet'!$E$14+1,1))</f>
        <v>364.63161066507769</v>
      </c>
      <c r="DU148" s="62">
        <f t="shared" si="152"/>
        <v>355.44729904860708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>
        <f>EXP(-LN(2)/35)*EA147+(1-EXP(-LN(2)/35))/(LN(2)/35)*DW148*DX148*VLOOKUP('Données projet'!$B$14,Paramètres!$A$1:$I$89,3,0)*0.475*44/12</f>
        <v>36.632213475368118</v>
      </c>
      <c r="EB148" s="23">
        <f>EXP(-LN(2)/25)*EB147+(1-EXP(-LN(2)/25))/(LN(2)/25)*Calculateur!DW148*Calculateur!DY148*VLOOKUP('Données projet'!$B$14,Paramètres!$A$1:$I$89,3,0)*0.475*44/12</f>
        <v>0</v>
      </c>
      <c r="EC148" s="23">
        <f>EXP(-LN(2)/2)*EC147+(1-EXP(-LN(2)/2))/(LN(2)/2)*DW148*DZ148*VLOOKUP('Données projet'!$B$14,Paramètres!$A$1:$I$89,3,0)*0.475*44/12</f>
        <v>0</v>
      </c>
      <c r="ED148" s="24">
        <f t="shared" si="126"/>
        <v>36.632213475368118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5.6843418860808015E-14</v>
      </c>
      <c r="EK148" s="18">
        <f>EJ148*VLOOKUP('Données projet'!$B$15,Paramètres!$A$1:$I$89,3,0)*VLOOKUP('Données projet'!$B$15,Paramètres!$A$1:$I$89,5,0)</f>
        <v>4.1677594708744434E-14</v>
      </c>
      <c r="EL148" s="14">
        <f t="shared" si="153"/>
        <v>6.9326303456159188E-13</v>
      </c>
      <c r="EM148" s="22">
        <f t="shared" si="127"/>
        <v>1.2800215959791691E-12</v>
      </c>
      <c r="EN148" s="62">
        <f t="shared" si="128"/>
        <v>286.08581719179489</v>
      </c>
      <c r="EO148" s="62">
        <f ca="1">AVERAGE(OFFSET($EN$3,0,0,'Données projet'!$E$15+1,1))-AVERAGE(OFFSET($H$3,0,0,'Données projet'!$E$15+1,1))</f>
        <v>293.59366973965774</v>
      </c>
      <c r="EP148" s="62">
        <f t="shared" si="154"/>
        <v>288.13804536120426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>
        <f>EXP(-LN(2)/35)*EV147+(1-EXP(-LN(2)/35))/(LN(2)/35)*ER148*ES148*VLOOKUP('Données projet'!$B$15,Paramètres!$A$1:$I$89,3,0)*0.475*44/12</f>
        <v>28.224820218726247</v>
      </c>
      <c r="EW148" s="23">
        <f>EXP(-LN(2)/25)*EW147+(1-EXP(-LN(2)/25))/(LN(2)/25)*Calculateur!ER148*Calculateur!ET148*VLOOKUP('Données projet'!$B$15,Paramètres!$A$1:$I$89,3,0)*0.475*44/12</f>
        <v>0</v>
      </c>
      <c r="EX148" s="23">
        <f>EXP(-LN(2)/2)*EX147+(1-EXP(-LN(2)/2))/(LN(2)/2)*ER148*EU148*VLOOKUP('Données projet'!$B$15,Paramètres!$A$1:$I$89,3,0)*0.475*44/12</f>
        <v>0</v>
      </c>
      <c r="EY148" s="24">
        <f t="shared" si="129"/>
        <v>28.224820218726247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5.6843418860808015E-14</v>
      </c>
      <c r="FF148" s="18">
        <f>FE148*VLOOKUP('Données projet'!$B$16,Paramètres!$A$1:$I$89,3,0)*VLOOKUP('Données projet'!$B$16,Paramètres!$A$1:$I$89,5,0)</f>
        <v>5.4978954722173515E-14</v>
      </c>
      <c r="FG148" s="14">
        <f t="shared" si="155"/>
        <v>8.8550225887742724E-13</v>
      </c>
      <c r="FH148" s="22">
        <f t="shared" si="130"/>
        <v>1.6380047803526383E-12</v>
      </c>
      <c r="FI148" s="62">
        <f t="shared" si="131"/>
        <v>286.08581719179523</v>
      </c>
      <c r="FJ148" s="62">
        <f ca="1">AVERAGE(OFFSET($FI$3,0,0,'Données projet'!$E$16+1,1))-AVERAGE(OFFSET($H$3,0,0,'Données projet'!$E$16+1,1))</f>
        <v>369.69145521630799</v>
      </c>
      <c r="FK148" s="62">
        <f t="shared" si="156"/>
        <v>360.24112103688719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>
        <f>EXP(-LN(2)/35)*FQ147+(1-EXP(-LN(2)/35))/(LN(2)/35)*FM148*FN148*VLOOKUP('Données projet'!$B$16,Paramètres!$A$1:$I$89,3,0)*0.475*44/12</f>
        <v>37.232741565128244</v>
      </c>
      <c r="FR148" s="23">
        <f>EXP(-LN(2)/25)*FR147+(1-EXP(-LN(2)/25))/(LN(2)/25)*Calculateur!FM148*Calculateur!FO148*VLOOKUP('Données projet'!$B$16,Paramètres!$A$1:$I$89,3,0)*0.475*44/12</f>
        <v>0</v>
      </c>
      <c r="FS148" s="23">
        <f>EXP(-LN(2)/2)*FS147+(1-EXP(-LN(2)/2))/(LN(2)/2)*FM148*FP148*VLOOKUP('Données projet'!$B$16,Paramètres!$A$1:$I$89,3,0)*0.475*44/12</f>
        <v>0</v>
      </c>
      <c r="FT148" s="24">
        <f t="shared" si="132"/>
        <v>37.232741565128244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5.6843418860808015E-14</v>
      </c>
      <c r="GA148" s="18">
        <f>FZ148*VLOOKUP('Données projet'!$B$17,Paramètres!$A$1:$I$89,3,0)*VLOOKUP('Données projet'!$B$17,Paramètres!$A$1:$I$89,5,0)</f>
        <v>6.1186256061773749E-14</v>
      </c>
      <c r="GB148" s="14">
        <f t="shared" si="157"/>
        <v>9.7328366192051127E-13</v>
      </c>
      <c r="GC148" s="22">
        <f t="shared" si="133"/>
        <v>1.8017017738191463E-12</v>
      </c>
      <c r="GD148" s="62">
        <f t="shared" si="134"/>
        <v>286.0858171917954</v>
      </c>
      <c r="GE148" s="62">
        <f ca="1">AVERAGE(OFFSET($GD$3,0,0,'Données projet'!$E$17+1,1))-AVERAGE(OFFSET($H$3,0,0,'Données projet'!$E$17+1,1))</f>
        <v>405.06394904053946</v>
      </c>
      <c r="GF148" s="62">
        <f t="shared" si="158"/>
        <v>393.75247087518198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>
        <f>EXP(-LN(2)/35)*GL147+(1-EXP(-LN(2)/35))/(LN(2)/35)*GH148*GI148*VLOOKUP('Données projet'!$B$17,Paramètres!$A$1:$I$89,3,0)*0.475*44/12</f>
        <v>41.43643819344917</v>
      </c>
      <c r="GM148" s="23">
        <f>EXP(-LN(2)/25)*GM147+(1-EXP(-LN(2)/25))/(LN(2)/25)*Calculateur!GH148*Calculateur!GJ148*VLOOKUP('Données projet'!$B$17,Paramètres!$A$1:$I$89,3,0)*0.475*44/12</f>
        <v>0</v>
      </c>
      <c r="GN148" s="23">
        <f>EXP(-LN(2)/2)*GN147+(1-EXP(-LN(2)/2))/(LN(2)/2)*GH148*GK148*VLOOKUP('Données projet'!$B$17,Paramètres!$A$1:$I$89,3,0)*0.475*44/12</f>
        <v>0</v>
      </c>
      <c r="GO148" s="23">
        <f t="shared" si="135"/>
        <v>41.43643819344917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5.6843418860808015E-14</v>
      </c>
      <c r="GV148" s="18">
        <f>GU148*VLOOKUP('Données projet'!$B$18,Paramètres!$A$1:$I$89,3,0)*VLOOKUP('Données projet'!$B$18,Paramètres!$A$1:$I$89,5,0)</f>
        <v>3.813056537183002E-14</v>
      </c>
      <c r="GW148" s="14">
        <f t="shared" si="159"/>
        <v>6.4086286045526829E-13</v>
      </c>
      <c r="GX148" s="22">
        <f t="shared" si="136"/>
        <v>1.1825802166488628E-12</v>
      </c>
      <c r="GY148" s="62">
        <f t="shared" si="137"/>
        <v>286.08581719179477</v>
      </c>
      <c r="GZ148" s="62">
        <f ca="1">AVERAGE(OFFSET($GY$3,0,0,'Données projet'!$E$18+1,1))-AVERAGE(OFFSET($H$3,0,0,'Données projet'!$E$18+1,1))</f>
        <v>273.21861937609918</v>
      </c>
      <c r="HA148" s="62">
        <f t="shared" si="160"/>
        <v>268.83004886965318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>
        <f>EXP(-LN(2)/35)*HG147+(1-EXP(-LN(2)/35))/(LN(2)/35)*HC148*HD148*VLOOKUP('Données projet'!$B$18,Paramètres!$A$1:$I$89,3,0)*0.475*44/12</f>
        <v>31.827988757287038</v>
      </c>
      <c r="HH148" s="23">
        <f>EXP(-LN(2)/25)*HH147+(1-EXP(-LN(2)/25))/(LN(2)/25)*Calculateur!HC148*Calculateur!HE148*VLOOKUP('Données projet'!$B$18,Paramètres!$A$1:$I$89,3,0)*0.475*44/12</f>
        <v>0</v>
      </c>
      <c r="HI148" s="23">
        <f>EXP(-LN(2)/2)*HI147+(1-EXP(-LN(2)/2))/(LN(2)/2)*HC148*HF148*VLOOKUP('Données projet'!$B$18,Paramètres!$A$1:$I$89,3,0)*0.475*44/12</f>
        <v>0</v>
      </c>
      <c r="HJ148" s="24">
        <f t="shared" si="138"/>
        <v>31.827988757287038</v>
      </c>
    </row>
    <row r="149" spans="1:218" s="5" customFormat="1" x14ac:dyDescent="0.4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5.8</v>
      </c>
      <c r="N149" s="14">
        <f>IF('Données projet'!$A$36&gt;35,N148+M149-V148,IF(A149&lt;'Données projet'!$A$36,$K$205^A149,IF(A149='Données projet'!$A$36,'Données projet'!$B$36,N148+M149-V148)))</f>
        <v>322.40000000000003</v>
      </c>
      <c r="O149" s="14">
        <f>N149*VLOOKUP('Données projet'!$B$9,Paramètres!$A$1:$I$89,3,0)*VLOOKUP('Données projet'!$B$9,Paramètres!$A$1:$I$89,5,0)</f>
        <v>291.70752000000005</v>
      </c>
      <c r="P149" s="14">
        <f t="shared" si="141"/>
        <v>69.435215282847324</v>
      </c>
      <c r="Q149" s="22">
        <f t="shared" si="108"/>
        <v>628.99026395095905</v>
      </c>
      <c r="R149" s="62">
        <f t="shared" si="109"/>
        <v>915.20180934478969</v>
      </c>
      <c r="S149" s="62">
        <f ca="1">AVERAGE(OFFSET($R$3,0,0,'Données projet'!$E$9+1,1))-AVERAGE(OFFSET($H$3,0,0,'Données projet'!$E$9+1,1))</f>
        <v>432.80275651765203</v>
      </c>
      <c r="T149" s="62">
        <f t="shared" si="142"/>
        <v>203.89279893419919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30.347037725473175</v>
      </c>
      <c r="AA149" s="23">
        <f>EXP(-LN(2)/25)*AA148+(1-EXP(-LN(2)/25))/(LN(2)/25)*Calculateur!V149*Calculateur!X149*VLOOKUP('Données projet'!$B$9,Paramètres!$A$1:$I$89,3,0)*0.475*44/12</f>
        <v>19.079037170487311</v>
      </c>
      <c r="AB149" s="23">
        <f>EXP(-LN(2)/2)*AB148+(1-EXP(-LN(2)/2))/(LN(2)/2)*V149*Y149*VLOOKUP('Données projet'!$B$9,Paramètres!$A$1:$I$89,3,0)*0.475*44/12</f>
        <v>0</v>
      </c>
      <c r="AC149" s="24">
        <f t="shared" si="111"/>
        <v>49.426074895960483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54.000000000000341</v>
      </c>
      <c r="AJ149" s="14">
        <f>AI149*VLOOKUP('Données projet'!$B$10,Paramètres!$A$1:$I$89,3,0)*VLOOKUP('Données projet'!$B$10,Paramètres!$A$1:$I$89,5,0)</f>
        <v>23.868000000000151</v>
      </c>
      <c r="AK149" s="14">
        <f t="shared" si="143"/>
        <v>7.6030930962115804</v>
      </c>
      <c r="AL149" s="22">
        <f t="shared" si="112"/>
        <v>54.812153809235433</v>
      </c>
      <c r="AM149" s="62">
        <f t="shared" si="113"/>
        <v>341.02369920306609</v>
      </c>
      <c r="AN149" s="62">
        <f ca="1">AVERAGE(OFFSET($AM$3,0,0,'Données projet'!$E$10+1,1))-AVERAGE(OFFSET($H$3,0,0,'Données projet'!$E$10+1,1))</f>
        <v>413.08876898406481</v>
      </c>
      <c r="AO149" s="62">
        <f t="shared" si="144"/>
        <v>520.31320932826566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50.034609612050872</v>
      </c>
      <c r="AV149" s="23">
        <f>EXP(-LN(2)/25)*AV148+(1-EXP(-LN(2)/25))/(LN(2)/25)*Calculateur!AQ149*Calculateur!AS149*VLOOKUP('Données projet'!$B$10,Paramètres!$A$1:$I$89,3,0)*0.475*44/12</f>
        <v>1.8592528727216753</v>
      </c>
      <c r="AW149" s="23">
        <f>EXP(-LN(2)/2)*AW148+(1-EXP(-LN(2)/2))/(LN(2)/2)*AQ149*AT149*VLOOKUP('Données projet'!$B$10,Paramètres!$A$1:$I$89,3,0)*0.475*44/12</f>
        <v>2.529808065408577E-15</v>
      </c>
      <c r="AX149" s="23">
        <f t="shared" si="114"/>
        <v>51.893862484772548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54.000000000000341</v>
      </c>
      <c r="BE149" s="14">
        <f>BD149*VLOOKUP('Données projet'!$B$11,Paramètres!$A$1:$I$89,3,0)*VLOOKUP('Données projet'!$B$11,Paramètres!$A$1:$I$89,5,0)</f>
        <v>30.186000000000188</v>
      </c>
      <c r="BF149" s="14">
        <f t="shared" si="145"/>
        <v>9.3563888882899153</v>
      </c>
      <c r="BG149" s="22">
        <f t="shared" si="115"/>
        <v>68.869660647105263</v>
      </c>
      <c r="BH149" s="62">
        <f t="shared" si="116"/>
        <v>355.08120604093591</v>
      </c>
      <c r="BI149" s="62">
        <f ca="1">AVERAGE(OFFSET($BH$3,0,0,'Données projet'!$E$11+1,1))-AVERAGE(OFFSET($H$3,0,0,'Données projet'!$E$11+1,1))</f>
        <v>507.66185230065889</v>
      </c>
      <c r="BJ149" s="62">
        <f t="shared" si="146"/>
        <v>640.14375617778342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63.27906509759368</v>
      </c>
      <c r="BQ149" s="23">
        <f>EXP(-LN(2)/25)*BQ148+(1-EXP(-LN(2)/25))/(LN(2)/25)*Calculateur!BL149*Calculateur!BN149*VLOOKUP('Données projet'!$B$11,Paramètres!$A$1:$I$89,3,0)*0.475*44/12</f>
        <v>2.3514080449127093</v>
      </c>
      <c r="BR149" s="23">
        <f>EXP(-LN(2)/2)*BR148+(1-EXP(-LN(2)/2))/(LN(2)/2)*BL149*BO149*VLOOKUP('Données projet'!$B$11,Paramètres!$A$1:$I$89,3,0)*0.475*44/12</f>
        <v>3.1994631415461437E-15</v>
      </c>
      <c r="BS149" s="24">
        <f t="shared" si="117"/>
        <v>65.630473142506389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417.04879970000007</v>
      </c>
      <c r="BZ149" s="14">
        <f>BY149*VLOOKUP('Données projet'!$B$12,Paramètres!$A$1:$I$89,3,0)*VLOOKUP('Données projet'!$B$12,Paramètres!$A$1:$I$89,5,0)</f>
        <v>195.17883825960004</v>
      </c>
      <c r="CA149" s="14">
        <f t="shared" si="147"/>
        <v>48.683122291673484</v>
      </c>
      <c r="CB149" s="22">
        <f t="shared" si="118"/>
        <v>424.72624796013469</v>
      </c>
      <c r="CC149" s="62">
        <f t="shared" si="119"/>
        <v>710.93779335396539</v>
      </c>
      <c r="CD149" s="62">
        <f ca="1">AVERAGE(OFFSET($CC$3,0,0,'Données projet'!$E$12+1,1))-AVERAGE(OFFSET($H$3,0,0,'Données projet'!$E$12+1,1))</f>
        <v>289.21044803824958</v>
      </c>
      <c r="CE149" s="62">
        <f t="shared" si="148"/>
        <v>196.11836398299445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>
        <f>EXP(-LN(2)/35)*CK148+(1-EXP(-LN(2)/35))/(LN(2)/35)*CG149*CH149*VLOOKUP('Données projet'!$B$12,Paramètres!$A$1:$I$89,3,0)*0.475*44/12</f>
        <v>27.69531444862811</v>
      </c>
      <c r="CL149" s="23">
        <f>EXP(-LN(2)/25)*CL148+(1-EXP(-LN(2)/25))/(LN(2)/25)*Calculateur!CG149*Calculateur!CI149*VLOOKUP('Données projet'!$B$12,Paramètres!$A$1:$I$89,3,0)*0.475*44/12</f>
        <v>8.9547993701608188</v>
      </c>
      <c r="CM149" s="23">
        <f>EXP(-LN(2)/2)*CM148+(1-EXP(-LN(2)/2))/(LN(2)/2)*CG149*CJ149*VLOOKUP('Données projet'!$B$12,Paramètres!$A$1:$I$89,3,0)*0.475*44/12</f>
        <v>0</v>
      </c>
      <c r="CN149" s="24">
        <f t="shared" si="120"/>
        <v>36.650113818788931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-5.6843418860808015E-14</v>
      </c>
      <c r="CU149" s="18">
        <f>CT149*VLOOKUP('Données projet'!$B$13,Paramètres!$A$1:$I$89,3,0)*VLOOKUP('Données projet'!$B$13,Paramètres!$A$1:$I$89,5,0)</f>
        <v>-5.1431925385259088E-14</v>
      </c>
      <c r="CV149" s="14" t="e">
        <f t="shared" si="149"/>
        <v>#NUM!</v>
      </c>
      <c r="CW149" s="22" t="e">
        <f t="shared" si="121"/>
        <v>#NUM!</v>
      </c>
      <c r="CX149" s="62" t="e">
        <f t="shared" si="122"/>
        <v>#NUM!</v>
      </c>
      <c r="CY149" s="62">
        <f ca="1">AVERAGE(OFFSET($CX$3,0,0,'Données projet'!$E$13+1,1))-AVERAGE(OFFSET($H$3,0,0,'Données projet'!$E$13+1,1))</f>
        <v>376.68007030857598</v>
      </c>
      <c r="CZ149" s="62">
        <f t="shared" si="150"/>
        <v>532.90758914457626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>
        <f>EXP(-LN(2)/35)*DF148+(1-EXP(-LN(2)/35))/(LN(2)/35)*DB149*DC149*VLOOKUP('Données projet'!$B$13,Paramètres!$A$1:$I$89,3,0)*0.475*44/12</f>
        <v>12.667443973275088</v>
      </c>
      <c r="DG149" s="23">
        <f>EXP(-LN(2)/25)*DG148+(1-EXP(-LN(2)/25))/(LN(2)/25)*Calculateur!DB149*Calculateur!DD149*VLOOKUP('Données projet'!$B$13,Paramètres!$A$1:$I$89,3,0)*0.475*44/12</f>
        <v>0.52541257388720009</v>
      </c>
      <c r="DH149" s="23">
        <f>EXP(-LN(2)/2)*DH148+(1-EXP(-LN(2)/2))/(LN(2)/2)*DB149*DE149*VLOOKUP('Données projet'!$B$13,Paramètres!$A$1:$I$89,3,0)*0.475*44/12</f>
        <v>0</v>
      </c>
      <c r="DI149" s="24">
        <f t="shared" si="123"/>
        <v>13.192856547162288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5.6843418860808015E-14</v>
      </c>
      <c r="DP149" s="18">
        <f>DO149*VLOOKUP('Données projet'!$B$14,Paramètres!$A$1:$I$89,3,0)*VLOOKUP('Données projet'!$B$14,Paramètres!$A$1:$I$89,5,0)</f>
        <v>5.4092197387944907E-14</v>
      </c>
      <c r="DQ149" s="14">
        <f t="shared" si="151"/>
        <v>8.7287050538073676E-13</v>
      </c>
      <c r="DR149" s="22">
        <f t="shared" si="124"/>
        <v>1.6144600406554537E-12</v>
      </c>
      <c r="DS149" s="62">
        <f t="shared" si="125"/>
        <v>286.21154539383224</v>
      </c>
      <c r="DT149" s="62">
        <f ca="1">AVERAGE(OFFSET($DS$3,0,0,'Données projet'!$E$14+1,1))-AVERAGE(OFFSET($H$3,0,0,'Données projet'!$E$14+1,1))</f>
        <v>364.63161066507769</v>
      </c>
      <c r="DU149" s="62">
        <f t="shared" si="152"/>
        <v>355.44729904860708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>
        <f>EXP(-LN(2)/35)*EA148+(1-EXP(-LN(2)/35))/(LN(2)/35)*DW149*DX149*VLOOKUP('Données projet'!$B$14,Paramètres!$A$1:$I$89,3,0)*0.475*44/12</f>
        <v>35.913878112560141</v>
      </c>
      <c r="EB149" s="23">
        <f>EXP(-LN(2)/25)*EB148+(1-EXP(-LN(2)/25))/(LN(2)/25)*Calculateur!DW149*Calculateur!DY149*VLOOKUP('Données projet'!$B$14,Paramètres!$A$1:$I$89,3,0)*0.475*44/12</f>
        <v>0</v>
      </c>
      <c r="EC149" s="23">
        <f>EXP(-LN(2)/2)*EC148+(1-EXP(-LN(2)/2))/(LN(2)/2)*DW149*DZ149*VLOOKUP('Données projet'!$B$14,Paramètres!$A$1:$I$89,3,0)*0.475*44/12</f>
        <v>0</v>
      </c>
      <c r="ED149" s="24">
        <f t="shared" si="126"/>
        <v>35.913878112560141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5.6843418860808015E-14</v>
      </c>
      <c r="EK149" s="18">
        <f>EJ149*VLOOKUP('Données projet'!$B$15,Paramètres!$A$1:$I$89,3,0)*VLOOKUP('Données projet'!$B$15,Paramètres!$A$1:$I$89,5,0)</f>
        <v>4.1677594708744434E-14</v>
      </c>
      <c r="EL149" s="14">
        <f t="shared" si="153"/>
        <v>6.9326303456159188E-13</v>
      </c>
      <c r="EM149" s="22">
        <f t="shared" si="127"/>
        <v>1.2800215959791691E-12</v>
      </c>
      <c r="EN149" s="62">
        <f t="shared" si="128"/>
        <v>286.21154539383195</v>
      </c>
      <c r="EO149" s="62">
        <f ca="1">AVERAGE(OFFSET($EN$3,0,0,'Données projet'!$E$15+1,1))-AVERAGE(OFFSET($H$3,0,0,'Données projet'!$E$15+1,1))</f>
        <v>293.59366973965774</v>
      </c>
      <c r="EP149" s="62">
        <f t="shared" si="154"/>
        <v>288.13804536120426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>
        <f>EXP(-LN(2)/35)*EV148+(1-EXP(-LN(2)/35))/(LN(2)/35)*ER149*ES149*VLOOKUP('Données projet'!$B$15,Paramètres!$A$1:$I$89,3,0)*0.475*44/12</f>
        <v>27.671348709677474</v>
      </c>
      <c r="EW149" s="23">
        <f>EXP(-LN(2)/25)*EW148+(1-EXP(-LN(2)/25))/(LN(2)/25)*Calculateur!ER149*Calculateur!ET149*VLOOKUP('Données projet'!$B$15,Paramètres!$A$1:$I$89,3,0)*0.475*44/12</f>
        <v>0</v>
      </c>
      <c r="EX149" s="23">
        <f>EXP(-LN(2)/2)*EX148+(1-EXP(-LN(2)/2))/(LN(2)/2)*ER149*EU149*VLOOKUP('Données projet'!$B$15,Paramètres!$A$1:$I$89,3,0)*0.475*44/12</f>
        <v>0</v>
      </c>
      <c r="EY149" s="24">
        <f t="shared" si="129"/>
        <v>27.671348709677474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5.6843418860808015E-14</v>
      </c>
      <c r="FF149" s="18">
        <f>FE149*VLOOKUP('Données projet'!$B$16,Paramètres!$A$1:$I$89,3,0)*VLOOKUP('Données projet'!$B$16,Paramètres!$A$1:$I$89,5,0)</f>
        <v>5.4978954722173515E-14</v>
      </c>
      <c r="FG149" s="14">
        <f t="shared" si="155"/>
        <v>8.8550225887742724E-13</v>
      </c>
      <c r="FH149" s="22">
        <f t="shared" si="130"/>
        <v>1.6380047803526383E-12</v>
      </c>
      <c r="FI149" s="62">
        <f t="shared" si="131"/>
        <v>286.2115453938323</v>
      </c>
      <c r="FJ149" s="62">
        <f ca="1">AVERAGE(OFFSET($FI$3,0,0,'Données projet'!$E$16+1,1))-AVERAGE(OFFSET($H$3,0,0,'Données projet'!$E$16+1,1))</f>
        <v>369.69145521630799</v>
      </c>
      <c r="FK149" s="62">
        <f t="shared" si="156"/>
        <v>360.24112103688719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>
        <f>EXP(-LN(2)/35)*FQ148+(1-EXP(-LN(2)/35))/(LN(2)/35)*FM149*FN149*VLOOKUP('Données projet'!$B$16,Paramètres!$A$1:$I$89,3,0)*0.475*44/12</f>
        <v>36.502630212766036</v>
      </c>
      <c r="FR149" s="23">
        <f>EXP(-LN(2)/25)*FR148+(1-EXP(-LN(2)/25))/(LN(2)/25)*Calculateur!FM149*Calculateur!FO149*VLOOKUP('Données projet'!$B$16,Paramètres!$A$1:$I$89,3,0)*0.475*44/12</f>
        <v>0</v>
      </c>
      <c r="FS149" s="23">
        <f>EXP(-LN(2)/2)*FS148+(1-EXP(-LN(2)/2))/(LN(2)/2)*FM149*FP149*VLOOKUP('Données projet'!$B$16,Paramètres!$A$1:$I$89,3,0)*0.475*44/12</f>
        <v>0</v>
      </c>
      <c r="FT149" s="24">
        <f t="shared" si="132"/>
        <v>36.502630212766036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5.6843418860808015E-14</v>
      </c>
      <c r="GA149" s="18">
        <f>FZ149*VLOOKUP('Données projet'!$B$17,Paramètres!$A$1:$I$89,3,0)*VLOOKUP('Données projet'!$B$17,Paramètres!$A$1:$I$89,5,0)</f>
        <v>6.1186256061773749E-14</v>
      </c>
      <c r="GB149" s="14">
        <f t="shared" si="157"/>
        <v>9.7328366192051127E-13</v>
      </c>
      <c r="GC149" s="22">
        <f t="shared" si="133"/>
        <v>1.8017017738191463E-12</v>
      </c>
      <c r="GD149" s="62">
        <f t="shared" si="134"/>
        <v>286.21154539383247</v>
      </c>
      <c r="GE149" s="62">
        <f ca="1">AVERAGE(OFFSET($GD$3,0,0,'Données projet'!$E$17+1,1))-AVERAGE(OFFSET($H$3,0,0,'Données projet'!$E$17+1,1))</f>
        <v>405.06394904053946</v>
      </c>
      <c r="GF149" s="62">
        <f t="shared" si="158"/>
        <v>393.75247087518198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>
        <f>EXP(-LN(2)/35)*GL148+(1-EXP(-LN(2)/35))/(LN(2)/35)*GH149*GI149*VLOOKUP('Données projet'!$B$17,Paramètres!$A$1:$I$89,3,0)*0.475*44/12</f>
        <v>40.623894914207355</v>
      </c>
      <c r="GM149" s="23">
        <f>EXP(-LN(2)/25)*GM148+(1-EXP(-LN(2)/25))/(LN(2)/25)*Calculateur!GH149*Calculateur!GJ149*VLOOKUP('Données projet'!$B$17,Paramètres!$A$1:$I$89,3,0)*0.475*44/12</f>
        <v>0</v>
      </c>
      <c r="GN149" s="23">
        <f>EXP(-LN(2)/2)*GN148+(1-EXP(-LN(2)/2))/(LN(2)/2)*GH149*GK149*VLOOKUP('Données projet'!$B$17,Paramètres!$A$1:$I$89,3,0)*0.475*44/12</f>
        <v>0</v>
      </c>
      <c r="GO149" s="23">
        <f t="shared" si="135"/>
        <v>40.623894914207355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5.6843418860808015E-14</v>
      </c>
      <c r="GV149" s="18">
        <f>GU149*VLOOKUP('Données projet'!$B$18,Paramètres!$A$1:$I$89,3,0)*VLOOKUP('Données projet'!$B$18,Paramètres!$A$1:$I$89,5,0)</f>
        <v>3.813056537183002E-14</v>
      </c>
      <c r="GW149" s="14">
        <f t="shared" si="159"/>
        <v>6.4086286045526829E-13</v>
      </c>
      <c r="GX149" s="22">
        <f t="shared" si="136"/>
        <v>1.1825802166488628E-12</v>
      </c>
      <c r="GY149" s="62">
        <f t="shared" si="137"/>
        <v>286.21154539383184</v>
      </c>
      <c r="GZ149" s="62">
        <f ca="1">AVERAGE(OFFSET($GY$3,0,0,'Données projet'!$E$18+1,1))-AVERAGE(OFFSET($H$3,0,0,'Données projet'!$E$18+1,1))</f>
        <v>273.21861937609918</v>
      </c>
      <c r="HA149" s="62">
        <f t="shared" si="160"/>
        <v>268.83004886965318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>
        <f>EXP(-LN(2)/35)*HG148+(1-EXP(-LN(2)/35))/(LN(2)/35)*HC149*HD149*VLOOKUP('Données projet'!$B$18,Paramètres!$A$1:$I$89,3,0)*0.475*44/12</f>
        <v>31.203861310912892</v>
      </c>
      <c r="HH149" s="23">
        <f>EXP(-LN(2)/25)*HH148+(1-EXP(-LN(2)/25))/(LN(2)/25)*Calculateur!HC149*Calculateur!HE149*VLOOKUP('Données projet'!$B$18,Paramètres!$A$1:$I$89,3,0)*0.475*44/12</f>
        <v>0</v>
      </c>
      <c r="HI149" s="23">
        <f>EXP(-LN(2)/2)*HI148+(1-EXP(-LN(2)/2))/(LN(2)/2)*HC149*HF149*VLOOKUP('Données projet'!$B$18,Paramètres!$A$1:$I$89,3,0)*0.475*44/12</f>
        <v>0</v>
      </c>
      <c r="HJ149" s="24">
        <f t="shared" si="138"/>
        <v>31.203861310912892</v>
      </c>
    </row>
    <row r="150" spans="1:218" s="5" customFormat="1" x14ac:dyDescent="0.4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5.8</v>
      </c>
      <c r="N150" s="14">
        <f>IF('Données projet'!$A$36&gt;35,N149+M150-V149,IF(A150&lt;'Données projet'!$A$36,$K$205^A150,IF(A150='Données projet'!$A$36,'Données projet'!$B$36,N149+M150-V149)))</f>
        <v>328.20000000000005</v>
      </c>
      <c r="O150" s="14">
        <f>N150*VLOOKUP('Données projet'!$B$9,Paramètres!$A$1:$I$89,3,0)*VLOOKUP('Données projet'!$B$9,Paramètres!$A$1:$I$89,5,0)</f>
        <v>296.95536000000004</v>
      </c>
      <c r="P150" s="14">
        <f t="shared" si="141"/>
        <v>70.537811551531092</v>
      </c>
      <c r="Q150" s="22">
        <f t="shared" si="108"/>
        <v>640.05060711891667</v>
      </c>
      <c r="R150" s="62">
        <f t="shared" si="109"/>
        <v>926.38569961156509</v>
      </c>
      <c r="S150" s="62">
        <f ca="1">AVERAGE(OFFSET($R$3,0,0,'Données projet'!$E$9+1,1))-AVERAGE(OFFSET($H$3,0,0,'Données projet'!$E$9+1,1))</f>
        <v>432.80275651765203</v>
      </c>
      <c r="T150" s="62">
        <f t="shared" si="142"/>
        <v>203.89279893419919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29.751950825541961</v>
      </c>
      <c r="AA150" s="23">
        <f>EXP(-LN(2)/25)*AA149+(1-EXP(-LN(2)/25))/(LN(2)/25)*Calculateur!V150*Calculateur!X150*VLOOKUP('Données projet'!$B$9,Paramètres!$A$1:$I$89,3,0)*0.475*44/12</f>
        <v>18.557319895737376</v>
      </c>
      <c r="AB150" s="23">
        <f>EXP(-LN(2)/2)*AB149+(1-EXP(-LN(2)/2))/(LN(2)/2)*V150*Y150*VLOOKUP('Données projet'!$B$9,Paramètres!$A$1:$I$89,3,0)*0.475*44/12</f>
        <v>0</v>
      </c>
      <c r="AC150" s="24">
        <f t="shared" si="111"/>
        <v>48.309270721279333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54.000000000000341</v>
      </c>
      <c r="AJ150" s="14">
        <f>AI150*VLOOKUP('Données projet'!$B$10,Paramètres!$A$1:$I$89,3,0)*VLOOKUP('Données projet'!$B$10,Paramètres!$A$1:$I$89,5,0)</f>
        <v>23.868000000000151</v>
      </c>
      <c r="AK150" s="14">
        <f t="shared" si="143"/>
        <v>7.6030930962115804</v>
      </c>
      <c r="AL150" s="22">
        <f t="shared" si="112"/>
        <v>54.812153809235433</v>
      </c>
      <c r="AM150" s="62">
        <f t="shared" si="113"/>
        <v>341.14724630188385</v>
      </c>
      <c r="AN150" s="62">
        <f ca="1">AVERAGE(OFFSET($AM$3,0,0,'Données projet'!$E$10+1,1))-AVERAGE(OFFSET($H$3,0,0,'Données projet'!$E$10+1,1))</f>
        <v>413.08876898406481</v>
      </c>
      <c r="AO150" s="62">
        <f t="shared" si="144"/>
        <v>520.31320932826566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49.053461435657006</v>
      </c>
      <c r="AV150" s="23">
        <f>EXP(-LN(2)/25)*AV149+(1-EXP(-LN(2)/25))/(LN(2)/25)*Calculateur!AQ150*Calculateur!AS150*VLOOKUP('Données projet'!$B$10,Paramètres!$A$1:$I$89,3,0)*0.475*44/12</f>
        <v>1.8084115051432419</v>
      </c>
      <c r="AW150" s="23">
        <f>EXP(-LN(2)/2)*AW149+(1-EXP(-LN(2)/2))/(LN(2)/2)*AQ150*AT150*VLOOKUP('Données projet'!$B$10,Paramètres!$A$1:$I$89,3,0)*0.475*44/12</f>
        <v>1.7888444381508257E-15</v>
      </c>
      <c r="AX150" s="23">
        <f t="shared" si="114"/>
        <v>50.861872940800247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54.000000000000341</v>
      </c>
      <c r="BE150" s="14">
        <f>BD150*VLOOKUP('Données projet'!$B$11,Paramètres!$A$1:$I$89,3,0)*VLOOKUP('Données projet'!$B$11,Paramètres!$A$1:$I$89,5,0)</f>
        <v>30.186000000000188</v>
      </c>
      <c r="BF150" s="14">
        <f t="shared" si="145"/>
        <v>9.3563888882899153</v>
      </c>
      <c r="BG150" s="22">
        <f t="shared" si="115"/>
        <v>68.869660647105263</v>
      </c>
      <c r="BH150" s="62">
        <f t="shared" si="116"/>
        <v>355.20475313975368</v>
      </c>
      <c r="BI150" s="62">
        <f ca="1">AVERAGE(OFFSET($BH$3,0,0,'Données projet'!$E$11+1,1))-AVERAGE(OFFSET($H$3,0,0,'Données projet'!$E$11+1,1))</f>
        <v>507.66185230065889</v>
      </c>
      <c r="BJ150" s="62">
        <f t="shared" si="146"/>
        <v>640.14375617778342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62.038201227448496</v>
      </c>
      <c r="BQ150" s="23">
        <f>EXP(-LN(2)/25)*BQ149+(1-EXP(-LN(2)/25))/(LN(2)/25)*Calculateur!BL150*Calculateur!BN150*VLOOKUP('Données projet'!$B$11,Paramètres!$A$1:$I$89,3,0)*0.475*44/12</f>
        <v>2.2871086682693962</v>
      </c>
      <c r="BR150" s="23">
        <f>EXP(-LN(2)/2)*BR149+(1-EXP(-LN(2)/2))/(LN(2)/2)*BL150*BO150*VLOOKUP('Données projet'!$B$11,Paramètres!$A$1:$I$89,3,0)*0.475*44/12</f>
        <v>2.2623620835436929E-15</v>
      </c>
      <c r="BS150" s="24">
        <f t="shared" si="117"/>
        <v>64.325309895717893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417.04879970000007</v>
      </c>
      <c r="BZ150" s="14">
        <f>BY150*VLOOKUP('Données projet'!$B$12,Paramètres!$A$1:$I$89,3,0)*VLOOKUP('Données projet'!$B$12,Paramètres!$A$1:$I$89,5,0)</f>
        <v>195.17883825960004</v>
      </c>
      <c r="CA150" s="14">
        <f t="shared" si="147"/>
        <v>48.683122291673484</v>
      </c>
      <c r="CB150" s="22">
        <f t="shared" si="118"/>
        <v>424.72624796013469</v>
      </c>
      <c r="CC150" s="62">
        <f t="shared" si="119"/>
        <v>711.06134045278304</v>
      </c>
      <c r="CD150" s="62">
        <f ca="1">AVERAGE(OFFSET($CC$3,0,0,'Données projet'!$E$12+1,1))-AVERAGE(OFFSET($H$3,0,0,'Données projet'!$E$12+1,1))</f>
        <v>289.21044803824958</v>
      </c>
      <c r="CE150" s="62">
        <f t="shared" si="148"/>
        <v>196.11836398299445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>
        <f>EXP(-LN(2)/35)*CK149+(1-EXP(-LN(2)/35))/(LN(2)/35)*CG150*CH150*VLOOKUP('Données projet'!$B$12,Paramètres!$A$1:$I$89,3,0)*0.475*44/12</f>
        <v>27.152226224764334</v>
      </c>
      <c r="CL150" s="23">
        <f>EXP(-LN(2)/25)*CL149+(1-EXP(-LN(2)/25))/(LN(2)/25)*Calculateur!CG150*Calculateur!CI150*VLOOKUP('Données projet'!$B$12,Paramètres!$A$1:$I$89,3,0)*0.475*44/12</f>
        <v>8.7099299104713381</v>
      </c>
      <c r="CM150" s="23">
        <f>EXP(-LN(2)/2)*CM149+(1-EXP(-LN(2)/2))/(LN(2)/2)*CG150*CJ150*VLOOKUP('Données projet'!$B$12,Paramètres!$A$1:$I$89,3,0)*0.475*44/12</f>
        <v>0</v>
      </c>
      <c r="CN150" s="24">
        <f t="shared" si="120"/>
        <v>35.862156135235672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-5.6843418860808015E-14</v>
      </c>
      <c r="CU150" s="18">
        <f>CT150*VLOOKUP('Données projet'!$B$13,Paramètres!$A$1:$I$89,3,0)*VLOOKUP('Données projet'!$B$13,Paramètres!$A$1:$I$89,5,0)</f>
        <v>-5.1431925385259088E-14</v>
      </c>
      <c r="CV150" s="14" t="e">
        <f t="shared" si="149"/>
        <v>#NUM!</v>
      </c>
      <c r="CW150" s="22" t="e">
        <f t="shared" si="121"/>
        <v>#NUM!</v>
      </c>
      <c r="CX150" s="62" t="e">
        <f t="shared" si="122"/>
        <v>#NUM!</v>
      </c>
      <c r="CY150" s="62">
        <f ca="1">AVERAGE(OFFSET($CX$3,0,0,'Données projet'!$E$13+1,1))-AVERAGE(OFFSET($H$3,0,0,'Données projet'!$E$13+1,1))</f>
        <v>376.68007030857598</v>
      </c>
      <c r="CZ150" s="62">
        <f t="shared" si="150"/>
        <v>532.90758914457626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>
        <f>EXP(-LN(2)/35)*DF149+(1-EXP(-LN(2)/35))/(LN(2)/35)*DB150*DC150*VLOOKUP('Données projet'!$B$13,Paramètres!$A$1:$I$89,3,0)*0.475*44/12</f>
        <v>12.419043123337071</v>
      </c>
      <c r="DG150" s="23">
        <f>EXP(-LN(2)/25)*DG149+(1-EXP(-LN(2)/25))/(LN(2)/25)*Calculateur!DB150*Calculateur!DD150*VLOOKUP('Données projet'!$B$13,Paramètres!$A$1:$I$89,3,0)*0.475*44/12</f>
        <v>0.5110451394240082</v>
      </c>
      <c r="DH150" s="23">
        <f>EXP(-LN(2)/2)*DH149+(1-EXP(-LN(2)/2))/(LN(2)/2)*DB150*DE150*VLOOKUP('Données projet'!$B$13,Paramètres!$A$1:$I$89,3,0)*0.475*44/12</f>
        <v>0</v>
      </c>
      <c r="DI150" s="24">
        <f t="shared" si="123"/>
        <v>12.930088262761078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5.6843418860808015E-14</v>
      </c>
      <c r="DP150" s="18">
        <f>DO150*VLOOKUP('Données projet'!$B$14,Paramètres!$A$1:$I$89,3,0)*VLOOKUP('Données projet'!$B$14,Paramètres!$A$1:$I$89,5,0)</f>
        <v>5.4092197387944907E-14</v>
      </c>
      <c r="DQ150" s="14">
        <f t="shared" si="151"/>
        <v>8.7287050538073676E-13</v>
      </c>
      <c r="DR150" s="22">
        <f t="shared" si="124"/>
        <v>1.6144600406554537E-12</v>
      </c>
      <c r="DS150" s="62">
        <f t="shared" si="125"/>
        <v>286.33509249265001</v>
      </c>
      <c r="DT150" s="62">
        <f ca="1">AVERAGE(OFFSET($DS$3,0,0,'Données projet'!$E$14+1,1))-AVERAGE(OFFSET($H$3,0,0,'Données projet'!$E$14+1,1))</f>
        <v>364.63161066507769</v>
      </c>
      <c r="DU150" s="62">
        <f t="shared" si="152"/>
        <v>355.44729904860708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>
        <f>EXP(-LN(2)/35)*EA149+(1-EXP(-LN(2)/35))/(LN(2)/35)*DW150*DX150*VLOOKUP('Données projet'!$B$14,Paramètres!$A$1:$I$89,3,0)*0.475*44/12</f>
        <v>35.209628868075519</v>
      </c>
      <c r="EB150" s="23">
        <f>EXP(-LN(2)/25)*EB149+(1-EXP(-LN(2)/25))/(LN(2)/25)*Calculateur!DW150*Calculateur!DY150*VLOOKUP('Données projet'!$B$14,Paramètres!$A$1:$I$89,3,0)*0.475*44/12</f>
        <v>0</v>
      </c>
      <c r="EC150" s="23">
        <f>EXP(-LN(2)/2)*EC149+(1-EXP(-LN(2)/2))/(LN(2)/2)*DW150*DZ150*VLOOKUP('Données projet'!$B$14,Paramètres!$A$1:$I$89,3,0)*0.475*44/12</f>
        <v>0</v>
      </c>
      <c r="ED150" s="24">
        <f t="shared" si="126"/>
        <v>35.209628868075519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5.6843418860808015E-14</v>
      </c>
      <c r="EK150" s="18">
        <f>EJ150*VLOOKUP('Données projet'!$B$15,Paramètres!$A$1:$I$89,3,0)*VLOOKUP('Données projet'!$B$15,Paramètres!$A$1:$I$89,5,0)</f>
        <v>4.1677594708744434E-14</v>
      </c>
      <c r="EL150" s="14">
        <f t="shared" si="153"/>
        <v>6.9326303456159188E-13</v>
      </c>
      <c r="EM150" s="22">
        <f t="shared" si="127"/>
        <v>1.2800215959791691E-12</v>
      </c>
      <c r="EN150" s="62">
        <f t="shared" si="128"/>
        <v>286.33509249264972</v>
      </c>
      <c r="EO150" s="62">
        <f ca="1">AVERAGE(OFFSET($EN$3,0,0,'Données projet'!$E$15+1,1))-AVERAGE(OFFSET($H$3,0,0,'Données projet'!$E$15+1,1))</f>
        <v>293.59366973965774</v>
      </c>
      <c r="EP150" s="62">
        <f t="shared" si="154"/>
        <v>288.13804536120426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>
        <f>EXP(-LN(2)/35)*EV149+(1-EXP(-LN(2)/35))/(LN(2)/35)*ER150*ES150*VLOOKUP('Données projet'!$B$15,Paramètres!$A$1:$I$89,3,0)*0.475*44/12</f>
        <v>27.128730439336863</v>
      </c>
      <c r="EW150" s="23">
        <f>EXP(-LN(2)/25)*EW149+(1-EXP(-LN(2)/25))/(LN(2)/25)*Calculateur!ER150*Calculateur!ET150*VLOOKUP('Données projet'!$B$15,Paramètres!$A$1:$I$89,3,0)*0.475*44/12</f>
        <v>0</v>
      </c>
      <c r="EX150" s="23">
        <f>EXP(-LN(2)/2)*EX149+(1-EXP(-LN(2)/2))/(LN(2)/2)*ER150*EU150*VLOOKUP('Données projet'!$B$15,Paramètres!$A$1:$I$89,3,0)*0.475*44/12</f>
        <v>0</v>
      </c>
      <c r="EY150" s="24">
        <f t="shared" si="129"/>
        <v>27.128730439336863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5.6843418860808015E-14</v>
      </c>
      <c r="FF150" s="18">
        <f>FE150*VLOOKUP('Données projet'!$B$16,Paramètres!$A$1:$I$89,3,0)*VLOOKUP('Données projet'!$B$16,Paramètres!$A$1:$I$89,5,0)</f>
        <v>5.4978954722173515E-14</v>
      </c>
      <c r="FG150" s="14">
        <f t="shared" si="155"/>
        <v>8.8550225887742724E-13</v>
      </c>
      <c r="FH150" s="22">
        <f t="shared" si="130"/>
        <v>1.6380047803526383E-12</v>
      </c>
      <c r="FI150" s="62">
        <f t="shared" si="131"/>
        <v>286.33509249265006</v>
      </c>
      <c r="FJ150" s="62">
        <f ca="1">AVERAGE(OFFSET($FI$3,0,0,'Données projet'!$E$16+1,1))-AVERAGE(OFFSET($H$3,0,0,'Données projet'!$E$16+1,1))</f>
        <v>369.69145521630799</v>
      </c>
      <c r="FK150" s="62">
        <f t="shared" si="156"/>
        <v>360.24112103688719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>
        <f>EXP(-LN(2)/35)*FQ149+(1-EXP(-LN(2)/35))/(LN(2)/35)*FM150*FN150*VLOOKUP('Données projet'!$B$16,Paramètres!$A$1:$I$89,3,0)*0.475*44/12</f>
        <v>35.786835898699699</v>
      </c>
      <c r="FR150" s="23">
        <f>EXP(-LN(2)/25)*FR149+(1-EXP(-LN(2)/25))/(LN(2)/25)*Calculateur!FM150*Calculateur!FO150*VLOOKUP('Données projet'!$B$16,Paramètres!$A$1:$I$89,3,0)*0.475*44/12</f>
        <v>0</v>
      </c>
      <c r="FS150" s="23">
        <f>EXP(-LN(2)/2)*FS149+(1-EXP(-LN(2)/2))/(LN(2)/2)*FM150*FP150*VLOOKUP('Données projet'!$B$16,Paramètres!$A$1:$I$89,3,0)*0.475*44/12</f>
        <v>0</v>
      </c>
      <c r="FT150" s="24">
        <f t="shared" si="132"/>
        <v>35.786835898699699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5.6843418860808015E-14</v>
      </c>
      <c r="GA150" s="18">
        <f>FZ150*VLOOKUP('Données projet'!$B$17,Paramètres!$A$1:$I$89,3,0)*VLOOKUP('Données projet'!$B$17,Paramètres!$A$1:$I$89,5,0)</f>
        <v>6.1186256061773749E-14</v>
      </c>
      <c r="GB150" s="14">
        <f t="shared" si="157"/>
        <v>9.7328366192051127E-13</v>
      </c>
      <c r="GC150" s="22">
        <f t="shared" si="133"/>
        <v>1.8017017738191463E-12</v>
      </c>
      <c r="GD150" s="62">
        <f t="shared" si="134"/>
        <v>286.33509249265023</v>
      </c>
      <c r="GE150" s="62">
        <f ca="1">AVERAGE(OFFSET($GD$3,0,0,'Données projet'!$E$17+1,1))-AVERAGE(OFFSET($H$3,0,0,'Données projet'!$E$17+1,1))</f>
        <v>405.06394904053946</v>
      </c>
      <c r="GF150" s="62">
        <f t="shared" si="158"/>
        <v>393.75247087518198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>
        <f>EXP(-LN(2)/35)*GL149+(1-EXP(-LN(2)/35))/(LN(2)/35)*GH150*GI150*VLOOKUP('Données projet'!$B$17,Paramètres!$A$1:$I$89,3,0)*0.475*44/12</f>
        <v>39.82728511306901</v>
      </c>
      <c r="GM150" s="23">
        <f>EXP(-LN(2)/25)*GM149+(1-EXP(-LN(2)/25))/(LN(2)/25)*Calculateur!GH150*Calculateur!GJ150*VLOOKUP('Données projet'!$B$17,Paramètres!$A$1:$I$89,3,0)*0.475*44/12</f>
        <v>0</v>
      </c>
      <c r="GN150" s="23">
        <f>EXP(-LN(2)/2)*GN149+(1-EXP(-LN(2)/2))/(LN(2)/2)*GH150*GK150*VLOOKUP('Données projet'!$B$17,Paramètres!$A$1:$I$89,3,0)*0.475*44/12</f>
        <v>0</v>
      </c>
      <c r="GO150" s="23">
        <f t="shared" si="135"/>
        <v>39.82728511306901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5.6843418860808015E-14</v>
      </c>
      <c r="GV150" s="18">
        <f>GU150*VLOOKUP('Données projet'!$B$18,Paramètres!$A$1:$I$89,3,0)*VLOOKUP('Données projet'!$B$18,Paramètres!$A$1:$I$89,5,0)</f>
        <v>3.813056537183002E-14</v>
      </c>
      <c r="GW150" s="14">
        <f t="shared" si="159"/>
        <v>6.4086286045526829E-13</v>
      </c>
      <c r="GX150" s="22">
        <f t="shared" si="136"/>
        <v>1.1825802166488628E-12</v>
      </c>
      <c r="GY150" s="62">
        <f t="shared" si="137"/>
        <v>286.33509249264961</v>
      </c>
      <c r="GZ150" s="62">
        <f ca="1">AVERAGE(OFFSET($GY$3,0,0,'Données projet'!$E$18+1,1))-AVERAGE(OFFSET($H$3,0,0,'Données projet'!$E$18+1,1))</f>
        <v>273.21861937609918</v>
      </c>
      <c r="HA150" s="62">
        <f t="shared" si="160"/>
        <v>268.83004886965318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>
        <f>EXP(-LN(2)/35)*HG149+(1-EXP(-LN(2)/35))/(LN(2)/35)*HC150*HD150*VLOOKUP('Données projet'!$B$18,Paramètres!$A$1:$I$89,3,0)*0.475*44/12</f>
        <v>30.59197262308199</v>
      </c>
      <c r="HH150" s="23">
        <f>EXP(-LN(2)/25)*HH149+(1-EXP(-LN(2)/25))/(LN(2)/25)*Calculateur!HC150*Calculateur!HE150*VLOOKUP('Données projet'!$B$18,Paramètres!$A$1:$I$89,3,0)*0.475*44/12</f>
        <v>0</v>
      </c>
      <c r="HI150" s="23">
        <f>EXP(-LN(2)/2)*HI149+(1-EXP(-LN(2)/2))/(LN(2)/2)*HC150*HF150*VLOOKUP('Données projet'!$B$18,Paramètres!$A$1:$I$89,3,0)*0.475*44/12</f>
        <v>0</v>
      </c>
      <c r="HJ150" s="24">
        <f t="shared" si="138"/>
        <v>30.59197262308199</v>
      </c>
    </row>
    <row r="151" spans="1:218" s="5" customFormat="1" x14ac:dyDescent="0.4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>
        <f>VLOOKUP(A151,'Données projet'!$A$35:$I$55,2,0)</f>
        <v>334</v>
      </c>
      <c r="L151" s="13">
        <f>VLOOKUP(A151,'Données projet'!$A$35:$I$55,9,0)</f>
        <v>5.8</v>
      </c>
      <c r="M151" s="13">
        <f t="array" ref="M151">INDEX(L:L,MIN(IF(ISNUMBER(L151:L347),ROW(L151:L347),"")))</f>
        <v>5.8</v>
      </c>
      <c r="N151" s="14">
        <f>IF('Données projet'!$A$36&gt;35,N150+M151-V150,IF(A151&lt;'Données projet'!$A$36,$K$205^A151,IF(A151='Données projet'!$A$36,'Données projet'!$B$36,N150+M151-V150)))</f>
        <v>334.00000000000006</v>
      </c>
      <c r="O151" s="14">
        <f>N151*VLOOKUP('Données projet'!$B$9,Paramètres!$A$1:$I$89,3,0)*VLOOKUP('Données projet'!$B$9,Paramètres!$A$1:$I$89,5,0)</f>
        <v>302.20320000000004</v>
      </c>
      <c r="P151" s="14">
        <f t="shared" si="141"/>
        <v>71.638141943842299</v>
      </c>
      <c r="Q151" s="22">
        <f t="shared" si="108"/>
        <v>651.10700388552539</v>
      </c>
      <c r="R151" s="62">
        <f t="shared" si="109"/>
        <v>937.56350021103708</v>
      </c>
      <c r="S151" s="62">
        <f ca="1">AVERAGE(OFFSET($R$3,0,0,'Données projet'!$E$9+1,1))-AVERAGE(OFFSET($H$3,0,0,'Données projet'!$E$9+1,1))</f>
        <v>432.80275651765203</v>
      </c>
      <c r="T151" s="62">
        <f t="shared" si="142"/>
        <v>203.89279893419919</v>
      </c>
      <c r="U151" s="16">
        <f>IF(ISNA(VLOOKUP(A151,'Données projet'!$A$35:$I$55,3,0)),0,VLOOKUP(A151,'Données projet'!$A$35:$I$55,3,0))</f>
        <v>11</v>
      </c>
      <c r="V151" s="16">
        <f>IF(ISNA(VLOOKUP(A151,'Données projet'!$A$35:$I$55,4,0)),0,VLOOKUP(A151,'Données projet'!$A$35:$I$55,4,0))</f>
        <v>41</v>
      </c>
      <c r="W151" s="17">
        <f>IF(ISNA(VLOOKUP(A151,'Données projet'!$A$35:$I$55,5,0)),0%,VLOOKUP(A151,'Données projet'!$A$35:$I$55,5,0)*VLOOKUP('Données projet'!$B$9,Paramètres!$A$1:$I$89,7,0))</f>
        <v>0.215</v>
      </c>
      <c r="X151" s="17">
        <f>IF(ISNA(VLOOKUP(A151,'Données projet'!$A$35:$I$55,6,0)),0%,VLOOKUP(A151,'Données projet'!$A$35:$I$55,6,0)*VLOOKUP('Données projet'!$B$9,Paramètres!$A$1:$I$89,7,0))</f>
        <v>0.17200000000000001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37.985557135474686</v>
      </c>
      <c r="AA151" s="23">
        <f>EXP(-LN(2)/25)*AA150+(1-EXP(-LN(2)/25))/(LN(2)/25)*Calculateur!V151*Calculateur!X151*VLOOKUP('Données projet'!$B$9,Paramètres!$A$1:$I$89,3,0)*0.475*44/12</f>
        <v>25.075715356106155</v>
      </c>
      <c r="AB151" s="23">
        <f>EXP(-LN(2)/2)*AB150+(1-EXP(-LN(2)/2))/(LN(2)/2)*V151*Y151*VLOOKUP('Données projet'!$B$9,Paramètres!$A$1:$I$89,3,0)*0.475*44/12</f>
        <v>0</v>
      </c>
      <c r="AC151" s="24">
        <f t="shared" si="111"/>
        <v>63.061272491580837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54.000000000000341</v>
      </c>
      <c r="AJ151" s="14">
        <f>AI151*VLOOKUP('Données projet'!$B$10,Paramètres!$A$1:$I$89,3,0)*VLOOKUP('Données projet'!$B$10,Paramètres!$A$1:$I$89,5,0)</f>
        <v>23.868000000000151</v>
      </c>
      <c r="AK151" s="14">
        <f t="shared" si="143"/>
        <v>7.6030930962115804</v>
      </c>
      <c r="AL151" s="22">
        <f t="shared" si="112"/>
        <v>54.812153809235433</v>
      </c>
      <c r="AM151" s="62">
        <f t="shared" si="113"/>
        <v>341.26865013474713</v>
      </c>
      <c r="AN151" s="62">
        <f ca="1">AVERAGE(OFFSET($AM$3,0,0,'Données projet'!$E$10+1,1))-AVERAGE(OFFSET($H$3,0,0,'Données projet'!$E$10+1,1))</f>
        <v>413.08876898406481</v>
      </c>
      <c r="AO151" s="62">
        <f t="shared" si="144"/>
        <v>520.31320932826566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48.091552976560926</v>
      </c>
      <c r="AV151" s="23">
        <f>EXP(-LN(2)/25)*AV150+(1-EXP(-LN(2)/25))/(LN(2)/25)*Calculateur!AQ151*Calculateur!AS151*VLOOKUP('Données projet'!$B$10,Paramètres!$A$1:$I$89,3,0)*0.475*44/12</f>
        <v>1.758960397434872</v>
      </c>
      <c r="AW151" s="23">
        <f>EXP(-LN(2)/2)*AW150+(1-EXP(-LN(2)/2))/(LN(2)/2)*AQ151*AT151*VLOOKUP('Données projet'!$B$10,Paramètres!$A$1:$I$89,3,0)*0.475*44/12</f>
        <v>1.2649040327042885E-15</v>
      </c>
      <c r="AX151" s="23">
        <f t="shared" si="114"/>
        <v>49.850513373995796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54.000000000000341</v>
      </c>
      <c r="BE151" s="14">
        <f>BD151*VLOOKUP('Données projet'!$B$11,Paramètres!$A$1:$I$89,3,0)*VLOOKUP('Données projet'!$B$11,Paramètres!$A$1:$I$89,5,0)</f>
        <v>30.186000000000188</v>
      </c>
      <c r="BF151" s="14">
        <f t="shared" si="145"/>
        <v>9.3563888882899153</v>
      </c>
      <c r="BG151" s="22">
        <f t="shared" si="115"/>
        <v>68.869660647105263</v>
      </c>
      <c r="BH151" s="62">
        <f t="shared" si="116"/>
        <v>355.32615697261696</v>
      </c>
      <c r="BI151" s="62">
        <f ca="1">AVERAGE(OFFSET($BH$3,0,0,'Données projet'!$E$11+1,1))-AVERAGE(OFFSET($H$3,0,0,'Données projet'!$E$11+1,1))</f>
        <v>507.66185230065889</v>
      </c>
      <c r="BJ151" s="62">
        <f t="shared" si="146"/>
        <v>640.14375617778342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60.821669940944631</v>
      </c>
      <c r="BQ151" s="23">
        <f>EXP(-LN(2)/25)*BQ150+(1-EXP(-LN(2)/25))/(LN(2)/25)*Calculateur!BL151*Calculateur!BN151*VLOOKUP('Données projet'!$B$11,Paramètres!$A$1:$I$89,3,0)*0.475*44/12</f>
        <v>2.2245675614617517</v>
      </c>
      <c r="BR151" s="23">
        <f>EXP(-LN(2)/2)*BR150+(1-EXP(-LN(2)/2))/(LN(2)/2)*BL151*BO151*VLOOKUP('Données projet'!$B$11,Paramètres!$A$1:$I$89,3,0)*0.475*44/12</f>
        <v>1.5997315707730718E-15</v>
      </c>
      <c r="BS151" s="24">
        <f t="shared" si="117"/>
        <v>63.046237502406385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417.04879970000007</v>
      </c>
      <c r="BZ151" s="14">
        <f>BY151*VLOOKUP('Données projet'!$B$12,Paramètres!$A$1:$I$89,3,0)*VLOOKUP('Données projet'!$B$12,Paramètres!$A$1:$I$89,5,0)</f>
        <v>195.17883825960004</v>
      </c>
      <c r="CA151" s="14">
        <f t="shared" si="147"/>
        <v>48.683122291673484</v>
      </c>
      <c r="CB151" s="22">
        <f t="shared" si="118"/>
        <v>424.72624796013469</v>
      </c>
      <c r="CC151" s="62">
        <f t="shared" si="119"/>
        <v>711.18274428564632</v>
      </c>
      <c r="CD151" s="62">
        <f ca="1">AVERAGE(OFFSET($CC$3,0,0,'Données projet'!$E$12+1,1))-AVERAGE(OFFSET($H$3,0,0,'Données projet'!$E$12+1,1))</f>
        <v>289.21044803824958</v>
      </c>
      <c r="CE151" s="62">
        <f t="shared" si="148"/>
        <v>196.11836398299445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>
        <f>EXP(-LN(2)/35)*CK150+(1-EXP(-LN(2)/35))/(LN(2)/35)*CG151*CH151*VLOOKUP('Données projet'!$B$12,Paramètres!$A$1:$I$89,3,0)*0.475*44/12</f>
        <v>26.619787629719418</v>
      </c>
      <c r="CL151" s="23">
        <f>EXP(-LN(2)/25)*CL150+(1-EXP(-LN(2)/25))/(LN(2)/25)*Calculateur!CG151*Calculateur!CI151*VLOOKUP('Données projet'!$B$12,Paramètres!$A$1:$I$89,3,0)*0.475*44/12</f>
        <v>8.4717564190341914</v>
      </c>
      <c r="CM151" s="23">
        <f>EXP(-LN(2)/2)*CM150+(1-EXP(-LN(2)/2))/(LN(2)/2)*CG151*CJ151*VLOOKUP('Données projet'!$B$12,Paramètres!$A$1:$I$89,3,0)*0.475*44/12</f>
        <v>0</v>
      </c>
      <c r="CN151" s="24">
        <f t="shared" si="120"/>
        <v>35.091544048753612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-5.6843418860808015E-14</v>
      </c>
      <c r="CU151" s="18">
        <f>CT151*VLOOKUP('Données projet'!$B$13,Paramètres!$A$1:$I$89,3,0)*VLOOKUP('Données projet'!$B$13,Paramètres!$A$1:$I$89,5,0)</f>
        <v>-5.1431925385259088E-14</v>
      </c>
      <c r="CV151" s="14" t="e">
        <f t="shared" si="149"/>
        <v>#NUM!</v>
      </c>
      <c r="CW151" s="22" t="e">
        <f t="shared" si="121"/>
        <v>#NUM!</v>
      </c>
      <c r="CX151" s="62" t="e">
        <f t="shared" si="122"/>
        <v>#NUM!</v>
      </c>
      <c r="CY151" s="62">
        <f ca="1">AVERAGE(OFFSET($CX$3,0,0,'Données projet'!$E$13+1,1))-AVERAGE(OFFSET($H$3,0,0,'Données projet'!$E$13+1,1))</f>
        <v>376.68007030857598</v>
      </c>
      <c r="CZ151" s="62">
        <f t="shared" si="150"/>
        <v>532.90758914457626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>
        <f>EXP(-LN(2)/35)*DF150+(1-EXP(-LN(2)/35))/(LN(2)/35)*DB151*DC151*VLOOKUP('Données projet'!$B$13,Paramètres!$A$1:$I$89,3,0)*0.475*44/12</f>
        <v>12.17551326255678</v>
      </c>
      <c r="DG151" s="23">
        <f>EXP(-LN(2)/25)*DG150+(1-EXP(-LN(2)/25))/(LN(2)/25)*Calculateur!DB151*Calculateur!DD151*VLOOKUP('Données projet'!$B$13,Paramètres!$A$1:$I$89,3,0)*0.475*44/12</f>
        <v>0.49707058321176284</v>
      </c>
      <c r="DH151" s="23">
        <f>EXP(-LN(2)/2)*DH150+(1-EXP(-LN(2)/2))/(LN(2)/2)*DB151*DE151*VLOOKUP('Données projet'!$B$13,Paramètres!$A$1:$I$89,3,0)*0.475*44/12</f>
        <v>0</v>
      </c>
      <c r="DI151" s="24">
        <f t="shared" si="123"/>
        <v>12.672583845768543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5.6843418860808015E-14</v>
      </c>
      <c r="DP151" s="18">
        <f>DO151*VLOOKUP('Données projet'!$B$14,Paramètres!$A$1:$I$89,3,0)*VLOOKUP('Données projet'!$B$14,Paramètres!$A$1:$I$89,5,0)</f>
        <v>5.4092197387944907E-14</v>
      </c>
      <c r="DQ151" s="14">
        <f t="shared" si="151"/>
        <v>8.7287050538073676E-13</v>
      </c>
      <c r="DR151" s="22">
        <f t="shared" si="124"/>
        <v>1.6144600406554537E-12</v>
      </c>
      <c r="DS151" s="62">
        <f t="shared" si="125"/>
        <v>286.45649632551329</v>
      </c>
      <c r="DT151" s="62">
        <f ca="1">AVERAGE(OFFSET($DS$3,0,0,'Données projet'!$E$14+1,1))-AVERAGE(OFFSET($H$3,0,0,'Données projet'!$E$14+1,1))</f>
        <v>364.63161066507769</v>
      </c>
      <c r="DU151" s="62">
        <f t="shared" si="152"/>
        <v>355.44729904860708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>
        <f>EXP(-LN(2)/35)*EA150+(1-EXP(-LN(2)/35))/(LN(2)/35)*DW151*DX151*VLOOKUP('Données projet'!$B$14,Paramètres!$A$1:$I$89,3,0)*0.475*44/12</f>
        <v>34.519189521725615</v>
      </c>
      <c r="EB151" s="23">
        <f>EXP(-LN(2)/25)*EB150+(1-EXP(-LN(2)/25))/(LN(2)/25)*Calculateur!DW151*Calculateur!DY151*VLOOKUP('Données projet'!$B$14,Paramètres!$A$1:$I$89,3,0)*0.475*44/12</f>
        <v>0</v>
      </c>
      <c r="EC151" s="23">
        <f>EXP(-LN(2)/2)*EC150+(1-EXP(-LN(2)/2))/(LN(2)/2)*DW151*DZ151*VLOOKUP('Données projet'!$B$14,Paramètres!$A$1:$I$89,3,0)*0.475*44/12</f>
        <v>0</v>
      </c>
      <c r="ED151" s="24">
        <f t="shared" si="126"/>
        <v>34.519189521725615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5.6843418860808015E-14</v>
      </c>
      <c r="EK151" s="18">
        <f>EJ151*VLOOKUP('Données projet'!$B$15,Paramètres!$A$1:$I$89,3,0)*VLOOKUP('Données projet'!$B$15,Paramètres!$A$1:$I$89,5,0)</f>
        <v>4.1677594708744434E-14</v>
      </c>
      <c r="EL151" s="14">
        <f t="shared" si="153"/>
        <v>6.9326303456159188E-13</v>
      </c>
      <c r="EM151" s="22">
        <f t="shared" si="127"/>
        <v>1.2800215959791691E-12</v>
      </c>
      <c r="EN151" s="62">
        <f t="shared" si="128"/>
        <v>286.456496325513</v>
      </c>
      <c r="EO151" s="62">
        <f ca="1">AVERAGE(OFFSET($EN$3,0,0,'Données projet'!$E$15+1,1))-AVERAGE(OFFSET($H$3,0,0,'Données projet'!$E$15+1,1))</f>
        <v>293.59366973965774</v>
      </c>
      <c r="EP151" s="62">
        <f t="shared" si="154"/>
        <v>288.13804536120426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>
        <f>EXP(-LN(2)/35)*EV150+(1-EXP(-LN(2)/35))/(LN(2)/35)*ER151*ES151*VLOOKUP('Données projet'!$B$15,Paramètres!$A$1:$I$89,3,0)*0.475*44/12</f>
        <v>26.596752582313165</v>
      </c>
      <c r="EW151" s="23">
        <f>EXP(-LN(2)/25)*EW150+(1-EXP(-LN(2)/25))/(LN(2)/25)*Calculateur!ER151*Calculateur!ET151*VLOOKUP('Données projet'!$B$15,Paramètres!$A$1:$I$89,3,0)*0.475*44/12</f>
        <v>0</v>
      </c>
      <c r="EX151" s="23">
        <f>EXP(-LN(2)/2)*EX150+(1-EXP(-LN(2)/2))/(LN(2)/2)*ER151*EU151*VLOOKUP('Données projet'!$B$15,Paramètres!$A$1:$I$89,3,0)*0.475*44/12</f>
        <v>0</v>
      </c>
      <c r="EY151" s="24">
        <f t="shared" si="129"/>
        <v>26.596752582313165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5.6843418860808015E-14</v>
      </c>
      <c r="FF151" s="18">
        <f>FE151*VLOOKUP('Données projet'!$B$16,Paramètres!$A$1:$I$89,3,0)*VLOOKUP('Données projet'!$B$16,Paramètres!$A$1:$I$89,5,0)</f>
        <v>5.4978954722173515E-14</v>
      </c>
      <c r="FG151" s="14">
        <f t="shared" si="155"/>
        <v>8.8550225887742724E-13</v>
      </c>
      <c r="FH151" s="22">
        <f t="shared" si="130"/>
        <v>1.6380047803526383E-12</v>
      </c>
      <c r="FI151" s="62">
        <f t="shared" si="131"/>
        <v>286.45649632551334</v>
      </c>
      <c r="FJ151" s="62">
        <f ca="1">AVERAGE(OFFSET($FI$3,0,0,'Données projet'!$E$16+1,1))-AVERAGE(OFFSET($H$3,0,0,'Données projet'!$E$16+1,1))</f>
        <v>369.69145521630799</v>
      </c>
      <c r="FK151" s="62">
        <f t="shared" si="156"/>
        <v>360.24112103688719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>
        <f>EXP(-LN(2)/35)*FQ150+(1-EXP(-LN(2)/35))/(LN(2)/35)*FM151*FN151*VLOOKUP('Données projet'!$B$16,Paramètres!$A$1:$I$89,3,0)*0.475*44/12</f>
        <v>35.085077874540779</v>
      </c>
      <c r="FR151" s="23">
        <f>EXP(-LN(2)/25)*FR150+(1-EXP(-LN(2)/25))/(LN(2)/25)*Calculateur!FM151*Calculateur!FO151*VLOOKUP('Données projet'!$B$16,Paramètres!$A$1:$I$89,3,0)*0.475*44/12</f>
        <v>0</v>
      </c>
      <c r="FS151" s="23">
        <f>EXP(-LN(2)/2)*FS150+(1-EXP(-LN(2)/2))/(LN(2)/2)*FM151*FP151*VLOOKUP('Données projet'!$B$16,Paramètres!$A$1:$I$89,3,0)*0.475*44/12</f>
        <v>0</v>
      </c>
      <c r="FT151" s="24">
        <f t="shared" si="132"/>
        <v>35.085077874540779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5.6843418860808015E-14</v>
      </c>
      <c r="GA151" s="18">
        <f>FZ151*VLOOKUP('Données projet'!$B$17,Paramètres!$A$1:$I$89,3,0)*VLOOKUP('Données projet'!$B$17,Paramètres!$A$1:$I$89,5,0)</f>
        <v>6.1186256061773749E-14</v>
      </c>
      <c r="GB151" s="14">
        <f t="shared" si="157"/>
        <v>9.7328366192051127E-13</v>
      </c>
      <c r="GC151" s="22">
        <f t="shared" si="133"/>
        <v>1.8017017738191463E-12</v>
      </c>
      <c r="GD151" s="62">
        <f t="shared" si="134"/>
        <v>286.45649632551351</v>
      </c>
      <c r="GE151" s="62">
        <f ca="1">AVERAGE(OFFSET($GD$3,0,0,'Données projet'!$E$17+1,1))-AVERAGE(OFFSET($H$3,0,0,'Données projet'!$E$17+1,1))</f>
        <v>405.06394904053946</v>
      </c>
      <c r="GF151" s="62">
        <f t="shared" si="158"/>
        <v>393.75247087518198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>
        <f>EXP(-LN(2)/35)*GL150+(1-EXP(-LN(2)/35))/(LN(2)/35)*GH151*GI151*VLOOKUP('Données projet'!$B$17,Paramètres!$A$1:$I$89,3,0)*0.475*44/12</f>
        <v>39.046296344246983</v>
      </c>
      <c r="GM151" s="23">
        <f>EXP(-LN(2)/25)*GM150+(1-EXP(-LN(2)/25))/(LN(2)/25)*Calculateur!GH151*Calculateur!GJ151*VLOOKUP('Données projet'!$B$17,Paramètres!$A$1:$I$89,3,0)*0.475*44/12</f>
        <v>0</v>
      </c>
      <c r="GN151" s="23">
        <f>EXP(-LN(2)/2)*GN150+(1-EXP(-LN(2)/2))/(LN(2)/2)*GH151*GK151*VLOOKUP('Données projet'!$B$17,Paramètres!$A$1:$I$89,3,0)*0.475*44/12</f>
        <v>0</v>
      </c>
      <c r="GO151" s="23">
        <f t="shared" si="135"/>
        <v>39.046296344246983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5.6843418860808015E-14</v>
      </c>
      <c r="GV151" s="18">
        <f>GU151*VLOOKUP('Données projet'!$B$18,Paramètres!$A$1:$I$89,3,0)*VLOOKUP('Données projet'!$B$18,Paramètres!$A$1:$I$89,5,0)</f>
        <v>3.813056537183002E-14</v>
      </c>
      <c r="GW151" s="14">
        <f t="shared" si="159"/>
        <v>6.4086286045526829E-13</v>
      </c>
      <c r="GX151" s="22">
        <f t="shared" si="136"/>
        <v>1.1825802166488628E-12</v>
      </c>
      <c r="GY151" s="62">
        <f t="shared" si="137"/>
        <v>286.45649632551289</v>
      </c>
      <c r="GZ151" s="62">
        <f ca="1">AVERAGE(OFFSET($GY$3,0,0,'Données projet'!$E$18+1,1))-AVERAGE(OFFSET($H$3,0,0,'Données projet'!$E$18+1,1))</f>
        <v>273.21861937609918</v>
      </c>
      <c r="HA151" s="62">
        <f t="shared" si="160"/>
        <v>268.83004886965318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>
        <f>EXP(-LN(2)/35)*HG150+(1-EXP(-LN(2)/35))/(LN(2)/35)*HC151*HD151*VLOOKUP('Données projet'!$B$18,Paramètres!$A$1:$I$89,3,0)*0.475*44/12</f>
        <v>29.992082699204204</v>
      </c>
      <c r="HH151" s="23">
        <f>EXP(-LN(2)/25)*HH150+(1-EXP(-LN(2)/25))/(LN(2)/25)*Calculateur!HC151*Calculateur!HE151*VLOOKUP('Données projet'!$B$18,Paramètres!$A$1:$I$89,3,0)*0.475*44/12</f>
        <v>0</v>
      </c>
      <c r="HI151" s="23">
        <f>EXP(-LN(2)/2)*HI150+(1-EXP(-LN(2)/2))/(LN(2)/2)*HC151*HF151*VLOOKUP('Données projet'!$B$18,Paramètres!$A$1:$I$89,3,0)*0.475*44/12</f>
        <v>0</v>
      </c>
      <c r="HJ151" s="24">
        <f t="shared" si="138"/>
        <v>29.992082699204204</v>
      </c>
    </row>
    <row r="152" spans="1:218" s="5" customFormat="1" x14ac:dyDescent="0.4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-3.4705882352941178</v>
      </c>
      <c r="N152" s="14">
        <f>IF('Données projet'!$A$36&gt;35,N151+M152-V151,IF(A152&lt;'Données projet'!$A$36,$K$205^A152,IF(A152='Données projet'!$A$36,'Données projet'!$B$36,N151+M152-V151)))</f>
        <v>289.52941176470591</v>
      </c>
      <c r="O152" s="14">
        <f>N152*VLOOKUP('Données projet'!$B$9,Paramètres!$A$1:$I$89,3,0)*VLOOKUP('Données projet'!$B$9,Paramètres!$A$1:$I$89,5,0)</f>
        <v>261.96621176470592</v>
      </c>
      <c r="P152" s="14">
        <f t="shared" si="141"/>
        <v>63.141310899563408</v>
      </c>
      <c r="Q152" s="22">
        <f t="shared" si="108"/>
        <v>566.22893530693568</v>
      </c>
      <c r="R152" s="62">
        <f t="shared" si="109"/>
        <v>852.80472938022876</v>
      </c>
      <c r="S152" s="62">
        <f ca="1">AVERAGE(OFFSET($R$3,0,0,'Données projet'!$E$9+1,1))-AVERAGE(OFFSET($H$3,0,0,'Données projet'!$E$9+1,1))</f>
        <v>432.80275651765203</v>
      </c>
      <c r="T152" s="62">
        <f t="shared" si="142"/>
        <v>203.89279893419919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37.240683528950143</v>
      </c>
      <c r="AA152" s="23">
        <f>EXP(-LN(2)/25)*AA151+(1-EXP(-LN(2)/25))/(LN(2)/25)*Calculateur!V152*Calculateur!X152*VLOOKUP('Données projet'!$B$9,Paramètres!$A$1:$I$89,3,0)*0.475*44/12</f>
        <v>24.390018601018873</v>
      </c>
      <c r="AB152" s="23">
        <f>EXP(-LN(2)/2)*AB151+(1-EXP(-LN(2)/2))/(LN(2)/2)*V152*Y152*VLOOKUP('Données projet'!$B$9,Paramètres!$A$1:$I$89,3,0)*0.475*44/12</f>
        <v>0</v>
      </c>
      <c r="AC152" s="24">
        <f t="shared" si="111"/>
        <v>61.630702129969016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54.000000000000341</v>
      </c>
      <c r="AJ152" s="14">
        <f>AI152*VLOOKUP('Données projet'!$B$10,Paramètres!$A$1:$I$89,3,0)*VLOOKUP('Données projet'!$B$10,Paramètres!$A$1:$I$89,5,0)</f>
        <v>23.868000000000151</v>
      </c>
      <c r="AK152" s="14">
        <f t="shared" si="143"/>
        <v>7.6030930962115804</v>
      </c>
      <c r="AL152" s="22">
        <f t="shared" si="112"/>
        <v>54.812153809235433</v>
      </c>
      <c r="AM152" s="62">
        <f t="shared" si="113"/>
        <v>341.38794788252852</v>
      </c>
      <c r="AN152" s="62">
        <f ca="1">AVERAGE(OFFSET($AM$3,0,0,'Données projet'!$E$10+1,1))-AVERAGE(OFFSET($H$3,0,0,'Données projet'!$E$10+1,1))</f>
        <v>413.08876898406481</v>
      </c>
      <c r="AO152" s="62">
        <f t="shared" si="144"/>
        <v>520.31320932826566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47.148506955641494</v>
      </c>
      <c r="AV152" s="23">
        <f>EXP(-LN(2)/25)*AV151+(1-EXP(-LN(2)/25))/(LN(2)/25)*Calculateur!AQ152*Calculateur!AS152*VLOOKUP('Données projet'!$B$10,Paramètres!$A$1:$I$89,3,0)*0.475*44/12</f>
        <v>1.7108615328673082</v>
      </c>
      <c r="AW152" s="23">
        <f>EXP(-LN(2)/2)*AW151+(1-EXP(-LN(2)/2))/(LN(2)/2)*AQ152*AT152*VLOOKUP('Données projet'!$B$10,Paramètres!$A$1:$I$89,3,0)*0.475*44/12</f>
        <v>8.9442221907541286E-16</v>
      </c>
      <c r="AX152" s="23">
        <f t="shared" si="114"/>
        <v>48.8593684885088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54.000000000000341</v>
      </c>
      <c r="BE152" s="14">
        <f>BD152*VLOOKUP('Données projet'!$B$11,Paramètres!$A$1:$I$89,3,0)*VLOOKUP('Données projet'!$B$11,Paramètres!$A$1:$I$89,5,0)</f>
        <v>30.186000000000188</v>
      </c>
      <c r="BF152" s="14">
        <f t="shared" si="145"/>
        <v>9.3563888882899153</v>
      </c>
      <c r="BG152" s="22">
        <f t="shared" si="115"/>
        <v>68.869660647105263</v>
      </c>
      <c r="BH152" s="62">
        <f t="shared" si="116"/>
        <v>355.44545472039835</v>
      </c>
      <c r="BI152" s="62">
        <f ca="1">AVERAGE(OFFSET($BH$3,0,0,'Données projet'!$E$11+1,1))-AVERAGE(OFFSET($H$3,0,0,'Données projet'!$E$11+1,1))</f>
        <v>507.66185230065889</v>
      </c>
      <c r="BJ152" s="62">
        <f t="shared" si="146"/>
        <v>640.14375617778342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59.628994090958294</v>
      </c>
      <c r="BQ152" s="23">
        <f>EXP(-LN(2)/25)*BQ151+(1-EXP(-LN(2)/25))/(LN(2)/25)*Calculateur!BL152*Calculateur!BN152*VLOOKUP('Données projet'!$B$11,Paramètres!$A$1:$I$89,3,0)*0.475*44/12</f>
        <v>2.1637366445086563</v>
      </c>
      <c r="BR152" s="23">
        <f>EXP(-LN(2)/2)*BR151+(1-EXP(-LN(2)/2))/(LN(2)/2)*BL152*BO152*VLOOKUP('Données projet'!$B$11,Paramètres!$A$1:$I$89,3,0)*0.475*44/12</f>
        <v>1.1311810417718465E-15</v>
      </c>
      <c r="BS152" s="24">
        <f t="shared" si="117"/>
        <v>61.792730735466947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417.04879970000007</v>
      </c>
      <c r="BZ152" s="14">
        <f>BY152*VLOOKUP('Données projet'!$B$12,Paramètres!$A$1:$I$89,3,0)*VLOOKUP('Données projet'!$B$12,Paramètres!$A$1:$I$89,5,0)</f>
        <v>195.17883825960004</v>
      </c>
      <c r="CA152" s="14">
        <f t="shared" si="147"/>
        <v>48.683122291673484</v>
      </c>
      <c r="CB152" s="22">
        <f t="shared" si="118"/>
        <v>424.72624796013469</v>
      </c>
      <c r="CC152" s="62">
        <f t="shared" si="119"/>
        <v>711.30204203342782</v>
      </c>
      <c r="CD152" s="62">
        <f ca="1">AVERAGE(OFFSET($CC$3,0,0,'Données projet'!$E$12+1,1))-AVERAGE(OFFSET($H$3,0,0,'Données projet'!$E$12+1,1))</f>
        <v>289.21044803824958</v>
      </c>
      <c r="CE152" s="62">
        <f t="shared" si="148"/>
        <v>196.11836398299445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>
        <f>EXP(-LN(2)/35)*CK151+(1-EXP(-LN(2)/35))/(LN(2)/35)*CG152*CH152*VLOOKUP('Données projet'!$B$12,Paramètres!$A$1:$I$89,3,0)*0.475*44/12</f>
        <v>26.097789830767855</v>
      </c>
      <c r="CL152" s="23">
        <f>EXP(-LN(2)/25)*CL151+(1-EXP(-LN(2)/25))/(LN(2)/25)*Calculateur!CG152*Calculateur!CI152*VLOOKUP('Données projet'!$B$12,Paramètres!$A$1:$I$89,3,0)*0.475*44/12</f>
        <v>8.2400957942453932</v>
      </c>
      <c r="CM152" s="23">
        <f>EXP(-LN(2)/2)*CM151+(1-EXP(-LN(2)/2))/(LN(2)/2)*CG152*CJ152*VLOOKUP('Données projet'!$B$12,Paramètres!$A$1:$I$89,3,0)*0.475*44/12</f>
        <v>0</v>
      </c>
      <c r="CN152" s="24">
        <f t="shared" si="120"/>
        <v>34.33788562501325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-5.6843418860808015E-14</v>
      </c>
      <c r="CU152" s="18">
        <f>CT152*VLOOKUP('Données projet'!$B$13,Paramètres!$A$1:$I$89,3,0)*VLOOKUP('Données projet'!$B$13,Paramètres!$A$1:$I$89,5,0)</f>
        <v>-5.1431925385259088E-14</v>
      </c>
      <c r="CV152" s="14" t="e">
        <f t="shared" si="149"/>
        <v>#NUM!</v>
      </c>
      <c r="CW152" s="22" t="e">
        <f t="shared" si="121"/>
        <v>#NUM!</v>
      </c>
      <c r="CX152" s="62" t="e">
        <f t="shared" si="122"/>
        <v>#NUM!</v>
      </c>
      <c r="CY152" s="62">
        <f ca="1">AVERAGE(OFFSET($CX$3,0,0,'Données projet'!$E$13+1,1))-AVERAGE(OFFSET($H$3,0,0,'Données projet'!$E$13+1,1))</f>
        <v>376.68007030857598</v>
      </c>
      <c r="CZ152" s="62">
        <f t="shared" si="150"/>
        <v>532.90758914457626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>
        <f>EXP(-LN(2)/35)*DF151+(1-EXP(-LN(2)/35))/(LN(2)/35)*DB152*DC152*VLOOKUP('Données projet'!$B$13,Paramètres!$A$1:$I$89,3,0)*0.475*44/12</f>
        <v>11.936758873807843</v>
      </c>
      <c r="DG152" s="23">
        <f>EXP(-LN(2)/25)*DG151+(1-EXP(-LN(2)/25))/(LN(2)/25)*Calculateur!DB152*Calculateur!DD152*VLOOKUP('Données projet'!$B$13,Paramètres!$A$1:$I$89,3,0)*0.475*44/12</f>
        <v>0.48347816197403126</v>
      </c>
      <c r="DH152" s="23">
        <f>EXP(-LN(2)/2)*DH151+(1-EXP(-LN(2)/2))/(LN(2)/2)*DB152*DE152*VLOOKUP('Données projet'!$B$13,Paramètres!$A$1:$I$89,3,0)*0.475*44/12</f>
        <v>0</v>
      </c>
      <c r="DI152" s="24">
        <f t="shared" si="123"/>
        <v>12.420237035781874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5.6843418860808015E-14</v>
      </c>
      <c r="DP152" s="18">
        <f>DO152*VLOOKUP('Données projet'!$B$14,Paramètres!$A$1:$I$89,3,0)*VLOOKUP('Données projet'!$B$14,Paramètres!$A$1:$I$89,5,0)</f>
        <v>5.4092197387944907E-14</v>
      </c>
      <c r="DQ152" s="14">
        <f t="shared" si="151"/>
        <v>8.7287050538073676E-13</v>
      </c>
      <c r="DR152" s="22">
        <f t="shared" si="124"/>
        <v>1.6144600406554537E-12</v>
      </c>
      <c r="DS152" s="62">
        <f t="shared" si="125"/>
        <v>286.57579407329467</v>
      </c>
      <c r="DT152" s="62">
        <f ca="1">AVERAGE(OFFSET($DS$3,0,0,'Données projet'!$E$14+1,1))-AVERAGE(OFFSET($H$3,0,0,'Données projet'!$E$14+1,1))</f>
        <v>364.63161066507769</v>
      </c>
      <c r="DU152" s="62">
        <f t="shared" si="152"/>
        <v>355.44729904860708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>
        <f>EXP(-LN(2)/35)*EA151+(1-EXP(-LN(2)/35))/(LN(2)/35)*DW152*DX152*VLOOKUP('Données projet'!$B$14,Paramètres!$A$1:$I$89,3,0)*0.475*44/12</f>
        <v>33.842289269831213</v>
      </c>
      <c r="EB152" s="23">
        <f>EXP(-LN(2)/25)*EB151+(1-EXP(-LN(2)/25))/(LN(2)/25)*Calculateur!DW152*Calculateur!DY152*VLOOKUP('Données projet'!$B$14,Paramètres!$A$1:$I$89,3,0)*0.475*44/12</f>
        <v>0</v>
      </c>
      <c r="EC152" s="23">
        <f>EXP(-LN(2)/2)*EC151+(1-EXP(-LN(2)/2))/(LN(2)/2)*DW152*DZ152*VLOOKUP('Données projet'!$B$14,Paramètres!$A$1:$I$89,3,0)*0.475*44/12</f>
        <v>0</v>
      </c>
      <c r="ED152" s="24">
        <f t="shared" si="126"/>
        <v>33.842289269831213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5.6843418860808015E-14</v>
      </c>
      <c r="EK152" s="18">
        <f>EJ152*VLOOKUP('Données projet'!$B$15,Paramètres!$A$1:$I$89,3,0)*VLOOKUP('Données projet'!$B$15,Paramètres!$A$1:$I$89,5,0)</f>
        <v>4.1677594708744434E-14</v>
      </c>
      <c r="EL152" s="14">
        <f t="shared" si="153"/>
        <v>6.9326303456159188E-13</v>
      </c>
      <c r="EM152" s="22">
        <f t="shared" si="127"/>
        <v>1.2800215959791691E-12</v>
      </c>
      <c r="EN152" s="62">
        <f t="shared" si="128"/>
        <v>286.57579407329439</v>
      </c>
      <c r="EO152" s="62">
        <f ca="1">AVERAGE(OFFSET($EN$3,0,0,'Données projet'!$E$15+1,1))-AVERAGE(OFFSET($H$3,0,0,'Données projet'!$E$15+1,1))</f>
        <v>293.59366973965774</v>
      </c>
      <c r="EP152" s="62">
        <f t="shared" si="154"/>
        <v>288.13804536120426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>
        <f>EXP(-LN(2)/35)*EV151+(1-EXP(-LN(2)/35))/(LN(2)/35)*ER152*ES152*VLOOKUP('Données projet'!$B$15,Paramètres!$A$1:$I$89,3,0)*0.475*44/12</f>
        <v>26.075206486591249</v>
      </c>
      <c r="EW152" s="23">
        <f>EXP(-LN(2)/25)*EW151+(1-EXP(-LN(2)/25))/(LN(2)/25)*Calculateur!ER152*Calculateur!ET152*VLOOKUP('Données projet'!$B$15,Paramètres!$A$1:$I$89,3,0)*0.475*44/12</f>
        <v>0</v>
      </c>
      <c r="EX152" s="23">
        <f>EXP(-LN(2)/2)*EX151+(1-EXP(-LN(2)/2))/(LN(2)/2)*ER152*EU152*VLOOKUP('Données projet'!$B$15,Paramètres!$A$1:$I$89,3,0)*0.475*44/12</f>
        <v>0</v>
      </c>
      <c r="EY152" s="24">
        <f t="shared" si="129"/>
        <v>26.075206486591249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5.6843418860808015E-14</v>
      </c>
      <c r="FF152" s="18">
        <f>FE152*VLOOKUP('Données projet'!$B$16,Paramètres!$A$1:$I$89,3,0)*VLOOKUP('Données projet'!$B$16,Paramètres!$A$1:$I$89,5,0)</f>
        <v>5.4978954722173515E-14</v>
      </c>
      <c r="FG152" s="14">
        <f t="shared" si="155"/>
        <v>8.8550225887742724E-13</v>
      </c>
      <c r="FH152" s="22">
        <f t="shared" si="130"/>
        <v>1.6380047803526383E-12</v>
      </c>
      <c r="FI152" s="62">
        <f t="shared" si="131"/>
        <v>286.57579407329473</v>
      </c>
      <c r="FJ152" s="62">
        <f ca="1">AVERAGE(OFFSET($FI$3,0,0,'Données projet'!$E$16+1,1))-AVERAGE(OFFSET($H$3,0,0,'Données projet'!$E$16+1,1))</f>
        <v>369.69145521630799</v>
      </c>
      <c r="FK152" s="62">
        <f t="shared" si="156"/>
        <v>360.24112103688719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>
        <f>EXP(-LN(2)/35)*FQ151+(1-EXP(-LN(2)/35))/(LN(2)/35)*FM152*FN152*VLOOKUP('Données projet'!$B$16,Paramètres!$A$1:$I$89,3,0)*0.475*44/12</f>
        <v>34.397080897205484</v>
      </c>
      <c r="FR152" s="23">
        <f>EXP(-LN(2)/25)*FR151+(1-EXP(-LN(2)/25))/(LN(2)/25)*Calculateur!FM152*Calculateur!FO152*VLOOKUP('Données projet'!$B$16,Paramètres!$A$1:$I$89,3,0)*0.475*44/12</f>
        <v>0</v>
      </c>
      <c r="FS152" s="23">
        <f>EXP(-LN(2)/2)*FS151+(1-EXP(-LN(2)/2))/(LN(2)/2)*FM152*FP152*VLOOKUP('Données projet'!$B$16,Paramètres!$A$1:$I$89,3,0)*0.475*44/12</f>
        <v>0</v>
      </c>
      <c r="FT152" s="24">
        <f t="shared" si="132"/>
        <v>34.397080897205484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5.6843418860808015E-14</v>
      </c>
      <c r="GA152" s="18">
        <f>FZ152*VLOOKUP('Données projet'!$B$17,Paramètres!$A$1:$I$89,3,0)*VLOOKUP('Données projet'!$B$17,Paramètres!$A$1:$I$89,5,0)</f>
        <v>6.1186256061773749E-14</v>
      </c>
      <c r="GB152" s="14">
        <f t="shared" si="157"/>
        <v>9.7328366192051127E-13</v>
      </c>
      <c r="GC152" s="22">
        <f t="shared" si="133"/>
        <v>1.8017017738191463E-12</v>
      </c>
      <c r="GD152" s="62">
        <f t="shared" si="134"/>
        <v>286.5757940732949</v>
      </c>
      <c r="GE152" s="62">
        <f ca="1">AVERAGE(OFFSET($GD$3,0,0,'Données projet'!$E$17+1,1))-AVERAGE(OFFSET($H$3,0,0,'Données projet'!$E$17+1,1))</f>
        <v>405.06394904053946</v>
      </c>
      <c r="GF152" s="62">
        <f t="shared" si="158"/>
        <v>393.75247087518198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>
        <f>EXP(-LN(2)/35)*GL151+(1-EXP(-LN(2)/35))/(LN(2)/35)*GH152*GI152*VLOOKUP('Données projet'!$B$17,Paramètres!$A$1:$I$89,3,0)*0.475*44/12</f>
        <v>38.280622288825448</v>
      </c>
      <c r="GM152" s="23">
        <f>EXP(-LN(2)/25)*GM151+(1-EXP(-LN(2)/25))/(LN(2)/25)*Calculateur!GH152*Calculateur!GJ152*VLOOKUP('Données projet'!$B$17,Paramètres!$A$1:$I$89,3,0)*0.475*44/12</f>
        <v>0</v>
      </c>
      <c r="GN152" s="23">
        <f>EXP(-LN(2)/2)*GN151+(1-EXP(-LN(2)/2))/(LN(2)/2)*GH152*GK152*VLOOKUP('Données projet'!$B$17,Paramètres!$A$1:$I$89,3,0)*0.475*44/12</f>
        <v>0</v>
      </c>
      <c r="GO152" s="23">
        <f t="shared" si="135"/>
        <v>38.280622288825448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5.6843418860808015E-14</v>
      </c>
      <c r="GV152" s="18">
        <f>GU152*VLOOKUP('Données projet'!$B$18,Paramètres!$A$1:$I$89,3,0)*VLOOKUP('Données projet'!$B$18,Paramètres!$A$1:$I$89,5,0)</f>
        <v>3.813056537183002E-14</v>
      </c>
      <c r="GW152" s="14">
        <f t="shared" si="159"/>
        <v>6.4086286045526829E-13</v>
      </c>
      <c r="GX152" s="22">
        <f t="shared" si="136"/>
        <v>1.1825802166488628E-12</v>
      </c>
      <c r="GY152" s="62">
        <f t="shared" si="137"/>
        <v>286.57579407329428</v>
      </c>
      <c r="GZ152" s="62">
        <f ca="1">AVERAGE(OFFSET($GY$3,0,0,'Données projet'!$E$18+1,1))-AVERAGE(OFFSET($H$3,0,0,'Données projet'!$E$18+1,1))</f>
        <v>273.21861937609918</v>
      </c>
      <c r="HA152" s="62">
        <f t="shared" si="160"/>
        <v>268.83004886965318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>
        <f>EXP(-LN(2)/35)*HG151+(1-EXP(-LN(2)/35))/(LN(2)/35)*HC152*HD152*VLOOKUP('Données projet'!$B$18,Paramètres!$A$1:$I$89,3,0)*0.475*44/12</f>
        <v>29.403956250836938</v>
      </c>
      <c r="HH152" s="23">
        <f>EXP(-LN(2)/25)*HH151+(1-EXP(-LN(2)/25))/(LN(2)/25)*Calculateur!HC152*Calculateur!HE152*VLOOKUP('Données projet'!$B$18,Paramètres!$A$1:$I$89,3,0)*0.475*44/12</f>
        <v>0</v>
      </c>
      <c r="HI152" s="23">
        <f>EXP(-LN(2)/2)*HI151+(1-EXP(-LN(2)/2))/(LN(2)/2)*HC152*HF152*VLOOKUP('Données projet'!$B$18,Paramètres!$A$1:$I$89,3,0)*0.475*44/12</f>
        <v>0</v>
      </c>
      <c r="HJ152" s="24">
        <f t="shared" si="138"/>
        <v>29.403956250836938</v>
      </c>
    </row>
    <row r="153" spans="1:218" s="5" customFormat="1" x14ac:dyDescent="0.4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-3.4705882352941178</v>
      </c>
      <c r="N153" s="14">
        <f>IF('Données projet'!$A$36&gt;35,N152+M153-V152,IF(A153&lt;'Données projet'!$A$36,$K$205^A153,IF(A153='Données projet'!$A$36,'Données projet'!$B$36,N152+M153-V152)))</f>
        <v>286.05882352941177</v>
      </c>
      <c r="O153" s="14">
        <f>N153*VLOOKUP('Données projet'!$B$9,Paramètres!$A$1:$I$89,3,0)*VLOOKUP('Données projet'!$B$9,Paramètres!$A$1:$I$89,5,0)</f>
        <v>258.82602352941177</v>
      </c>
      <c r="P153" s="14">
        <f t="shared" si="141"/>
        <v>62.472067741593087</v>
      </c>
      <c r="Q153" s="22">
        <f t="shared" si="108"/>
        <v>559.59417563033344</v>
      </c>
      <c r="R153" s="62">
        <f t="shared" si="109"/>
        <v>846.28719790219384</v>
      </c>
      <c r="S153" s="62">
        <f ca="1">AVERAGE(OFFSET($R$3,0,0,'Données projet'!$E$9+1,1))-AVERAGE(OFFSET($H$3,0,0,'Données projet'!$E$9+1,1))</f>
        <v>432.80275651765203</v>
      </c>
      <c r="T153" s="62">
        <f t="shared" si="142"/>
        <v>203.89279893419919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36.510416439521507</v>
      </c>
      <c r="AA153" s="23">
        <f>EXP(-LN(2)/25)*AA152+(1-EXP(-LN(2)/25))/(LN(2)/25)*Calculateur!V153*Calculateur!X153*VLOOKUP('Données projet'!$B$9,Paramètres!$A$1:$I$89,3,0)*0.475*44/12</f>
        <v>23.723072259758677</v>
      </c>
      <c r="AB153" s="23">
        <f>EXP(-LN(2)/2)*AB152+(1-EXP(-LN(2)/2))/(LN(2)/2)*V153*Y153*VLOOKUP('Données projet'!$B$9,Paramètres!$A$1:$I$89,3,0)*0.475*44/12</f>
        <v>0</v>
      </c>
      <c r="AC153" s="24">
        <f t="shared" si="111"/>
        <v>60.233488699280187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54.000000000000341</v>
      </c>
      <c r="AJ153" s="14">
        <f>AI153*VLOOKUP('Données projet'!$B$10,Paramètres!$A$1:$I$89,3,0)*VLOOKUP('Données projet'!$B$10,Paramètres!$A$1:$I$89,5,0)</f>
        <v>23.868000000000151</v>
      </c>
      <c r="AK153" s="14">
        <f t="shared" si="143"/>
        <v>7.6030930962115804</v>
      </c>
      <c r="AL153" s="22">
        <f t="shared" si="112"/>
        <v>54.812153809235433</v>
      </c>
      <c r="AM153" s="62">
        <f t="shared" si="113"/>
        <v>341.50517608109578</v>
      </c>
      <c r="AN153" s="62">
        <f ca="1">AVERAGE(OFFSET($AM$3,0,0,'Données projet'!$E$10+1,1))-AVERAGE(OFFSET($H$3,0,0,'Données projet'!$E$10+1,1))</f>
        <v>413.08876898406481</v>
      </c>
      <c r="AO153" s="62">
        <f t="shared" si="144"/>
        <v>520.31320932826566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46.223953491991018</v>
      </c>
      <c r="AV153" s="23">
        <f>EXP(-LN(2)/25)*AV152+(1-EXP(-LN(2)/25))/(LN(2)/25)*Calculateur!AQ153*Calculateur!AS153*VLOOKUP('Données projet'!$B$10,Paramètres!$A$1:$I$89,3,0)*0.475*44/12</f>
        <v>1.6640779342807539</v>
      </c>
      <c r="AW153" s="23">
        <f>EXP(-LN(2)/2)*AW152+(1-EXP(-LN(2)/2))/(LN(2)/2)*AQ153*AT153*VLOOKUP('Données projet'!$B$10,Paramètres!$A$1:$I$89,3,0)*0.475*44/12</f>
        <v>6.3245201635214426E-16</v>
      </c>
      <c r="AX153" s="23">
        <f t="shared" si="114"/>
        <v>47.888031426271773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54.000000000000341</v>
      </c>
      <c r="BE153" s="14">
        <f>BD153*VLOOKUP('Données projet'!$B$11,Paramètres!$A$1:$I$89,3,0)*VLOOKUP('Données projet'!$B$11,Paramètres!$A$1:$I$89,5,0)</f>
        <v>30.186000000000188</v>
      </c>
      <c r="BF153" s="14">
        <f t="shared" si="145"/>
        <v>9.3563888882899153</v>
      </c>
      <c r="BG153" s="22">
        <f t="shared" si="115"/>
        <v>68.869660647105263</v>
      </c>
      <c r="BH153" s="62">
        <f t="shared" si="116"/>
        <v>355.56268291896561</v>
      </c>
      <c r="BI153" s="62">
        <f ca="1">AVERAGE(OFFSET($BH$3,0,0,'Données projet'!$E$11+1,1))-AVERAGE(OFFSET($H$3,0,0,'Données projet'!$E$11+1,1))</f>
        <v>507.66185230065889</v>
      </c>
      <c r="BJ153" s="62">
        <f t="shared" si="146"/>
        <v>640.14375617778342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58.459705886929747</v>
      </c>
      <c r="BQ153" s="23">
        <f>EXP(-LN(2)/25)*BQ152+(1-EXP(-LN(2)/25))/(LN(2)/25)*Calculateur!BL153*Calculateur!BN153*VLOOKUP('Données projet'!$B$11,Paramètres!$A$1:$I$89,3,0)*0.475*44/12</f>
        <v>2.1045691521786023</v>
      </c>
      <c r="BR153" s="23">
        <f>EXP(-LN(2)/2)*BR152+(1-EXP(-LN(2)/2))/(LN(2)/2)*BL153*BO153*VLOOKUP('Données projet'!$B$11,Paramètres!$A$1:$I$89,3,0)*0.475*44/12</f>
        <v>7.9986578538653592E-16</v>
      </c>
      <c r="BS153" s="24">
        <f t="shared" si="117"/>
        <v>60.564275039108352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417.04879970000007</v>
      </c>
      <c r="BZ153" s="14">
        <f>BY153*VLOOKUP('Données projet'!$B$12,Paramètres!$A$1:$I$89,3,0)*VLOOKUP('Données projet'!$B$12,Paramètres!$A$1:$I$89,5,0)</f>
        <v>195.17883825960004</v>
      </c>
      <c r="CA153" s="14">
        <f t="shared" si="147"/>
        <v>48.683122291673484</v>
      </c>
      <c r="CB153" s="22">
        <f t="shared" si="118"/>
        <v>424.72624796013469</v>
      </c>
      <c r="CC153" s="62">
        <f t="shared" si="119"/>
        <v>711.41927023199503</v>
      </c>
      <c r="CD153" s="62">
        <f ca="1">AVERAGE(OFFSET($CC$3,0,0,'Données projet'!$E$12+1,1))-AVERAGE(OFFSET($H$3,0,0,'Données projet'!$E$12+1,1))</f>
        <v>289.21044803824958</v>
      </c>
      <c r="CE153" s="62">
        <f t="shared" si="148"/>
        <v>196.11836398299445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>
        <f>EXP(-LN(2)/35)*CK152+(1-EXP(-LN(2)/35))/(LN(2)/35)*CG153*CH153*VLOOKUP('Données projet'!$B$12,Paramètres!$A$1:$I$89,3,0)*0.475*44/12</f>
        <v>25.586028090266513</v>
      </c>
      <c r="CL153" s="23">
        <f>EXP(-LN(2)/25)*CL152+(1-EXP(-LN(2)/25))/(LN(2)/25)*Calculateur!CG153*Calculateur!CI153*VLOOKUP('Données projet'!$B$12,Paramètres!$A$1:$I$89,3,0)*0.475*44/12</f>
        <v>8.0147699414239479</v>
      </c>
      <c r="CM153" s="23">
        <f>EXP(-LN(2)/2)*CM152+(1-EXP(-LN(2)/2))/(LN(2)/2)*CG153*CJ153*VLOOKUP('Données projet'!$B$12,Paramètres!$A$1:$I$89,3,0)*0.475*44/12</f>
        <v>0</v>
      </c>
      <c r="CN153" s="24">
        <f t="shared" si="120"/>
        <v>33.600798031690459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-5.6843418860808015E-14</v>
      </c>
      <c r="CU153" s="18">
        <f>CT153*VLOOKUP('Données projet'!$B$13,Paramètres!$A$1:$I$89,3,0)*VLOOKUP('Données projet'!$B$13,Paramètres!$A$1:$I$89,5,0)</f>
        <v>-5.1431925385259088E-14</v>
      </c>
      <c r="CV153" s="14" t="e">
        <f t="shared" si="149"/>
        <v>#NUM!</v>
      </c>
      <c r="CW153" s="22" t="e">
        <f t="shared" si="121"/>
        <v>#NUM!</v>
      </c>
      <c r="CX153" s="62" t="e">
        <f t="shared" si="122"/>
        <v>#NUM!</v>
      </c>
      <c r="CY153" s="62">
        <f ca="1">AVERAGE(OFFSET($CX$3,0,0,'Données projet'!$E$13+1,1))-AVERAGE(OFFSET($H$3,0,0,'Données projet'!$E$13+1,1))</f>
        <v>376.68007030857598</v>
      </c>
      <c r="CZ153" s="62">
        <f t="shared" si="150"/>
        <v>532.90758914457626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>
        <f>EXP(-LN(2)/35)*DF152+(1-EXP(-LN(2)/35))/(LN(2)/35)*DB153*DC153*VLOOKUP('Données projet'!$B$13,Paramètres!$A$1:$I$89,3,0)*0.475*44/12</f>
        <v>11.702686312996475</v>
      </c>
      <c r="DG153" s="23">
        <f>EXP(-LN(2)/25)*DG152+(1-EXP(-LN(2)/25))/(LN(2)/25)*Calculateur!DB153*Calculateur!DD153*VLOOKUP('Données projet'!$B$13,Paramètres!$A$1:$I$89,3,0)*0.475*44/12</f>
        <v>0.47025742620983985</v>
      </c>
      <c r="DH153" s="23">
        <f>EXP(-LN(2)/2)*DH152+(1-EXP(-LN(2)/2))/(LN(2)/2)*DB153*DE153*VLOOKUP('Données projet'!$B$13,Paramètres!$A$1:$I$89,3,0)*0.475*44/12</f>
        <v>0</v>
      </c>
      <c r="DI153" s="24">
        <f t="shared" si="123"/>
        <v>12.172943739206314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5.6843418860808015E-14</v>
      </c>
      <c r="DP153" s="18">
        <f>DO153*VLOOKUP('Données projet'!$B$14,Paramètres!$A$1:$I$89,3,0)*VLOOKUP('Données projet'!$B$14,Paramètres!$A$1:$I$89,5,0)</f>
        <v>5.4092197387944907E-14</v>
      </c>
      <c r="DQ153" s="14">
        <f t="shared" si="151"/>
        <v>8.7287050538073676E-13</v>
      </c>
      <c r="DR153" s="22">
        <f t="shared" si="124"/>
        <v>1.6144600406554537E-12</v>
      </c>
      <c r="DS153" s="62">
        <f t="shared" si="125"/>
        <v>286.69302227186193</v>
      </c>
      <c r="DT153" s="62">
        <f ca="1">AVERAGE(OFFSET($DS$3,0,0,'Données projet'!$E$14+1,1))-AVERAGE(OFFSET($H$3,0,0,'Données projet'!$E$14+1,1))</f>
        <v>364.63161066507769</v>
      </c>
      <c r="DU153" s="62">
        <f t="shared" si="152"/>
        <v>355.44729904860708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>
        <f>EXP(-LN(2)/35)*EA152+(1-EXP(-LN(2)/35))/(LN(2)/35)*DW153*DX153*VLOOKUP('Données projet'!$B$14,Paramètres!$A$1:$I$89,3,0)*0.475*44/12</f>
        <v>33.178662619008072</v>
      </c>
      <c r="EB153" s="23">
        <f>EXP(-LN(2)/25)*EB152+(1-EXP(-LN(2)/25))/(LN(2)/25)*Calculateur!DW153*Calculateur!DY153*VLOOKUP('Données projet'!$B$14,Paramètres!$A$1:$I$89,3,0)*0.475*44/12</f>
        <v>0</v>
      </c>
      <c r="EC153" s="23">
        <f>EXP(-LN(2)/2)*EC152+(1-EXP(-LN(2)/2))/(LN(2)/2)*DW153*DZ153*VLOOKUP('Données projet'!$B$14,Paramètres!$A$1:$I$89,3,0)*0.475*44/12</f>
        <v>0</v>
      </c>
      <c r="ED153" s="24">
        <f t="shared" si="126"/>
        <v>33.178662619008072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5.6843418860808015E-14</v>
      </c>
      <c r="EK153" s="18">
        <f>EJ153*VLOOKUP('Données projet'!$B$15,Paramètres!$A$1:$I$89,3,0)*VLOOKUP('Données projet'!$B$15,Paramètres!$A$1:$I$89,5,0)</f>
        <v>4.1677594708744434E-14</v>
      </c>
      <c r="EL153" s="14">
        <f t="shared" si="153"/>
        <v>6.9326303456159188E-13</v>
      </c>
      <c r="EM153" s="22">
        <f t="shared" si="127"/>
        <v>1.2800215959791691E-12</v>
      </c>
      <c r="EN153" s="62">
        <f t="shared" si="128"/>
        <v>286.69302227186165</v>
      </c>
      <c r="EO153" s="62">
        <f ca="1">AVERAGE(OFFSET($EN$3,0,0,'Données projet'!$E$15+1,1))-AVERAGE(OFFSET($H$3,0,0,'Données projet'!$E$15+1,1))</f>
        <v>293.59366973965774</v>
      </c>
      <c r="EP153" s="62">
        <f t="shared" si="154"/>
        <v>288.13804536120426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>
        <f>EXP(-LN(2)/35)*EV152+(1-EXP(-LN(2)/35))/(LN(2)/35)*ER153*ES153*VLOOKUP('Données projet'!$B$15,Paramètres!$A$1:$I$89,3,0)*0.475*44/12</f>
        <v>25.56388759169473</v>
      </c>
      <c r="EW153" s="23">
        <f>EXP(-LN(2)/25)*EW152+(1-EXP(-LN(2)/25))/(LN(2)/25)*Calculateur!ER153*Calculateur!ET153*VLOOKUP('Données projet'!$B$15,Paramètres!$A$1:$I$89,3,0)*0.475*44/12</f>
        <v>0</v>
      </c>
      <c r="EX153" s="23">
        <f>EXP(-LN(2)/2)*EX152+(1-EXP(-LN(2)/2))/(LN(2)/2)*ER153*EU153*VLOOKUP('Données projet'!$B$15,Paramètres!$A$1:$I$89,3,0)*0.475*44/12</f>
        <v>0</v>
      </c>
      <c r="EY153" s="24">
        <f t="shared" si="129"/>
        <v>25.56388759169473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5.6843418860808015E-14</v>
      </c>
      <c r="FF153" s="18">
        <f>FE153*VLOOKUP('Données projet'!$B$16,Paramètres!$A$1:$I$89,3,0)*VLOOKUP('Données projet'!$B$16,Paramètres!$A$1:$I$89,5,0)</f>
        <v>5.4978954722173515E-14</v>
      </c>
      <c r="FG153" s="14">
        <f t="shared" si="155"/>
        <v>8.8550225887742724E-13</v>
      </c>
      <c r="FH153" s="22">
        <f t="shared" si="130"/>
        <v>1.6380047803526383E-12</v>
      </c>
      <c r="FI153" s="62">
        <f t="shared" si="131"/>
        <v>286.69302227186199</v>
      </c>
      <c r="FJ153" s="62">
        <f ca="1">AVERAGE(OFFSET($FI$3,0,0,'Données projet'!$E$16+1,1))-AVERAGE(OFFSET($H$3,0,0,'Données projet'!$E$16+1,1))</f>
        <v>369.69145521630799</v>
      </c>
      <c r="FK153" s="62">
        <f t="shared" si="156"/>
        <v>360.24112103688719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>
        <f>EXP(-LN(2)/35)*FQ152+(1-EXP(-LN(2)/35))/(LN(2)/35)*FM153*FN153*VLOOKUP('Données projet'!$B$16,Paramètres!$A$1:$I$89,3,0)*0.475*44/12</f>
        <v>33.722575120959014</v>
      </c>
      <c r="FR153" s="23">
        <f>EXP(-LN(2)/25)*FR152+(1-EXP(-LN(2)/25))/(LN(2)/25)*Calculateur!FM153*Calculateur!FO153*VLOOKUP('Données projet'!$B$16,Paramètres!$A$1:$I$89,3,0)*0.475*44/12</f>
        <v>0</v>
      </c>
      <c r="FS153" s="23">
        <f>EXP(-LN(2)/2)*FS152+(1-EXP(-LN(2)/2))/(LN(2)/2)*FM153*FP153*VLOOKUP('Données projet'!$B$16,Paramètres!$A$1:$I$89,3,0)*0.475*44/12</f>
        <v>0</v>
      </c>
      <c r="FT153" s="24">
        <f t="shared" si="132"/>
        <v>33.722575120959014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5.6843418860808015E-14</v>
      </c>
      <c r="GA153" s="18">
        <f>FZ153*VLOOKUP('Données projet'!$B$17,Paramètres!$A$1:$I$89,3,0)*VLOOKUP('Données projet'!$B$17,Paramètres!$A$1:$I$89,5,0)</f>
        <v>6.1186256061773749E-14</v>
      </c>
      <c r="GB153" s="14">
        <f t="shared" si="157"/>
        <v>9.7328366192051127E-13</v>
      </c>
      <c r="GC153" s="22">
        <f t="shared" si="133"/>
        <v>1.8017017738191463E-12</v>
      </c>
      <c r="GD153" s="62">
        <f t="shared" si="134"/>
        <v>286.69302227186216</v>
      </c>
      <c r="GE153" s="62">
        <f ca="1">AVERAGE(OFFSET($GD$3,0,0,'Données projet'!$E$17+1,1))-AVERAGE(OFFSET($H$3,0,0,'Données projet'!$E$17+1,1))</f>
        <v>405.06394904053946</v>
      </c>
      <c r="GF153" s="62">
        <f t="shared" si="158"/>
        <v>393.75247087518198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>
        <f>EXP(-LN(2)/35)*GL152+(1-EXP(-LN(2)/35))/(LN(2)/35)*GH153*GI153*VLOOKUP('Données projet'!$B$17,Paramètres!$A$1:$I$89,3,0)*0.475*44/12</f>
        <v>37.529962634615664</v>
      </c>
      <c r="GM153" s="23">
        <f>EXP(-LN(2)/25)*GM152+(1-EXP(-LN(2)/25))/(LN(2)/25)*Calculateur!GH153*Calculateur!GJ153*VLOOKUP('Données projet'!$B$17,Paramètres!$A$1:$I$89,3,0)*0.475*44/12</f>
        <v>0</v>
      </c>
      <c r="GN153" s="23">
        <f>EXP(-LN(2)/2)*GN152+(1-EXP(-LN(2)/2))/(LN(2)/2)*GH153*GK153*VLOOKUP('Données projet'!$B$17,Paramètres!$A$1:$I$89,3,0)*0.475*44/12</f>
        <v>0</v>
      </c>
      <c r="GO153" s="23">
        <f t="shared" si="135"/>
        <v>37.529962634615664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5.6843418860808015E-14</v>
      </c>
      <c r="GV153" s="18">
        <f>GU153*VLOOKUP('Données projet'!$B$18,Paramètres!$A$1:$I$89,3,0)*VLOOKUP('Données projet'!$B$18,Paramètres!$A$1:$I$89,5,0)</f>
        <v>3.813056537183002E-14</v>
      </c>
      <c r="GW153" s="14">
        <f t="shared" si="159"/>
        <v>6.4086286045526829E-13</v>
      </c>
      <c r="GX153" s="22">
        <f t="shared" si="136"/>
        <v>1.1825802166488628E-12</v>
      </c>
      <c r="GY153" s="62">
        <f t="shared" si="137"/>
        <v>286.69302227186154</v>
      </c>
      <c r="GZ153" s="62">
        <f ca="1">AVERAGE(OFFSET($GY$3,0,0,'Données projet'!$E$18+1,1))-AVERAGE(OFFSET($H$3,0,0,'Données projet'!$E$18+1,1))</f>
        <v>273.21861937609918</v>
      </c>
      <c r="HA153" s="62">
        <f t="shared" si="160"/>
        <v>268.83004886965318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>
        <f>EXP(-LN(2)/35)*HG152+(1-EXP(-LN(2)/35))/(LN(2)/35)*HC153*HD153*VLOOKUP('Données projet'!$B$18,Paramètres!$A$1:$I$89,3,0)*0.475*44/12</f>
        <v>28.827362603400438</v>
      </c>
      <c r="HH153" s="23">
        <f>EXP(-LN(2)/25)*HH152+(1-EXP(-LN(2)/25))/(LN(2)/25)*Calculateur!HC153*Calculateur!HE153*VLOOKUP('Données projet'!$B$18,Paramètres!$A$1:$I$89,3,0)*0.475*44/12</f>
        <v>0</v>
      </c>
      <c r="HI153" s="23">
        <f>EXP(-LN(2)/2)*HI152+(1-EXP(-LN(2)/2))/(LN(2)/2)*HC153*HF153*VLOOKUP('Données projet'!$B$18,Paramètres!$A$1:$I$89,3,0)*0.475*44/12</f>
        <v>0</v>
      </c>
      <c r="HJ153" s="24">
        <f t="shared" si="138"/>
        <v>28.827362603400438</v>
      </c>
    </row>
    <row r="154" spans="1:218" x14ac:dyDescent="0.4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-3.4705882352941178</v>
      </c>
      <c r="N154" s="14">
        <f>IF('Données projet'!$A$36&gt;35,N153+M154-V153,IF(A154&lt;'Données projet'!$A$36,$K$205^A154,IF(A154='Données projet'!$A$36,'Données projet'!$B$36,N153+M154-V153)))</f>
        <v>282.58823529411762</v>
      </c>
      <c r="O154" s="14">
        <f>N154*VLOOKUP('Données projet'!$B$9,Paramètres!$A$1:$I$89,3,0)*VLOOKUP('Données projet'!$B$9,Paramètres!$A$1:$I$89,5,0)</f>
        <v>255.68583529411762</v>
      </c>
      <c r="P154" s="14">
        <f t="shared" si="141"/>
        <v>61.80187877637033</v>
      </c>
      <c r="Q154" s="22">
        <f t="shared" ref="Q154:Q203" si="162">(O154+P154)*0.475*44/12</f>
        <v>552.95776867276652</v>
      </c>
      <c r="R154" s="62">
        <f t="shared" si="109"/>
        <v>839.76598549603182</v>
      </c>
      <c r="S154" s="62">
        <f ca="1">AVERAGE(OFFSET($R$3,0,0,'Données projet'!$E$9+1,1))-AVERAGE(OFFSET($H$3,0,0,'Données projet'!$E$9+1,1))</f>
        <v>432.80275651765203</v>
      </c>
      <c r="T154" s="62">
        <f t="shared" si="142"/>
        <v>203.89279893419919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35.794469442297618</v>
      </c>
      <c r="AA154" s="23">
        <f>EXP(-LN(2)/25)*AA153+(1-EXP(-LN(2)/25))/(LN(2)/25)*Calculateur!V154*Calculateur!X154*VLOOKUP('Données projet'!$B$9,Paramètres!$A$1:$I$89,3,0)*0.475*44/12</f>
        <v>23.074363601273426</v>
      </c>
      <c r="AB154" s="23">
        <f>EXP(-LN(2)/2)*AB153+(1-EXP(-LN(2)/2))/(LN(2)/2)*V154*Y154*VLOOKUP('Données projet'!$B$9,Paramètres!$A$1:$I$89,3,0)*0.475*44/12</f>
        <v>0</v>
      </c>
      <c r="AC154" s="24">
        <f t="shared" ref="AC154:AC203" si="163">SUM(Z154:AB154)</f>
        <v>58.868833043571044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54.000000000000341</v>
      </c>
      <c r="AJ154" s="14">
        <f>AI154*VLOOKUP('Données projet'!$B$10,Paramètres!$A$1:$I$89,3,0)*VLOOKUP('Données projet'!$B$10,Paramètres!$A$1:$I$89,5,0)</f>
        <v>23.868000000000151</v>
      </c>
      <c r="AK154" s="14">
        <f t="shared" ref="AK154:AK203" si="164">EXP(-1.0587+0.8836*LN(AJ154)+0.284)</f>
        <v>7.6030930962115804</v>
      </c>
      <c r="AL154" s="22">
        <f t="shared" ref="AL154:AL203" si="165">(AJ154+AK154)*0.475*44/12</f>
        <v>54.812153809235433</v>
      </c>
      <c r="AM154" s="62">
        <f t="shared" si="113"/>
        <v>341.62037063250079</v>
      </c>
      <c r="AN154" s="62">
        <f ca="1">AVERAGE(OFFSET($AM$3,0,0,'Données projet'!$E$10+1,1))-AVERAGE(OFFSET($H$3,0,0,'Données projet'!$E$10+1,1))</f>
        <v>413.08876898406481</v>
      </c>
      <c r="AO154" s="62">
        <f t="shared" si="144"/>
        <v>520.31320932826566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45.317529957840797</v>
      </c>
      <c r="AV154" s="23">
        <f>EXP(-LN(2)/25)*AV153+(1-EXP(-LN(2)/25))/(LN(2)/25)*Calculateur!AQ154*Calculateur!AS154*VLOOKUP('Données projet'!$B$10,Paramètres!$A$1:$I$89,3,0)*0.475*44/12</f>
        <v>1.6185736356577913</v>
      </c>
      <c r="AW154" s="23">
        <f>EXP(-LN(2)/2)*AW153+(1-EXP(-LN(2)/2))/(LN(2)/2)*AQ154*AT154*VLOOKUP('Données projet'!$B$10,Paramètres!$A$1:$I$89,3,0)*0.475*44/12</f>
        <v>4.4721110953770643E-16</v>
      </c>
      <c r="AX154" s="23">
        <f t="shared" ref="AX154:AX203" si="166">SUM(AU154:AW154)</f>
        <v>46.936103593498586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54.000000000000341</v>
      </c>
      <c r="BE154" s="14">
        <f>BD154*VLOOKUP('Données projet'!$B$11,Paramètres!$A$1:$I$89,3,0)*VLOOKUP('Données projet'!$B$11,Paramètres!$A$1:$I$89,5,0)</f>
        <v>30.186000000000188</v>
      </c>
      <c r="BF154" s="14">
        <f t="shared" ref="BF154:BF203" si="167">EXP(-1.0587+0.8836*LN(BE154)+0.284)</f>
        <v>9.3563888882899153</v>
      </c>
      <c r="BG154" s="22">
        <f t="shared" ref="BG154:BG203" si="168">(BE154+BF154)*0.475*44/12</f>
        <v>68.869660647105263</v>
      </c>
      <c r="BH154" s="62">
        <f t="shared" si="116"/>
        <v>355.67787747037062</v>
      </c>
      <c r="BI154" s="62">
        <f ca="1">AVERAGE(OFFSET($BH$3,0,0,'Données projet'!$E$11+1,1))-AVERAGE(OFFSET($H$3,0,0,'Données projet'!$E$11+1,1))</f>
        <v>507.66185230065889</v>
      </c>
      <c r="BJ154" s="62">
        <f t="shared" si="146"/>
        <v>640.14375617778342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57.313346711386821</v>
      </c>
      <c r="BQ154" s="23">
        <f>EXP(-LN(2)/25)*BQ153+(1-EXP(-LN(2)/25))/(LN(2)/25)*Calculateur!BL154*Calculateur!BN154*VLOOKUP('Données projet'!$B$11,Paramètres!$A$1:$I$89,3,0)*0.475*44/12</f>
        <v>2.0470195980377968</v>
      </c>
      <c r="BR154" s="23">
        <f>EXP(-LN(2)/2)*BR153+(1-EXP(-LN(2)/2))/(LN(2)/2)*BL154*BO154*VLOOKUP('Données projet'!$B$11,Paramètres!$A$1:$I$89,3,0)*0.475*44/12</f>
        <v>5.6559052088592323E-16</v>
      </c>
      <c r="BS154" s="24">
        <f t="shared" ref="BS154:BS203" si="169">SUM(BP154:BR154)</f>
        <v>59.36036630942462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417.04879970000007</v>
      </c>
      <c r="BZ154" s="14">
        <f>BY154*VLOOKUP('Données projet'!$B$12,Paramètres!$A$1:$I$89,3,0)*VLOOKUP('Données projet'!$B$12,Paramètres!$A$1:$I$89,5,0)</f>
        <v>195.17883825960004</v>
      </c>
      <c r="CA154" s="14">
        <f t="shared" ref="CA154:CA203" si="170">EXP(-1.0587+0.8836*LN(BZ154)+0.284)</f>
        <v>48.683122291673484</v>
      </c>
      <c r="CB154" s="22">
        <f t="shared" ref="CB154:CB203" si="171">(BZ154+CA154)*0.475*44/12</f>
        <v>424.72624796013469</v>
      </c>
      <c r="CC154" s="62">
        <f t="shared" si="119"/>
        <v>711.53446478340004</v>
      </c>
      <c r="CD154" s="62">
        <f ca="1">AVERAGE(OFFSET($CC$3,0,0,'Données projet'!$E$12+1,1))-AVERAGE(OFFSET($H$3,0,0,'Données projet'!$E$12+1,1))</f>
        <v>289.21044803824958</v>
      </c>
      <c r="CE154" s="62">
        <f t="shared" si="148"/>
        <v>196.11836398299445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>
        <f>EXP(-LN(2)/35)*CK153+(1-EXP(-LN(2)/35))/(LN(2)/35)*CG154*CH154*VLOOKUP('Données projet'!$B$12,Paramètres!$A$1:$I$89,3,0)*0.475*44/12</f>
        <v>25.084301685352564</v>
      </c>
      <c r="CL154" s="23">
        <f>EXP(-LN(2)/25)*CL153+(1-EXP(-LN(2)/25))/(LN(2)/25)*Calculateur!CG154*Calculateur!CI154*VLOOKUP('Données projet'!$B$12,Paramètres!$A$1:$I$89,3,0)*0.475*44/12</f>
        <v>7.7956056358972772</v>
      </c>
      <c r="CM154" s="23">
        <f>EXP(-LN(2)/2)*CM153+(1-EXP(-LN(2)/2))/(LN(2)/2)*CG154*CJ154*VLOOKUP('Données projet'!$B$12,Paramètres!$A$1:$I$89,3,0)*0.475*44/12</f>
        <v>0</v>
      </c>
      <c r="CN154" s="24">
        <f t="shared" ref="CN154:CN203" si="172">SUM(CK154:CM154)</f>
        <v>32.879907321249839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-5.6843418860808015E-14</v>
      </c>
      <c r="CU154" s="18">
        <f>CT154*VLOOKUP('Données projet'!$B$13,Paramètres!$A$1:$I$89,3,0)*VLOOKUP('Données projet'!$B$13,Paramètres!$A$1:$I$89,5,0)</f>
        <v>-5.1431925385259088E-14</v>
      </c>
      <c r="CV154" s="14" t="e">
        <f t="shared" ref="CV154:CV203" si="173">EXP(-1.0587+0.8836*LN(CU154)+0.284)</f>
        <v>#NUM!</v>
      </c>
      <c r="CW154" s="22" t="e">
        <f t="shared" ref="CW154:CW203" si="174">(CU154+CV154)*0.475*44/12</f>
        <v>#NUM!</v>
      </c>
      <c r="CX154" s="62" t="e">
        <f t="shared" si="122"/>
        <v>#NUM!</v>
      </c>
      <c r="CY154" s="62">
        <f ca="1">AVERAGE(OFFSET($CX$3,0,0,'Données projet'!$E$13+1,1))-AVERAGE(OFFSET($H$3,0,0,'Données projet'!$E$13+1,1))</f>
        <v>376.68007030857598</v>
      </c>
      <c r="CZ154" s="62">
        <f t="shared" si="150"/>
        <v>532.90758914457626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>
        <f>EXP(-LN(2)/35)*DF153+(1-EXP(-LN(2)/35))/(LN(2)/35)*DB154*DC154*VLOOKUP('Données projet'!$B$13,Paramètres!$A$1:$I$89,3,0)*0.475*44/12</f>
        <v>11.473203772332452</v>
      </c>
      <c r="DG154" s="23">
        <f>EXP(-LN(2)/25)*DG153+(1-EXP(-LN(2)/25))/(LN(2)/25)*Calculateur!DB154*Calculateur!DD154*VLOOKUP('Données projet'!$B$13,Paramètres!$A$1:$I$89,3,0)*0.475*44/12</f>
        <v>0.45739821216036852</v>
      </c>
      <c r="DH154" s="23">
        <f>EXP(-LN(2)/2)*DH153+(1-EXP(-LN(2)/2))/(LN(2)/2)*DB154*DE154*VLOOKUP('Données projet'!$B$13,Paramètres!$A$1:$I$89,3,0)*0.475*44/12</f>
        <v>0</v>
      </c>
      <c r="DI154" s="24">
        <f t="shared" ref="DI154:DI203" si="175">SUM(DF154:DH154)</f>
        <v>11.930601984492821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5.6843418860808015E-14</v>
      </c>
      <c r="DP154" s="18">
        <f>DO154*VLOOKUP('Données projet'!$B$14,Paramètres!$A$1:$I$89,3,0)*VLOOKUP('Données projet'!$B$14,Paramètres!$A$1:$I$89,5,0)</f>
        <v>5.4092197387944907E-14</v>
      </c>
      <c r="DQ154" s="14">
        <f t="shared" ref="DQ154:DQ203" si="176">EXP(-1.0587+0.8836*LN(DP154)+0.284)</f>
        <v>8.7287050538073676E-13</v>
      </c>
      <c r="DR154" s="22">
        <f t="shared" ref="DR154:DR203" si="177">(DP154+DQ154)*0.475*44/12</f>
        <v>1.6144600406554537E-12</v>
      </c>
      <c r="DS154" s="62">
        <f t="shared" si="125"/>
        <v>286.80821682326695</v>
      </c>
      <c r="DT154" s="62">
        <f ca="1">AVERAGE(OFFSET($DS$3,0,0,'Données projet'!$E$14+1,1))-AVERAGE(OFFSET($H$3,0,0,'Données projet'!$E$14+1,1))</f>
        <v>364.63161066507769</v>
      </c>
      <c r="DU154" s="62">
        <f t="shared" si="152"/>
        <v>355.44729904860708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>
        <f>EXP(-LN(2)/35)*EA153+(1-EXP(-LN(2)/35))/(LN(2)/35)*DW154*DX154*VLOOKUP('Données projet'!$B$14,Paramètres!$A$1:$I$89,3,0)*0.475*44/12</f>
        <v>32.528049282035283</v>
      </c>
      <c r="EB154" s="23">
        <f>EXP(-LN(2)/25)*EB153+(1-EXP(-LN(2)/25))/(LN(2)/25)*Calculateur!DW154*Calculateur!DY154*VLOOKUP('Données projet'!$B$14,Paramètres!$A$1:$I$89,3,0)*0.475*44/12</f>
        <v>0</v>
      </c>
      <c r="EC154" s="23">
        <f>EXP(-LN(2)/2)*EC153+(1-EXP(-LN(2)/2))/(LN(2)/2)*DW154*DZ154*VLOOKUP('Données projet'!$B$14,Paramètres!$A$1:$I$89,3,0)*0.475*44/12</f>
        <v>0</v>
      </c>
      <c r="ED154" s="24">
        <f t="shared" ref="ED154:ED203" si="178">SUM(EA154:EC154)</f>
        <v>32.528049282035283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5.6843418860808015E-14</v>
      </c>
      <c r="EK154" s="18">
        <f>EJ154*VLOOKUP('Données projet'!$B$15,Paramètres!$A$1:$I$89,3,0)*VLOOKUP('Données projet'!$B$15,Paramètres!$A$1:$I$89,5,0)</f>
        <v>4.1677594708744434E-14</v>
      </c>
      <c r="EL154" s="14">
        <f t="shared" ref="EL154:EL203" si="179">EXP(-1.0587+0.8836*LN(EK154)+0.284)</f>
        <v>6.9326303456159188E-13</v>
      </c>
      <c r="EM154" s="22">
        <f t="shared" ref="EM154:EM203" si="180">(EK154+EL154)*0.475*44/12</f>
        <v>1.2800215959791691E-12</v>
      </c>
      <c r="EN154" s="62">
        <f t="shared" si="128"/>
        <v>286.80821682326666</v>
      </c>
      <c r="EO154" s="62">
        <f ca="1">AVERAGE(OFFSET($EN$3,0,0,'Données projet'!$E$15+1,1))-AVERAGE(OFFSET($H$3,0,0,'Données projet'!$E$15+1,1))</f>
        <v>293.59366973965774</v>
      </c>
      <c r="EP154" s="62">
        <f t="shared" si="154"/>
        <v>288.13804536120426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>
        <f>EXP(-LN(2)/35)*EV153+(1-EXP(-LN(2)/35))/(LN(2)/35)*ER154*ES154*VLOOKUP('Données projet'!$B$15,Paramètres!$A$1:$I$89,3,0)*0.475*44/12</f>
        <v>25.062595348453403</v>
      </c>
      <c r="EW154" s="23">
        <f>EXP(-LN(2)/25)*EW153+(1-EXP(-LN(2)/25))/(LN(2)/25)*Calculateur!ER154*Calculateur!ET154*VLOOKUP('Données projet'!$B$15,Paramètres!$A$1:$I$89,3,0)*0.475*44/12</f>
        <v>0</v>
      </c>
      <c r="EX154" s="23">
        <f>EXP(-LN(2)/2)*EX153+(1-EXP(-LN(2)/2))/(LN(2)/2)*ER154*EU154*VLOOKUP('Données projet'!$B$15,Paramètres!$A$1:$I$89,3,0)*0.475*44/12</f>
        <v>0</v>
      </c>
      <c r="EY154" s="24">
        <f t="shared" ref="EY154:EY203" si="181">SUM(EV154:EX154)</f>
        <v>25.062595348453403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5.6843418860808015E-14</v>
      </c>
      <c r="FF154" s="18">
        <f>FE154*VLOOKUP('Données projet'!$B$16,Paramètres!$A$1:$I$89,3,0)*VLOOKUP('Données projet'!$B$16,Paramètres!$A$1:$I$89,5,0)</f>
        <v>5.4978954722173515E-14</v>
      </c>
      <c r="FG154" s="14">
        <f t="shared" ref="FG154:FG203" si="182">EXP(-1.0587+0.8836*LN(FF154)+0.284)</f>
        <v>8.8550225887742724E-13</v>
      </c>
      <c r="FH154" s="22">
        <f t="shared" ref="FH154:FH203" si="183">(FF154+FG154)*0.475*44/12</f>
        <v>1.6380047803526383E-12</v>
      </c>
      <c r="FI154" s="62">
        <f t="shared" si="131"/>
        <v>286.808216823267</v>
      </c>
      <c r="FJ154" s="62">
        <f ca="1">AVERAGE(OFFSET($FI$3,0,0,'Données projet'!$E$16+1,1))-AVERAGE(OFFSET($H$3,0,0,'Données projet'!$E$16+1,1))</f>
        <v>369.69145521630799</v>
      </c>
      <c r="FK154" s="62">
        <f t="shared" si="156"/>
        <v>360.24112103688719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>
        <f>EXP(-LN(2)/35)*FQ153+(1-EXP(-LN(2)/35))/(LN(2)/35)*FM154*FN154*VLOOKUP('Données projet'!$B$16,Paramètres!$A$1:$I$89,3,0)*0.475*44/12</f>
        <v>33.061295991576834</v>
      </c>
      <c r="FR154" s="23">
        <f>EXP(-LN(2)/25)*FR153+(1-EXP(-LN(2)/25))/(LN(2)/25)*Calculateur!FM154*Calculateur!FO154*VLOOKUP('Données projet'!$B$16,Paramètres!$A$1:$I$89,3,0)*0.475*44/12</f>
        <v>0</v>
      </c>
      <c r="FS154" s="23">
        <f>EXP(-LN(2)/2)*FS153+(1-EXP(-LN(2)/2))/(LN(2)/2)*FM154*FP154*VLOOKUP('Données projet'!$B$16,Paramètres!$A$1:$I$89,3,0)*0.475*44/12</f>
        <v>0</v>
      </c>
      <c r="FT154" s="24">
        <f t="shared" ref="FT154:FT203" si="184">SUM(FQ154:FS154)</f>
        <v>33.061295991576834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5.6843418860808015E-14</v>
      </c>
      <c r="GA154" s="18">
        <f>FZ154*VLOOKUP('Données projet'!$B$17,Paramètres!$A$1:$I$89,3,0)*VLOOKUP('Données projet'!$B$17,Paramètres!$A$1:$I$89,5,0)</f>
        <v>6.1186256061773749E-14</v>
      </c>
      <c r="GB154" s="14">
        <f t="shared" ref="GB154:GB203" si="185">EXP(-1.0587+0.8836*LN(GA154)+0.284)</f>
        <v>9.7328366192051127E-13</v>
      </c>
      <c r="GC154" s="22">
        <f t="shared" ref="GC154:GC203" si="186">(GA154+GB154)*0.475*44/12</f>
        <v>1.8017017738191463E-12</v>
      </c>
      <c r="GD154" s="62">
        <f t="shared" si="134"/>
        <v>286.80821682326717</v>
      </c>
      <c r="GE154" s="62">
        <f ca="1">AVERAGE(OFFSET($GD$3,0,0,'Données projet'!$E$17+1,1))-AVERAGE(OFFSET($H$3,0,0,'Données projet'!$E$17+1,1))</f>
        <v>405.06394904053946</v>
      </c>
      <c r="GF154" s="62">
        <f t="shared" si="158"/>
        <v>393.75247087518198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>
        <f>EXP(-LN(2)/35)*GL153+(1-EXP(-LN(2)/35))/(LN(2)/35)*GH154*GI154*VLOOKUP('Données projet'!$B$17,Paramètres!$A$1:$I$89,3,0)*0.475*44/12</f>
        <v>36.794022958367755</v>
      </c>
      <c r="GM154" s="23">
        <f>EXP(-LN(2)/25)*GM153+(1-EXP(-LN(2)/25))/(LN(2)/25)*Calculateur!GH154*Calculateur!GJ154*VLOOKUP('Données projet'!$B$17,Paramètres!$A$1:$I$89,3,0)*0.475*44/12</f>
        <v>0</v>
      </c>
      <c r="GN154" s="23">
        <f>EXP(-LN(2)/2)*GN153+(1-EXP(-LN(2)/2))/(LN(2)/2)*GH154*GK154*VLOOKUP('Données projet'!$B$17,Paramètres!$A$1:$I$89,3,0)*0.475*44/12</f>
        <v>0</v>
      </c>
      <c r="GO154" s="23">
        <f t="shared" ref="GO154:GO203" si="187">SUM(GL154:GN154)</f>
        <v>36.794022958367755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5.6843418860808015E-14</v>
      </c>
      <c r="GV154" s="18">
        <f>GU154*VLOOKUP('Données projet'!$B$18,Paramètres!$A$1:$I$89,3,0)*VLOOKUP('Données projet'!$B$18,Paramètres!$A$1:$I$89,5,0)</f>
        <v>3.813056537183002E-14</v>
      </c>
      <c r="GW154" s="14">
        <f t="shared" ref="GW154:GW203" si="188">EXP(-1.0587+0.8836*LN(GV154)+0.284)</f>
        <v>6.4086286045526829E-13</v>
      </c>
      <c r="GX154" s="22">
        <f t="shared" ref="GX154:GX203" si="189">(GV154+GW154)*0.475*44/12</f>
        <v>1.1825802166488628E-12</v>
      </c>
      <c r="GY154" s="62">
        <f t="shared" si="137"/>
        <v>286.80821682326655</v>
      </c>
      <c r="GZ154" s="62">
        <f ca="1">AVERAGE(OFFSET($GY$3,0,0,'Données projet'!$E$18+1,1))-AVERAGE(OFFSET($H$3,0,0,'Données projet'!$E$18+1,1))</f>
        <v>273.21861937609918</v>
      </c>
      <c r="HA154" s="62">
        <f t="shared" si="160"/>
        <v>268.83004886965318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>
        <f>EXP(-LN(2)/35)*HG153+(1-EXP(-LN(2)/35))/(LN(2)/35)*HC154*HD154*VLOOKUP('Données projet'!$B$18,Paramètres!$A$1:$I$89,3,0)*0.475*44/12</f>
        <v>28.262075605702769</v>
      </c>
      <c r="HH154" s="23">
        <f>EXP(-LN(2)/25)*HH153+(1-EXP(-LN(2)/25))/(LN(2)/25)*Calculateur!HC154*Calculateur!HE154*VLOOKUP('Données projet'!$B$18,Paramètres!$A$1:$I$89,3,0)*0.475*44/12</f>
        <v>0</v>
      </c>
      <c r="HI154" s="23">
        <f>EXP(-LN(2)/2)*HI153+(1-EXP(-LN(2)/2))/(LN(2)/2)*HC154*HF154*VLOOKUP('Données projet'!$B$18,Paramètres!$A$1:$I$89,3,0)*0.475*44/12</f>
        <v>0</v>
      </c>
      <c r="HJ154" s="24">
        <f t="shared" ref="HJ154:HJ203" si="190">SUM(HG154:HI154)</f>
        <v>28.262075605702769</v>
      </c>
    </row>
    <row r="155" spans="1:218" x14ac:dyDescent="0.4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-3.4705882352941178</v>
      </c>
      <c r="N155" s="14">
        <f>IF('Données projet'!$A$36&gt;35,N154+M155-V154,IF(A155&lt;'Données projet'!$A$36,$K$205^A155,IF(A155='Données projet'!$A$36,'Données projet'!$B$36,N154+M155-V154)))</f>
        <v>279.11764705882348</v>
      </c>
      <c r="O155" s="14">
        <f>N155*VLOOKUP('Données projet'!$B$9,Paramètres!$A$1:$I$89,3,0)*VLOOKUP('Données projet'!$B$9,Paramètres!$A$1:$I$89,5,0)</f>
        <v>252.54564705882348</v>
      </c>
      <c r="P155" s="14">
        <f t="shared" si="141"/>
        <v>61.130731026017962</v>
      </c>
      <c r="Q155" s="22">
        <f t="shared" si="162"/>
        <v>546.31969183109879</v>
      </c>
      <c r="R155" s="62">
        <f t="shared" si="109"/>
        <v>833.24110483783875</v>
      </c>
      <c r="S155" s="62">
        <f ca="1">AVERAGE(OFFSET($R$3,0,0,'Données projet'!$E$9+1,1))-AVERAGE(OFFSET($H$3,0,0,'Données projet'!$E$9+1,1))</f>
        <v>432.80275651765203</v>
      </c>
      <c r="T155" s="62">
        <f t="shared" si="142"/>
        <v>203.89279893419919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35.092561729004743</v>
      </c>
      <c r="AA155" s="23">
        <f>EXP(-LN(2)/25)*AA154+(1-EXP(-LN(2)/25))/(LN(2)/25)*Calculateur!V155*Calculateur!X155*VLOOKUP('Données projet'!$B$9,Paramètres!$A$1:$I$89,3,0)*0.475*44/12</f>
        <v>22.44339391516856</v>
      </c>
      <c r="AB155" s="23">
        <f>EXP(-LN(2)/2)*AB154+(1-EXP(-LN(2)/2))/(LN(2)/2)*V155*Y155*VLOOKUP('Données projet'!$B$9,Paramètres!$A$1:$I$89,3,0)*0.475*44/12</f>
        <v>0</v>
      </c>
      <c r="AC155" s="24">
        <f t="shared" si="163"/>
        <v>57.535955644173299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54.000000000000341</v>
      </c>
      <c r="AJ155" s="14">
        <f>AI155*VLOOKUP('Données projet'!$B$10,Paramètres!$A$1:$I$89,3,0)*VLOOKUP('Données projet'!$B$10,Paramètres!$A$1:$I$89,5,0)</f>
        <v>23.868000000000151</v>
      </c>
      <c r="AK155" s="14">
        <f t="shared" si="164"/>
        <v>7.6030930962115804</v>
      </c>
      <c r="AL155" s="22">
        <f t="shared" si="165"/>
        <v>54.812153809235433</v>
      </c>
      <c r="AM155" s="62">
        <f t="shared" si="113"/>
        <v>341.73356681597534</v>
      </c>
      <c r="AN155" s="62">
        <f ca="1">AVERAGE(OFFSET($AM$3,0,0,'Données projet'!$E$10+1,1))-AVERAGE(OFFSET($H$3,0,0,'Données projet'!$E$10+1,1))</f>
        <v>413.08876898406481</v>
      </c>
      <c r="AO155" s="62">
        <f t="shared" si="144"/>
        <v>520.31320932826566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44.428880836331494</v>
      </c>
      <c r="AV155" s="23">
        <f>EXP(-LN(2)/25)*AV154+(1-EXP(-LN(2)/25))/(LN(2)/25)*Calculateur!AQ155*Calculateur!AS155*VLOOKUP('Données projet'!$B$10,Paramètres!$A$1:$I$89,3,0)*0.475*44/12</f>
        <v>1.5743136544736409</v>
      </c>
      <c r="AW155" s="23">
        <f>EXP(-LN(2)/2)*AW154+(1-EXP(-LN(2)/2))/(LN(2)/2)*AQ155*AT155*VLOOKUP('Données projet'!$B$10,Paramètres!$A$1:$I$89,3,0)*0.475*44/12</f>
        <v>3.1622600817607213E-16</v>
      </c>
      <c r="AX155" s="23">
        <f t="shared" si="166"/>
        <v>46.003194490805136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54.000000000000341</v>
      </c>
      <c r="BE155" s="14">
        <f>BD155*VLOOKUP('Données projet'!$B$11,Paramètres!$A$1:$I$89,3,0)*VLOOKUP('Données projet'!$B$11,Paramètres!$A$1:$I$89,5,0)</f>
        <v>30.186000000000188</v>
      </c>
      <c r="BF155" s="14">
        <f t="shared" si="167"/>
        <v>9.3563888882899153</v>
      </c>
      <c r="BG155" s="22">
        <f t="shared" si="168"/>
        <v>68.869660647105263</v>
      </c>
      <c r="BH155" s="62">
        <f t="shared" si="116"/>
        <v>355.79107365384516</v>
      </c>
      <c r="BI155" s="62">
        <f ca="1">AVERAGE(OFFSET($BH$3,0,0,'Données projet'!$E$11+1,1))-AVERAGE(OFFSET($H$3,0,0,'Données projet'!$E$11+1,1))</f>
        <v>507.66185230065889</v>
      </c>
      <c r="BJ155" s="62">
        <f t="shared" si="146"/>
        <v>640.14375617778342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56.189466940066232</v>
      </c>
      <c r="BQ155" s="23">
        <f>EXP(-LN(2)/25)*BQ154+(1-EXP(-LN(2)/25))/(LN(2)/25)*Calculateur!BL155*Calculateur!BN155*VLOOKUP('Données projet'!$B$11,Paramètres!$A$1:$I$89,3,0)*0.475*44/12</f>
        <v>1.9910437394813711</v>
      </c>
      <c r="BR155" s="23">
        <f>EXP(-LN(2)/2)*BR154+(1-EXP(-LN(2)/2))/(LN(2)/2)*BL155*BO155*VLOOKUP('Données projet'!$B$11,Paramètres!$A$1:$I$89,3,0)*0.475*44/12</f>
        <v>3.9993289269326796E-16</v>
      </c>
      <c r="BS155" s="24">
        <f t="shared" si="169"/>
        <v>58.180510679547602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417.04879970000007</v>
      </c>
      <c r="BZ155" s="14">
        <f>BY155*VLOOKUP('Données projet'!$B$12,Paramètres!$A$1:$I$89,3,0)*VLOOKUP('Données projet'!$B$12,Paramètres!$A$1:$I$89,5,0)</f>
        <v>195.17883825960004</v>
      </c>
      <c r="CA155" s="14">
        <f t="shared" si="170"/>
        <v>48.683122291673484</v>
      </c>
      <c r="CB155" s="22">
        <f t="shared" si="171"/>
        <v>424.72624796013469</v>
      </c>
      <c r="CC155" s="62">
        <f t="shared" si="119"/>
        <v>711.64766096687458</v>
      </c>
      <c r="CD155" s="62">
        <f ca="1">AVERAGE(OFFSET($CC$3,0,0,'Données projet'!$E$12+1,1))-AVERAGE(OFFSET($H$3,0,0,'Données projet'!$E$12+1,1))</f>
        <v>289.21044803824958</v>
      </c>
      <c r="CE155" s="62">
        <f t="shared" si="148"/>
        <v>196.11836398299445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>
        <f>EXP(-LN(2)/35)*CK154+(1-EXP(-LN(2)/35))/(LN(2)/35)*CG155*CH155*VLOOKUP('Données projet'!$B$12,Paramètres!$A$1:$I$89,3,0)*0.475*44/12</f>
        <v>24.592413829216088</v>
      </c>
      <c r="CL155" s="23">
        <f>EXP(-LN(2)/25)*CL154+(1-EXP(-LN(2)/25))/(LN(2)/25)*Calculateur!CG155*Calculateur!CI155*VLOOKUP('Données projet'!$B$12,Paramètres!$A$1:$I$89,3,0)*0.475*44/12</f>
        <v>7.582434389830583</v>
      </c>
      <c r="CM155" s="23">
        <f>EXP(-LN(2)/2)*CM154+(1-EXP(-LN(2)/2))/(LN(2)/2)*CG155*CJ155*VLOOKUP('Données projet'!$B$12,Paramètres!$A$1:$I$89,3,0)*0.475*44/12</f>
        <v>0</v>
      </c>
      <c r="CN155" s="24">
        <f t="shared" si="172"/>
        <v>32.174848219046673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-5.6843418860808015E-14</v>
      </c>
      <c r="CU155" s="18">
        <f>CT155*VLOOKUP('Données projet'!$B$13,Paramètres!$A$1:$I$89,3,0)*VLOOKUP('Données projet'!$B$13,Paramètres!$A$1:$I$89,5,0)</f>
        <v>-5.1431925385259088E-14</v>
      </c>
      <c r="CV155" s="14" t="e">
        <f t="shared" si="173"/>
        <v>#NUM!</v>
      </c>
      <c r="CW155" s="22" t="e">
        <f t="shared" si="174"/>
        <v>#NUM!</v>
      </c>
      <c r="CX155" s="62" t="e">
        <f t="shared" si="122"/>
        <v>#NUM!</v>
      </c>
      <c r="CY155" s="62">
        <f ca="1">AVERAGE(OFFSET($CX$3,0,0,'Données projet'!$E$13+1,1))-AVERAGE(OFFSET($H$3,0,0,'Données projet'!$E$13+1,1))</f>
        <v>376.68007030857598</v>
      </c>
      <c r="CZ155" s="62">
        <f t="shared" si="150"/>
        <v>532.90758914457626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>
        <f>EXP(-LN(2)/35)*DF154+(1-EXP(-LN(2)/35))/(LN(2)/35)*DB155*DC155*VLOOKUP('Données projet'!$B$13,Paramètres!$A$1:$I$89,3,0)*0.475*44/12</f>
        <v>11.248221244320323</v>
      </c>
      <c r="DG155" s="23">
        <f>EXP(-LN(2)/25)*DG154+(1-EXP(-LN(2)/25))/(LN(2)/25)*Calculateur!DB155*Calculateur!DD155*VLOOKUP('Données projet'!$B$13,Paramètres!$A$1:$I$89,3,0)*0.475*44/12</f>
        <v>0.44489063399531664</v>
      </c>
      <c r="DH155" s="23">
        <f>EXP(-LN(2)/2)*DH154+(1-EXP(-LN(2)/2))/(LN(2)/2)*DB155*DE155*VLOOKUP('Données projet'!$B$13,Paramètres!$A$1:$I$89,3,0)*0.475*44/12</f>
        <v>0</v>
      </c>
      <c r="DI155" s="24">
        <f t="shared" si="175"/>
        <v>11.693111878315639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5.6843418860808015E-14</v>
      </c>
      <c r="DP155" s="18">
        <f>DO155*VLOOKUP('Données projet'!$B$14,Paramètres!$A$1:$I$89,3,0)*VLOOKUP('Données projet'!$B$14,Paramètres!$A$1:$I$89,5,0)</f>
        <v>5.4092197387944907E-14</v>
      </c>
      <c r="DQ155" s="14">
        <f t="shared" si="176"/>
        <v>8.7287050538073676E-13</v>
      </c>
      <c r="DR155" s="22">
        <f t="shared" si="177"/>
        <v>1.6144600406554537E-12</v>
      </c>
      <c r="DS155" s="62">
        <f t="shared" si="125"/>
        <v>286.92141300674149</v>
      </c>
      <c r="DT155" s="62">
        <f ca="1">AVERAGE(OFFSET($DS$3,0,0,'Données projet'!$E$14+1,1))-AVERAGE(OFFSET($H$3,0,0,'Données projet'!$E$14+1,1))</f>
        <v>364.63161066507769</v>
      </c>
      <c r="DU155" s="62">
        <f t="shared" si="152"/>
        <v>355.44729904860708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>
        <f>EXP(-LN(2)/35)*EA154+(1-EXP(-LN(2)/35))/(LN(2)/35)*DW155*DX155*VLOOKUP('Données projet'!$B$14,Paramètres!$A$1:$I$89,3,0)*0.475*44/12</f>
        <v>31.890194075765582</v>
      </c>
      <c r="EB155" s="23">
        <f>EXP(-LN(2)/25)*EB154+(1-EXP(-LN(2)/25))/(LN(2)/25)*Calculateur!DW155*Calculateur!DY155*VLOOKUP('Données projet'!$B$14,Paramètres!$A$1:$I$89,3,0)*0.475*44/12</f>
        <v>0</v>
      </c>
      <c r="EC155" s="23">
        <f>EXP(-LN(2)/2)*EC154+(1-EXP(-LN(2)/2))/(LN(2)/2)*DW155*DZ155*VLOOKUP('Données projet'!$B$14,Paramètres!$A$1:$I$89,3,0)*0.475*44/12</f>
        <v>0</v>
      </c>
      <c r="ED155" s="24">
        <f t="shared" si="178"/>
        <v>31.890194075765582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5.6843418860808015E-14</v>
      </c>
      <c r="EK155" s="18">
        <f>EJ155*VLOOKUP('Données projet'!$B$15,Paramètres!$A$1:$I$89,3,0)*VLOOKUP('Données projet'!$B$15,Paramètres!$A$1:$I$89,5,0)</f>
        <v>4.1677594708744434E-14</v>
      </c>
      <c r="EL155" s="14">
        <f t="shared" si="179"/>
        <v>6.9326303456159188E-13</v>
      </c>
      <c r="EM155" s="22">
        <f t="shared" si="180"/>
        <v>1.2800215959791691E-12</v>
      </c>
      <c r="EN155" s="62">
        <f t="shared" si="128"/>
        <v>286.9214130067412</v>
      </c>
      <c r="EO155" s="62">
        <f ca="1">AVERAGE(OFFSET($EN$3,0,0,'Données projet'!$E$15+1,1))-AVERAGE(OFFSET($H$3,0,0,'Données projet'!$E$15+1,1))</f>
        <v>293.59366973965774</v>
      </c>
      <c r="EP155" s="62">
        <f t="shared" si="154"/>
        <v>288.13804536120426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>
        <f>EXP(-LN(2)/35)*EV154+(1-EXP(-LN(2)/35))/(LN(2)/35)*ER155*ES155*VLOOKUP('Données projet'!$B$15,Paramètres!$A$1:$I$89,3,0)*0.475*44/12</f>
        <v>24.57113314034396</v>
      </c>
      <c r="EW155" s="23">
        <f>EXP(-LN(2)/25)*EW154+(1-EXP(-LN(2)/25))/(LN(2)/25)*Calculateur!ER155*Calculateur!ET155*VLOOKUP('Données projet'!$B$15,Paramètres!$A$1:$I$89,3,0)*0.475*44/12</f>
        <v>0</v>
      </c>
      <c r="EX155" s="23">
        <f>EXP(-LN(2)/2)*EX154+(1-EXP(-LN(2)/2))/(LN(2)/2)*ER155*EU155*VLOOKUP('Données projet'!$B$15,Paramètres!$A$1:$I$89,3,0)*0.475*44/12</f>
        <v>0</v>
      </c>
      <c r="EY155" s="24">
        <f t="shared" si="181"/>
        <v>24.57113314034396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5.6843418860808015E-14</v>
      </c>
      <c r="FF155" s="18">
        <f>FE155*VLOOKUP('Données projet'!$B$16,Paramètres!$A$1:$I$89,3,0)*VLOOKUP('Données projet'!$B$16,Paramètres!$A$1:$I$89,5,0)</f>
        <v>5.4978954722173515E-14</v>
      </c>
      <c r="FG155" s="14">
        <f t="shared" si="182"/>
        <v>8.8550225887742724E-13</v>
      </c>
      <c r="FH155" s="22">
        <f t="shared" si="183"/>
        <v>1.6380047803526383E-12</v>
      </c>
      <c r="FI155" s="62">
        <f t="shared" si="131"/>
        <v>286.92141300674155</v>
      </c>
      <c r="FJ155" s="62">
        <f ca="1">AVERAGE(OFFSET($FI$3,0,0,'Données projet'!$E$16+1,1))-AVERAGE(OFFSET($H$3,0,0,'Données projet'!$E$16+1,1))</f>
        <v>369.69145521630799</v>
      </c>
      <c r="FK155" s="62">
        <f t="shared" si="156"/>
        <v>360.24112103688719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>
        <f>EXP(-LN(2)/35)*FQ154+(1-EXP(-LN(2)/35))/(LN(2)/35)*FM155*FN155*VLOOKUP('Données projet'!$B$16,Paramètres!$A$1:$I$89,3,0)*0.475*44/12</f>
        <v>32.412984142581401</v>
      </c>
      <c r="FR155" s="23">
        <f>EXP(-LN(2)/25)*FR154+(1-EXP(-LN(2)/25))/(LN(2)/25)*Calculateur!FM155*Calculateur!FO155*VLOOKUP('Données projet'!$B$16,Paramètres!$A$1:$I$89,3,0)*0.475*44/12</f>
        <v>0</v>
      </c>
      <c r="FS155" s="23">
        <f>EXP(-LN(2)/2)*FS154+(1-EXP(-LN(2)/2))/(LN(2)/2)*FM155*FP155*VLOOKUP('Données projet'!$B$16,Paramètres!$A$1:$I$89,3,0)*0.475*44/12</f>
        <v>0</v>
      </c>
      <c r="FT155" s="24">
        <f t="shared" si="184"/>
        <v>32.412984142581401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5.6843418860808015E-14</v>
      </c>
      <c r="GA155" s="18">
        <f>FZ155*VLOOKUP('Données projet'!$B$17,Paramètres!$A$1:$I$89,3,0)*VLOOKUP('Données projet'!$B$17,Paramètres!$A$1:$I$89,5,0)</f>
        <v>6.1186256061773749E-14</v>
      </c>
      <c r="GB155" s="14">
        <f t="shared" si="185"/>
        <v>9.7328366192051127E-13</v>
      </c>
      <c r="GC155" s="22">
        <f t="shared" si="186"/>
        <v>1.8017017738191463E-12</v>
      </c>
      <c r="GD155" s="62">
        <f t="shared" si="134"/>
        <v>286.92141300674172</v>
      </c>
      <c r="GE155" s="62">
        <f ca="1">AVERAGE(OFFSET($GD$3,0,0,'Données projet'!$E$17+1,1))-AVERAGE(OFFSET($H$3,0,0,'Données projet'!$E$17+1,1))</f>
        <v>405.06394904053946</v>
      </c>
      <c r="GF155" s="62">
        <f t="shared" si="158"/>
        <v>393.75247087518198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>
        <f>EXP(-LN(2)/35)*GL154+(1-EXP(-LN(2)/35))/(LN(2)/35)*GH155*GI155*VLOOKUP('Données projet'!$B$17,Paramètres!$A$1:$I$89,3,0)*0.475*44/12</f>
        <v>36.072514610292188</v>
      </c>
      <c r="GM155" s="23">
        <f>EXP(-LN(2)/25)*GM154+(1-EXP(-LN(2)/25))/(LN(2)/25)*Calculateur!GH155*Calculateur!GJ155*VLOOKUP('Données projet'!$B$17,Paramètres!$A$1:$I$89,3,0)*0.475*44/12</f>
        <v>0</v>
      </c>
      <c r="GN155" s="23">
        <f>EXP(-LN(2)/2)*GN154+(1-EXP(-LN(2)/2))/(LN(2)/2)*GH155*GK155*VLOOKUP('Données projet'!$B$17,Paramètres!$A$1:$I$89,3,0)*0.475*44/12</f>
        <v>0</v>
      </c>
      <c r="GO155" s="23">
        <f t="shared" si="187"/>
        <v>36.072514610292188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5.6843418860808015E-14</v>
      </c>
      <c r="GV155" s="18">
        <f>GU155*VLOOKUP('Données projet'!$B$18,Paramètres!$A$1:$I$89,3,0)*VLOOKUP('Données projet'!$B$18,Paramètres!$A$1:$I$89,5,0)</f>
        <v>3.813056537183002E-14</v>
      </c>
      <c r="GW155" s="14">
        <f t="shared" si="188"/>
        <v>6.4086286045526829E-13</v>
      </c>
      <c r="GX155" s="22">
        <f t="shared" si="189"/>
        <v>1.1825802166488628E-12</v>
      </c>
      <c r="GY155" s="62">
        <f t="shared" si="137"/>
        <v>286.92141300674109</v>
      </c>
      <c r="GZ155" s="62">
        <f ca="1">AVERAGE(OFFSET($GY$3,0,0,'Données projet'!$E$18+1,1))-AVERAGE(OFFSET($H$3,0,0,'Données projet'!$E$18+1,1))</f>
        <v>273.21861937609918</v>
      </c>
      <c r="HA155" s="62">
        <f t="shared" si="160"/>
        <v>268.83004886965318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>
        <f>EXP(-LN(2)/35)*HG154+(1-EXP(-LN(2)/35))/(LN(2)/35)*HC155*HD155*VLOOKUP('Données projet'!$B$18,Paramètres!$A$1:$I$89,3,0)*0.475*44/12</f>
        <v>27.707873541238929</v>
      </c>
      <c r="HH155" s="23">
        <f>EXP(-LN(2)/25)*HH154+(1-EXP(-LN(2)/25))/(LN(2)/25)*Calculateur!HC155*Calculateur!HE155*VLOOKUP('Données projet'!$B$18,Paramètres!$A$1:$I$89,3,0)*0.475*44/12</f>
        <v>0</v>
      </c>
      <c r="HI155" s="23">
        <f>EXP(-LN(2)/2)*HI154+(1-EXP(-LN(2)/2))/(LN(2)/2)*HC155*HF155*VLOOKUP('Données projet'!$B$18,Paramètres!$A$1:$I$89,3,0)*0.475*44/12</f>
        <v>0</v>
      </c>
      <c r="HJ155" s="24">
        <f t="shared" si="190"/>
        <v>27.707873541238929</v>
      </c>
    </row>
    <row r="156" spans="1:218" x14ac:dyDescent="0.4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-3.4705882352941178</v>
      </c>
      <c r="N156" s="14">
        <f>IF('Données projet'!$A$36&gt;35,N155+M156-V155,IF(A156&lt;'Données projet'!$A$36,$K$205^A156,IF(A156='Données projet'!$A$36,'Données projet'!$B$36,N155+M156-V155)))</f>
        <v>275.64705882352933</v>
      </c>
      <c r="O156" s="14">
        <f>N156*VLOOKUP('Données projet'!$B$9,Paramètres!$A$1:$I$89,3,0)*VLOOKUP('Données projet'!$B$9,Paramètres!$A$1:$I$89,5,0)</f>
        <v>249.40545882352933</v>
      </c>
      <c r="P156" s="14">
        <f t="shared" si="141"/>
        <v>60.458611170864842</v>
      </c>
      <c r="Q156" s="22">
        <f t="shared" si="162"/>
        <v>539.67992190690325</v>
      </c>
      <c r="R156" s="62">
        <f t="shared" si="109"/>
        <v>826.7125673964033</v>
      </c>
      <c r="S156" s="62">
        <f ca="1">AVERAGE(OFFSET($R$3,0,0,'Données projet'!$E$9+1,1))-AVERAGE(OFFSET($H$3,0,0,'Données projet'!$E$9+1,1))</f>
        <v>432.80275651765203</v>
      </c>
      <c r="T156" s="62">
        <f t="shared" si="142"/>
        <v>203.89279893419919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34.404417997848114</v>
      </c>
      <c r="AA156" s="23">
        <f>EXP(-LN(2)/25)*AA155+(1-EXP(-LN(2)/25))/(LN(2)/25)*Calculateur!V156*Calculateur!X156*VLOOKUP('Données projet'!$B$9,Paramètres!$A$1:$I$89,3,0)*0.475*44/12</f>
        <v>21.829678128311485</v>
      </c>
      <c r="AB156" s="23">
        <f>EXP(-LN(2)/2)*AB155+(1-EXP(-LN(2)/2))/(LN(2)/2)*V156*Y156*VLOOKUP('Données projet'!$B$9,Paramètres!$A$1:$I$89,3,0)*0.475*44/12</f>
        <v>0</v>
      </c>
      <c r="AC156" s="24">
        <f t="shared" si="163"/>
        <v>56.234096126159599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54.000000000000341</v>
      </c>
      <c r="AJ156" s="14">
        <f>AI156*VLOOKUP('Données projet'!$B$10,Paramètres!$A$1:$I$89,3,0)*VLOOKUP('Données projet'!$B$10,Paramètres!$A$1:$I$89,5,0)</f>
        <v>23.868000000000151</v>
      </c>
      <c r="AK156" s="14">
        <f t="shared" si="164"/>
        <v>7.6030930962115804</v>
      </c>
      <c r="AL156" s="22">
        <f t="shared" si="165"/>
        <v>54.812153809235433</v>
      </c>
      <c r="AM156" s="62">
        <f t="shared" si="113"/>
        <v>341.84479929873544</v>
      </c>
      <c r="AN156" s="62">
        <f ca="1">AVERAGE(OFFSET($AM$3,0,0,'Données projet'!$E$10+1,1))-AVERAGE(OFFSET($H$3,0,0,'Données projet'!$E$10+1,1))</f>
        <v>413.08876898406481</v>
      </c>
      <c r="AO156" s="62">
        <f t="shared" si="144"/>
        <v>520.31320932826566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43.557657582072544</v>
      </c>
      <c r="AV156" s="23">
        <f>EXP(-LN(2)/25)*AV155+(1-EXP(-LN(2)/25))/(LN(2)/25)*Calculateur!AQ156*Calculateur!AS156*VLOOKUP('Données projet'!$B$10,Paramètres!$A$1:$I$89,3,0)*0.475*44/12</f>
        <v>1.5312639648025022</v>
      </c>
      <c r="AW156" s="23">
        <f>EXP(-LN(2)/2)*AW155+(1-EXP(-LN(2)/2))/(LN(2)/2)*AQ156*AT156*VLOOKUP('Données projet'!$B$10,Paramètres!$A$1:$I$89,3,0)*0.475*44/12</f>
        <v>2.2360555476885321E-16</v>
      </c>
      <c r="AX156" s="23">
        <f t="shared" si="166"/>
        <v>45.088921546875049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54.000000000000341</v>
      </c>
      <c r="BE156" s="14">
        <f>BD156*VLOOKUP('Données projet'!$B$11,Paramètres!$A$1:$I$89,3,0)*VLOOKUP('Données projet'!$B$11,Paramètres!$A$1:$I$89,5,0)</f>
        <v>30.186000000000188</v>
      </c>
      <c r="BF156" s="14">
        <f t="shared" si="167"/>
        <v>9.3563888882899153</v>
      </c>
      <c r="BG156" s="22">
        <f t="shared" si="168"/>
        <v>68.869660647105263</v>
      </c>
      <c r="BH156" s="62">
        <f t="shared" si="116"/>
        <v>355.90230613660526</v>
      </c>
      <c r="BI156" s="62">
        <f ca="1">AVERAGE(OFFSET($BH$3,0,0,'Données projet'!$E$11+1,1))-AVERAGE(OFFSET($H$3,0,0,'Données projet'!$E$11+1,1))</f>
        <v>507.66185230065889</v>
      </c>
      <c r="BJ156" s="62">
        <f t="shared" si="146"/>
        <v>640.14375617778342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55.087625765562272</v>
      </c>
      <c r="BQ156" s="23">
        <f>EXP(-LN(2)/25)*BQ155+(1-EXP(-LN(2)/25))/(LN(2)/25)*Calculateur!BL156*Calculateur!BN156*VLOOKUP('Données projet'!$B$11,Paramètres!$A$1:$I$89,3,0)*0.475*44/12</f>
        <v>1.9365985437208133</v>
      </c>
      <c r="BR156" s="23">
        <f>EXP(-LN(2)/2)*BR155+(1-EXP(-LN(2)/2))/(LN(2)/2)*BL156*BO156*VLOOKUP('Données projet'!$B$11,Paramètres!$A$1:$I$89,3,0)*0.475*44/12</f>
        <v>2.8279526044296161E-16</v>
      </c>
      <c r="BS156" s="24">
        <f t="shared" si="169"/>
        <v>57.024224309283085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417.04879970000007</v>
      </c>
      <c r="BZ156" s="14">
        <f>BY156*VLOOKUP('Données projet'!$B$12,Paramètres!$A$1:$I$89,3,0)*VLOOKUP('Données projet'!$B$12,Paramètres!$A$1:$I$89,5,0)</f>
        <v>195.17883825960004</v>
      </c>
      <c r="CA156" s="14">
        <f t="shared" si="170"/>
        <v>48.683122291673484</v>
      </c>
      <c r="CB156" s="22">
        <f t="shared" si="171"/>
        <v>424.72624796013469</v>
      </c>
      <c r="CC156" s="62">
        <f t="shared" si="119"/>
        <v>711.75889344963468</v>
      </c>
      <c r="CD156" s="62">
        <f ca="1">AVERAGE(OFFSET($CC$3,0,0,'Données projet'!$E$12+1,1))-AVERAGE(OFFSET($H$3,0,0,'Données projet'!$E$12+1,1))</f>
        <v>289.21044803824958</v>
      </c>
      <c r="CE156" s="62">
        <f t="shared" si="148"/>
        <v>196.11836398299445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>
        <f>EXP(-LN(2)/35)*CK155+(1-EXP(-LN(2)/35))/(LN(2)/35)*CG156*CH156*VLOOKUP('Données projet'!$B$12,Paramètres!$A$1:$I$89,3,0)*0.475*44/12</f>
        <v>24.11017159391648</v>
      </c>
      <c r="CL156" s="23">
        <f>EXP(-LN(2)/25)*CL155+(1-EXP(-LN(2)/25))/(LN(2)/25)*Calculateur!CG156*Calculateur!CI156*VLOOKUP('Données projet'!$B$12,Paramètres!$A$1:$I$89,3,0)*0.475*44/12</f>
        <v>7.3750923226977712</v>
      </c>
      <c r="CM156" s="23">
        <f>EXP(-LN(2)/2)*CM155+(1-EXP(-LN(2)/2))/(LN(2)/2)*CG156*CJ156*VLOOKUP('Données projet'!$B$12,Paramètres!$A$1:$I$89,3,0)*0.475*44/12</f>
        <v>0</v>
      </c>
      <c r="CN156" s="24">
        <f t="shared" si="172"/>
        <v>31.485263916614251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-5.6843418860808015E-14</v>
      </c>
      <c r="CU156" s="18">
        <f>CT156*VLOOKUP('Données projet'!$B$13,Paramètres!$A$1:$I$89,3,0)*VLOOKUP('Données projet'!$B$13,Paramètres!$A$1:$I$89,5,0)</f>
        <v>-5.1431925385259088E-14</v>
      </c>
      <c r="CV156" s="14" t="e">
        <f t="shared" si="173"/>
        <v>#NUM!</v>
      </c>
      <c r="CW156" s="22" t="e">
        <f t="shared" si="174"/>
        <v>#NUM!</v>
      </c>
      <c r="CX156" s="62" t="e">
        <f t="shared" si="122"/>
        <v>#NUM!</v>
      </c>
      <c r="CY156" s="62">
        <f ca="1">AVERAGE(OFFSET($CX$3,0,0,'Données projet'!$E$13+1,1))-AVERAGE(OFFSET($H$3,0,0,'Données projet'!$E$13+1,1))</f>
        <v>376.68007030857598</v>
      </c>
      <c r="CZ156" s="62">
        <f t="shared" si="150"/>
        <v>532.90758914457626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>
        <f>EXP(-LN(2)/35)*DF155+(1-EXP(-LN(2)/35))/(LN(2)/35)*DB156*DC156*VLOOKUP('Données projet'!$B$13,Paramètres!$A$1:$I$89,3,0)*0.475*44/12</f>
        <v>11.02765048645672</v>
      </c>
      <c r="DG156" s="23">
        <f>EXP(-LN(2)/25)*DG155+(1-EXP(-LN(2)/25))/(LN(2)/25)*Calculateur!DB156*Calculateur!DD156*VLOOKUP('Données projet'!$B$13,Paramètres!$A$1:$I$89,3,0)*0.475*44/12</f>
        <v>0.4327250762129331</v>
      </c>
      <c r="DH156" s="23">
        <f>EXP(-LN(2)/2)*DH155+(1-EXP(-LN(2)/2))/(LN(2)/2)*DB156*DE156*VLOOKUP('Données projet'!$B$13,Paramètres!$A$1:$I$89,3,0)*0.475*44/12</f>
        <v>0</v>
      </c>
      <c r="DI156" s="24">
        <f t="shared" si="175"/>
        <v>11.460375562669652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5.6843418860808015E-14</v>
      </c>
      <c r="DP156" s="18">
        <f>DO156*VLOOKUP('Données projet'!$B$14,Paramètres!$A$1:$I$89,3,0)*VLOOKUP('Données projet'!$B$14,Paramètres!$A$1:$I$89,5,0)</f>
        <v>5.4092197387944907E-14</v>
      </c>
      <c r="DQ156" s="14">
        <f t="shared" si="176"/>
        <v>8.7287050538073676E-13</v>
      </c>
      <c r="DR156" s="22">
        <f t="shared" si="177"/>
        <v>1.6144600406554537E-12</v>
      </c>
      <c r="DS156" s="62">
        <f t="shared" si="125"/>
        <v>287.03264548950159</v>
      </c>
      <c r="DT156" s="62">
        <f ca="1">AVERAGE(OFFSET($DS$3,0,0,'Données projet'!$E$14+1,1))-AVERAGE(OFFSET($H$3,0,0,'Données projet'!$E$14+1,1))</f>
        <v>364.63161066507769</v>
      </c>
      <c r="DU156" s="62">
        <f t="shared" si="152"/>
        <v>355.44729904860708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>
        <f>EXP(-LN(2)/35)*EA155+(1-EXP(-LN(2)/35))/(LN(2)/35)*DW156*DX156*VLOOKUP('Données projet'!$B$14,Paramètres!$A$1:$I$89,3,0)*0.475*44/12</f>
        <v>31.264846821037569</v>
      </c>
      <c r="EB156" s="23">
        <f>EXP(-LN(2)/25)*EB155+(1-EXP(-LN(2)/25))/(LN(2)/25)*Calculateur!DW156*Calculateur!DY156*VLOOKUP('Données projet'!$B$14,Paramètres!$A$1:$I$89,3,0)*0.475*44/12</f>
        <v>0</v>
      </c>
      <c r="EC156" s="23">
        <f>EXP(-LN(2)/2)*EC155+(1-EXP(-LN(2)/2))/(LN(2)/2)*DW156*DZ156*VLOOKUP('Données projet'!$B$14,Paramètres!$A$1:$I$89,3,0)*0.475*44/12</f>
        <v>0</v>
      </c>
      <c r="ED156" s="24">
        <f t="shared" si="178"/>
        <v>31.264846821037569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5.6843418860808015E-14</v>
      </c>
      <c r="EK156" s="18">
        <f>EJ156*VLOOKUP('Données projet'!$B$15,Paramètres!$A$1:$I$89,3,0)*VLOOKUP('Données projet'!$B$15,Paramètres!$A$1:$I$89,5,0)</f>
        <v>4.1677594708744434E-14</v>
      </c>
      <c r="EL156" s="14">
        <f t="shared" si="179"/>
        <v>6.9326303456159188E-13</v>
      </c>
      <c r="EM156" s="22">
        <f t="shared" si="180"/>
        <v>1.2800215959791691E-12</v>
      </c>
      <c r="EN156" s="62">
        <f t="shared" si="128"/>
        <v>287.03264548950131</v>
      </c>
      <c r="EO156" s="62">
        <f ca="1">AVERAGE(OFFSET($EN$3,0,0,'Données projet'!$E$15+1,1))-AVERAGE(OFFSET($H$3,0,0,'Données projet'!$E$15+1,1))</f>
        <v>293.59366973965774</v>
      </c>
      <c r="EP156" s="62">
        <f t="shared" si="154"/>
        <v>288.13804536120426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>
        <f>EXP(-LN(2)/35)*EV155+(1-EXP(-LN(2)/35))/(LN(2)/35)*ER156*ES156*VLOOKUP('Données projet'!$B$15,Paramètres!$A$1:$I$89,3,0)*0.475*44/12</f>
        <v>24.089308206373197</v>
      </c>
      <c r="EW156" s="23">
        <f>EXP(-LN(2)/25)*EW155+(1-EXP(-LN(2)/25))/(LN(2)/25)*Calculateur!ER156*Calculateur!ET156*VLOOKUP('Données projet'!$B$15,Paramètres!$A$1:$I$89,3,0)*0.475*44/12</f>
        <v>0</v>
      </c>
      <c r="EX156" s="23">
        <f>EXP(-LN(2)/2)*EX155+(1-EXP(-LN(2)/2))/(LN(2)/2)*ER156*EU156*VLOOKUP('Données projet'!$B$15,Paramètres!$A$1:$I$89,3,0)*0.475*44/12</f>
        <v>0</v>
      </c>
      <c r="EY156" s="24">
        <f t="shared" si="181"/>
        <v>24.089308206373197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5.6843418860808015E-14</v>
      </c>
      <c r="FF156" s="18">
        <f>FE156*VLOOKUP('Données projet'!$B$16,Paramètres!$A$1:$I$89,3,0)*VLOOKUP('Données projet'!$B$16,Paramètres!$A$1:$I$89,5,0)</f>
        <v>5.4978954722173515E-14</v>
      </c>
      <c r="FG156" s="14">
        <f t="shared" si="182"/>
        <v>8.8550225887742724E-13</v>
      </c>
      <c r="FH156" s="22">
        <f t="shared" si="183"/>
        <v>1.6380047803526383E-12</v>
      </c>
      <c r="FI156" s="62">
        <f t="shared" si="131"/>
        <v>287.03264548950165</v>
      </c>
      <c r="FJ156" s="62">
        <f ca="1">AVERAGE(OFFSET($FI$3,0,0,'Données projet'!$E$16+1,1))-AVERAGE(OFFSET($H$3,0,0,'Données projet'!$E$16+1,1))</f>
        <v>369.69145521630799</v>
      </c>
      <c r="FK156" s="62">
        <f t="shared" si="156"/>
        <v>360.24112103688719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>
        <f>EXP(-LN(2)/35)*FQ155+(1-EXP(-LN(2)/35))/(LN(2)/35)*FM156*FN156*VLOOKUP('Données projet'!$B$16,Paramètres!$A$1:$I$89,3,0)*0.475*44/12</f>
        <v>31.777385293513586</v>
      </c>
      <c r="FR156" s="23">
        <f>EXP(-LN(2)/25)*FR155+(1-EXP(-LN(2)/25))/(LN(2)/25)*Calculateur!FM156*Calculateur!FO156*VLOOKUP('Données projet'!$B$16,Paramètres!$A$1:$I$89,3,0)*0.475*44/12</f>
        <v>0</v>
      </c>
      <c r="FS156" s="23">
        <f>EXP(-LN(2)/2)*FS155+(1-EXP(-LN(2)/2))/(LN(2)/2)*FM156*FP156*VLOOKUP('Données projet'!$B$16,Paramètres!$A$1:$I$89,3,0)*0.475*44/12</f>
        <v>0</v>
      </c>
      <c r="FT156" s="24">
        <f t="shared" si="184"/>
        <v>31.777385293513586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5.6843418860808015E-14</v>
      </c>
      <c r="GA156" s="18">
        <f>FZ156*VLOOKUP('Données projet'!$B$17,Paramètres!$A$1:$I$89,3,0)*VLOOKUP('Données projet'!$B$17,Paramètres!$A$1:$I$89,5,0)</f>
        <v>6.1186256061773749E-14</v>
      </c>
      <c r="GB156" s="14">
        <f t="shared" si="185"/>
        <v>9.7328366192051127E-13</v>
      </c>
      <c r="GC156" s="22">
        <f t="shared" si="186"/>
        <v>1.8017017738191463E-12</v>
      </c>
      <c r="GD156" s="62">
        <f t="shared" si="134"/>
        <v>287.03264548950182</v>
      </c>
      <c r="GE156" s="62">
        <f ca="1">AVERAGE(OFFSET($GD$3,0,0,'Données projet'!$E$17+1,1))-AVERAGE(OFFSET($H$3,0,0,'Données projet'!$E$17+1,1))</f>
        <v>405.06394904053946</v>
      </c>
      <c r="GF156" s="62">
        <f t="shared" si="158"/>
        <v>393.75247087518198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>
        <f>EXP(-LN(2)/35)*GL155+(1-EXP(-LN(2)/35))/(LN(2)/35)*GH156*GI156*VLOOKUP('Données projet'!$B$17,Paramètres!$A$1:$I$89,3,0)*0.475*44/12</f>
        <v>35.365154600845749</v>
      </c>
      <c r="GM156" s="23">
        <f>EXP(-LN(2)/25)*GM155+(1-EXP(-LN(2)/25))/(LN(2)/25)*Calculateur!GH156*Calculateur!GJ156*VLOOKUP('Données projet'!$B$17,Paramètres!$A$1:$I$89,3,0)*0.475*44/12</f>
        <v>0</v>
      </c>
      <c r="GN156" s="23">
        <f>EXP(-LN(2)/2)*GN155+(1-EXP(-LN(2)/2))/(LN(2)/2)*GH156*GK156*VLOOKUP('Données projet'!$B$17,Paramètres!$A$1:$I$89,3,0)*0.475*44/12</f>
        <v>0</v>
      </c>
      <c r="GO156" s="23">
        <f t="shared" si="187"/>
        <v>35.365154600845749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5.6843418860808015E-14</v>
      </c>
      <c r="GV156" s="18">
        <f>GU156*VLOOKUP('Données projet'!$B$18,Paramètres!$A$1:$I$89,3,0)*VLOOKUP('Données projet'!$B$18,Paramètres!$A$1:$I$89,5,0)</f>
        <v>3.813056537183002E-14</v>
      </c>
      <c r="GW156" s="14">
        <f t="shared" si="188"/>
        <v>6.4086286045526829E-13</v>
      </c>
      <c r="GX156" s="22">
        <f t="shared" si="189"/>
        <v>1.1825802166488628E-12</v>
      </c>
      <c r="GY156" s="62">
        <f t="shared" si="137"/>
        <v>287.03264548950119</v>
      </c>
      <c r="GZ156" s="62">
        <f ca="1">AVERAGE(OFFSET($GY$3,0,0,'Données projet'!$E$18+1,1))-AVERAGE(OFFSET($H$3,0,0,'Données projet'!$E$18+1,1))</f>
        <v>273.21861937609918</v>
      </c>
      <c r="HA156" s="62">
        <f t="shared" si="160"/>
        <v>268.83004886965318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>
        <f>EXP(-LN(2)/35)*HG155+(1-EXP(-LN(2)/35))/(LN(2)/35)*HC156*HD156*VLOOKUP('Données projet'!$B$18,Paramètres!$A$1:$I$89,3,0)*0.475*44/12</f>
        <v>27.164539041229343</v>
      </c>
      <c r="HH156" s="23">
        <f>EXP(-LN(2)/25)*HH155+(1-EXP(-LN(2)/25))/(LN(2)/25)*Calculateur!HC156*Calculateur!HE156*VLOOKUP('Données projet'!$B$18,Paramètres!$A$1:$I$89,3,0)*0.475*44/12</f>
        <v>0</v>
      </c>
      <c r="HI156" s="23">
        <f>EXP(-LN(2)/2)*HI155+(1-EXP(-LN(2)/2))/(LN(2)/2)*HC156*HF156*VLOOKUP('Données projet'!$B$18,Paramètres!$A$1:$I$89,3,0)*0.475*44/12</f>
        <v>0</v>
      </c>
      <c r="HJ156" s="24">
        <f t="shared" si="190"/>
        <v>27.164539041229343</v>
      </c>
    </row>
    <row r="157" spans="1:218" x14ac:dyDescent="0.4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-3.4705882352941178</v>
      </c>
      <c r="N157" s="14">
        <f>IF('Données projet'!$A$36&gt;35,N156+M157-V156,IF(A157&lt;'Données projet'!$A$36,$K$205^A157,IF(A157='Données projet'!$A$36,'Données projet'!$B$36,N156+M157-V156)))</f>
        <v>272.17647058823519</v>
      </c>
      <c r="O157" s="14">
        <f>N157*VLOOKUP('Données projet'!$B$9,Paramètres!$A$1:$I$89,3,0)*VLOOKUP('Données projet'!$B$9,Paramètres!$A$1:$I$89,5,0)</f>
        <v>246.26527058823518</v>
      </c>
      <c r="P157" s="14">
        <f t="shared" si="141"/>
        <v>59.785505536024061</v>
      </c>
      <c r="Q157" s="22">
        <f t="shared" si="162"/>
        <v>533.03843508308489</v>
      </c>
      <c r="R157" s="62">
        <f t="shared" si="109"/>
        <v>820.1803834204477</v>
      </c>
      <c r="S157" s="62">
        <f ca="1">AVERAGE(OFFSET($R$3,0,0,'Données projet'!$E$9+1,1))-AVERAGE(OFFSET($H$3,0,0,'Données projet'!$E$9+1,1))</f>
        <v>432.80275651765203</v>
      </c>
      <c r="T157" s="62">
        <f t="shared" si="142"/>
        <v>203.89279893419919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33.72976834553323</v>
      </c>
      <c r="AA157" s="23">
        <f>EXP(-LN(2)/25)*AA156+(1-EXP(-LN(2)/25))/(LN(2)/25)*Calculateur!V157*Calculateur!X157*VLOOKUP('Données projet'!$B$9,Paramètres!$A$1:$I$89,3,0)*0.475*44/12</f>
        <v>21.232744431919926</v>
      </c>
      <c r="AB157" s="23">
        <f>EXP(-LN(2)/2)*AB156+(1-EXP(-LN(2)/2))/(LN(2)/2)*V157*Y157*VLOOKUP('Données projet'!$B$9,Paramètres!$A$1:$I$89,3,0)*0.475*44/12</f>
        <v>0</v>
      </c>
      <c r="AC157" s="24">
        <f t="shared" si="163"/>
        <v>54.962512777453156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54.000000000000341</v>
      </c>
      <c r="AJ157" s="14">
        <f>AI157*VLOOKUP('Données projet'!$B$10,Paramètres!$A$1:$I$89,3,0)*VLOOKUP('Données projet'!$B$10,Paramètres!$A$1:$I$89,5,0)</f>
        <v>23.868000000000151</v>
      </c>
      <c r="AK157" s="14">
        <f t="shared" si="164"/>
        <v>7.6030930962115804</v>
      </c>
      <c r="AL157" s="22">
        <f t="shared" si="165"/>
        <v>54.812153809235433</v>
      </c>
      <c r="AM157" s="62">
        <f t="shared" si="113"/>
        <v>341.95410214659819</v>
      </c>
      <c r="AN157" s="62">
        <f ca="1">AVERAGE(OFFSET($AM$3,0,0,'Données projet'!$E$10+1,1))-AVERAGE(OFFSET($H$3,0,0,'Données projet'!$E$10+1,1))</f>
        <v>413.08876898406481</v>
      </c>
      <c r="AO157" s="62">
        <f t="shared" si="144"/>
        <v>520.31320932826566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42.703518484435897</v>
      </c>
      <c r="AV157" s="23">
        <f>EXP(-LN(2)/25)*AV156+(1-EXP(-LN(2)/25))/(LN(2)/25)*Calculateur!AQ157*Calculateur!AS157*VLOOKUP('Données projet'!$B$10,Paramètres!$A$1:$I$89,3,0)*0.475*44/12</f>
        <v>1.4893914711593055</v>
      </c>
      <c r="AW157" s="23">
        <f>EXP(-LN(2)/2)*AW156+(1-EXP(-LN(2)/2))/(LN(2)/2)*AQ157*AT157*VLOOKUP('Données projet'!$B$10,Paramètres!$A$1:$I$89,3,0)*0.475*44/12</f>
        <v>1.5811300408803606E-16</v>
      </c>
      <c r="AX157" s="23">
        <f t="shared" si="166"/>
        <v>44.192909955595205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54.000000000000341</v>
      </c>
      <c r="BE157" s="14">
        <f>BD157*VLOOKUP('Données projet'!$B$11,Paramètres!$A$1:$I$89,3,0)*VLOOKUP('Données projet'!$B$11,Paramètres!$A$1:$I$89,5,0)</f>
        <v>30.186000000000188</v>
      </c>
      <c r="BF157" s="14">
        <f t="shared" si="167"/>
        <v>9.3563888882899153</v>
      </c>
      <c r="BG157" s="22">
        <f t="shared" si="168"/>
        <v>68.869660647105263</v>
      </c>
      <c r="BH157" s="62">
        <f t="shared" si="116"/>
        <v>356.01160898446801</v>
      </c>
      <c r="BI157" s="62">
        <f ca="1">AVERAGE(OFFSET($BH$3,0,0,'Données projet'!$E$11+1,1))-AVERAGE(OFFSET($H$3,0,0,'Données projet'!$E$11+1,1))</f>
        <v>507.66185230065889</v>
      </c>
      <c r="BJ157" s="62">
        <f t="shared" si="146"/>
        <v>640.14375617778342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54.007391024433574</v>
      </c>
      <c r="BQ157" s="23">
        <f>EXP(-LN(2)/25)*BQ156+(1-EXP(-LN(2)/25))/(LN(2)/25)*Calculateur!BL157*Calculateur!BN157*VLOOKUP('Données projet'!$B$11,Paramètres!$A$1:$I$89,3,0)*0.475*44/12</f>
        <v>1.8836421547014763</v>
      </c>
      <c r="BR157" s="23">
        <f>EXP(-LN(2)/2)*BR156+(1-EXP(-LN(2)/2))/(LN(2)/2)*BL157*BO157*VLOOKUP('Données projet'!$B$11,Paramètres!$A$1:$I$89,3,0)*0.475*44/12</f>
        <v>1.9996644634663398E-16</v>
      </c>
      <c r="BS157" s="24">
        <f t="shared" si="169"/>
        <v>55.89103317913505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417.04879970000007</v>
      </c>
      <c r="BZ157" s="14">
        <f>BY157*VLOOKUP('Données projet'!$B$12,Paramètres!$A$1:$I$89,3,0)*VLOOKUP('Données projet'!$B$12,Paramètres!$A$1:$I$89,5,0)</f>
        <v>195.17883825960004</v>
      </c>
      <c r="CA157" s="14">
        <f t="shared" si="170"/>
        <v>48.683122291673484</v>
      </c>
      <c r="CB157" s="22">
        <f t="shared" si="171"/>
        <v>424.72624796013469</v>
      </c>
      <c r="CC157" s="62">
        <f t="shared" si="119"/>
        <v>711.86819629749743</v>
      </c>
      <c r="CD157" s="62">
        <f ca="1">AVERAGE(OFFSET($CC$3,0,0,'Données projet'!$E$12+1,1))-AVERAGE(OFFSET($H$3,0,0,'Données projet'!$E$12+1,1))</f>
        <v>289.21044803824958</v>
      </c>
      <c r="CE157" s="62">
        <f t="shared" si="148"/>
        <v>196.11836398299445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>
        <f>EXP(-LN(2)/35)*CK156+(1-EXP(-LN(2)/35))/(LN(2)/35)*CG157*CH157*VLOOKUP('Données projet'!$B$12,Paramètres!$A$1:$I$89,3,0)*0.475*44/12</f>
        <v>23.637385834712376</v>
      </c>
      <c r="CL157" s="23">
        <f>EXP(-LN(2)/25)*CL156+(1-EXP(-LN(2)/25))/(LN(2)/25)*Calculateur!CG157*Calculateur!CI157*VLOOKUP('Données projet'!$B$12,Paramètres!$A$1:$I$89,3,0)*0.475*44/12</f>
        <v>7.1734200352943516</v>
      </c>
      <c r="CM157" s="23">
        <f>EXP(-LN(2)/2)*CM156+(1-EXP(-LN(2)/2))/(LN(2)/2)*CG157*CJ157*VLOOKUP('Données projet'!$B$12,Paramètres!$A$1:$I$89,3,0)*0.475*44/12</f>
        <v>0</v>
      </c>
      <c r="CN157" s="24">
        <f t="shared" si="172"/>
        <v>30.810805870006728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-5.6843418860808015E-14</v>
      </c>
      <c r="CU157" s="18">
        <f>CT157*VLOOKUP('Données projet'!$B$13,Paramètres!$A$1:$I$89,3,0)*VLOOKUP('Données projet'!$B$13,Paramètres!$A$1:$I$89,5,0)</f>
        <v>-5.1431925385259088E-14</v>
      </c>
      <c r="CV157" s="14" t="e">
        <f t="shared" si="173"/>
        <v>#NUM!</v>
      </c>
      <c r="CW157" s="22" t="e">
        <f t="shared" si="174"/>
        <v>#NUM!</v>
      </c>
      <c r="CX157" s="62" t="e">
        <f t="shared" si="122"/>
        <v>#NUM!</v>
      </c>
      <c r="CY157" s="62">
        <f ca="1">AVERAGE(OFFSET($CX$3,0,0,'Données projet'!$E$13+1,1))-AVERAGE(OFFSET($H$3,0,0,'Données projet'!$E$13+1,1))</f>
        <v>376.68007030857598</v>
      </c>
      <c r="CZ157" s="62">
        <f t="shared" si="150"/>
        <v>532.90758914457626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>
        <f>EXP(-LN(2)/35)*DF156+(1-EXP(-LN(2)/35))/(LN(2)/35)*DB157*DC157*VLOOKUP('Données projet'!$B$13,Paramètres!$A$1:$I$89,3,0)*0.475*44/12</f>
        <v>10.811404986619943</v>
      </c>
      <c r="DG157" s="23">
        <f>EXP(-LN(2)/25)*DG156+(1-EXP(-LN(2)/25))/(LN(2)/25)*Calculateur!DB157*Calculateur!DD157*VLOOKUP('Données projet'!$B$13,Paramètres!$A$1:$I$89,3,0)*0.475*44/12</f>
        <v>0.42089218624786767</v>
      </c>
      <c r="DH157" s="23">
        <f>EXP(-LN(2)/2)*DH156+(1-EXP(-LN(2)/2))/(LN(2)/2)*DB157*DE157*VLOOKUP('Données projet'!$B$13,Paramètres!$A$1:$I$89,3,0)*0.475*44/12</f>
        <v>0</v>
      </c>
      <c r="DI157" s="24">
        <f t="shared" si="175"/>
        <v>11.23229717286781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5.6843418860808015E-14</v>
      </c>
      <c r="DP157" s="18">
        <f>DO157*VLOOKUP('Données projet'!$B$14,Paramètres!$A$1:$I$89,3,0)*VLOOKUP('Données projet'!$B$14,Paramètres!$A$1:$I$89,5,0)</f>
        <v>5.4092197387944907E-14</v>
      </c>
      <c r="DQ157" s="14">
        <f t="shared" si="176"/>
        <v>8.7287050538073676E-13</v>
      </c>
      <c r="DR157" s="22">
        <f t="shared" si="177"/>
        <v>1.6144600406554537E-12</v>
      </c>
      <c r="DS157" s="62">
        <f t="shared" si="125"/>
        <v>287.14194833736434</v>
      </c>
      <c r="DT157" s="62">
        <f ca="1">AVERAGE(OFFSET($DS$3,0,0,'Données projet'!$E$14+1,1))-AVERAGE(OFFSET($H$3,0,0,'Données projet'!$E$14+1,1))</f>
        <v>364.63161066507769</v>
      </c>
      <c r="DU157" s="62">
        <f t="shared" si="152"/>
        <v>355.44729904860708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>
        <f>EXP(-LN(2)/35)*EA156+(1-EXP(-LN(2)/35))/(LN(2)/35)*DW157*DX157*VLOOKUP('Données projet'!$B$14,Paramètres!$A$1:$I$89,3,0)*0.475*44/12</f>
        <v>30.651762244550611</v>
      </c>
      <c r="EB157" s="23">
        <f>EXP(-LN(2)/25)*EB156+(1-EXP(-LN(2)/25))/(LN(2)/25)*Calculateur!DW157*Calculateur!DY157*VLOOKUP('Données projet'!$B$14,Paramètres!$A$1:$I$89,3,0)*0.475*44/12</f>
        <v>0</v>
      </c>
      <c r="EC157" s="23">
        <f>EXP(-LN(2)/2)*EC156+(1-EXP(-LN(2)/2))/(LN(2)/2)*DW157*DZ157*VLOOKUP('Données projet'!$B$14,Paramètres!$A$1:$I$89,3,0)*0.475*44/12</f>
        <v>0</v>
      </c>
      <c r="ED157" s="24">
        <f t="shared" si="178"/>
        <v>30.651762244550611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5.6843418860808015E-14</v>
      </c>
      <c r="EK157" s="18">
        <f>EJ157*VLOOKUP('Données projet'!$B$15,Paramètres!$A$1:$I$89,3,0)*VLOOKUP('Données projet'!$B$15,Paramètres!$A$1:$I$89,5,0)</f>
        <v>4.1677594708744434E-14</v>
      </c>
      <c r="EL157" s="14">
        <f t="shared" si="179"/>
        <v>6.9326303456159188E-13</v>
      </c>
      <c r="EM157" s="22">
        <f t="shared" si="180"/>
        <v>1.2800215959791691E-12</v>
      </c>
      <c r="EN157" s="62">
        <f t="shared" si="128"/>
        <v>287.14194833736406</v>
      </c>
      <c r="EO157" s="62">
        <f ca="1">AVERAGE(OFFSET($EN$3,0,0,'Données projet'!$E$15+1,1))-AVERAGE(OFFSET($H$3,0,0,'Données projet'!$E$15+1,1))</f>
        <v>293.59366973965774</v>
      </c>
      <c r="EP157" s="62">
        <f t="shared" si="154"/>
        <v>288.13804536120426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>
        <f>EXP(-LN(2)/35)*EV156+(1-EXP(-LN(2)/35))/(LN(2)/35)*ER157*ES157*VLOOKUP('Données projet'!$B$15,Paramètres!$A$1:$I$89,3,0)*0.475*44/12</f>
        <v>23.616931565473408</v>
      </c>
      <c r="EW157" s="23">
        <f>EXP(-LN(2)/25)*EW156+(1-EXP(-LN(2)/25))/(LN(2)/25)*Calculateur!ER157*Calculateur!ET157*VLOOKUP('Données projet'!$B$15,Paramètres!$A$1:$I$89,3,0)*0.475*44/12</f>
        <v>0</v>
      </c>
      <c r="EX157" s="23">
        <f>EXP(-LN(2)/2)*EX156+(1-EXP(-LN(2)/2))/(LN(2)/2)*ER157*EU157*VLOOKUP('Données projet'!$B$15,Paramètres!$A$1:$I$89,3,0)*0.475*44/12</f>
        <v>0</v>
      </c>
      <c r="EY157" s="24">
        <f t="shared" si="181"/>
        <v>23.616931565473408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5.6843418860808015E-14</v>
      </c>
      <c r="FF157" s="18">
        <f>FE157*VLOOKUP('Données projet'!$B$16,Paramètres!$A$1:$I$89,3,0)*VLOOKUP('Données projet'!$B$16,Paramètres!$A$1:$I$89,5,0)</f>
        <v>5.4978954722173515E-14</v>
      </c>
      <c r="FG157" s="14">
        <f t="shared" si="182"/>
        <v>8.8550225887742724E-13</v>
      </c>
      <c r="FH157" s="22">
        <f t="shared" si="183"/>
        <v>1.6380047803526383E-12</v>
      </c>
      <c r="FI157" s="62">
        <f t="shared" si="131"/>
        <v>287.1419483373644</v>
      </c>
      <c r="FJ157" s="62">
        <f ca="1">AVERAGE(OFFSET($FI$3,0,0,'Données projet'!$E$16+1,1))-AVERAGE(OFFSET($H$3,0,0,'Données projet'!$E$16+1,1))</f>
        <v>369.69145521630799</v>
      </c>
      <c r="FK157" s="62">
        <f t="shared" si="156"/>
        <v>360.24112103688719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>
        <f>EXP(-LN(2)/35)*FQ156+(1-EXP(-LN(2)/35))/(LN(2)/35)*FM157*FN157*VLOOKUP('Données projet'!$B$16,Paramètres!$A$1:$I$89,3,0)*0.475*44/12</f>
        <v>31.154250150198973</v>
      </c>
      <c r="FR157" s="23">
        <f>EXP(-LN(2)/25)*FR156+(1-EXP(-LN(2)/25))/(LN(2)/25)*Calculateur!FM157*Calculateur!FO157*VLOOKUP('Données projet'!$B$16,Paramètres!$A$1:$I$89,3,0)*0.475*44/12</f>
        <v>0</v>
      </c>
      <c r="FS157" s="23">
        <f>EXP(-LN(2)/2)*FS156+(1-EXP(-LN(2)/2))/(LN(2)/2)*FM157*FP157*VLOOKUP('Données projet'!$B$16,Paramètres!$A$1:$I$89,3,0)*0.475*44/12</f>
        <v>0</v>
      </c>
      <c r="FT157" s="24">
        <f t="shared" si="184"/>
        <v>31.154250150198973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5.6843418860808015E-14</v>
      </c>
      <c r="GA157" s="18">
        <f>FZ157*VLOOKUP('Données projet'!$B$17,Paramètres!$A$1:$I$89,3,0)*VLOOKUP('Données projet'!$B$17,Paramètres!$A$1:$I$89,5,0)</f>
        <v>6.1186256061773749E-14</v>
      </c>
      <c r="GB157" s="14">
        <f t="shared" si="185"/>
        <v>9.7328366192051127E-13</v>
      </c>
      <c r="GC157" s="22">
        <f t="shared" si="186"/>
        <v>1.8017017738191463E-12</v>
      </c>
      <c r="GD157" s="62">
        <f t="shared" si="134"/>
        <v>287.14194833736457</v>
      </c>
      <c r="GE157" s="62">
        <f ca="1">AVERAGE(OFFSET($GD$3,0,0,'Données projet'!$E$17+1,1))-AVERAGE(OFFSET($H$3,0,0,'Données projet'!$E$17+1,1))</f>
        <v>405.06394904053946</v>
      </c>
      <c r="GF157" s="62">
        <f t="shared" si="158"/>
        <v>393.75247087518198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>
        <f>EXP(-LN(2)/35)*GL156+(1-EXP(-LN(2)/35))/(LN(2)/35)*GH157*GI157*VLOOKUP('Données projet'!$B$17,Paramètres!$A$1:$I$89,3,0)*0.475*44/12</f>
        <v>34.671665489737549</v>
      </c>
      <c r="GM157" s="23">
        <f>EXP(-LN(2)/25)*GM156+(1-EXP(-LN(2)/25))/(LN(2)/25)*Calculateur!GH157*Calculateur!GJ157*VLOOKUP('Données projet'!$B$17,Paramètres!$A$1:$I$89,3,0)*0.475*44/12</f>
        <v>0</v>
      </c>
      <c r="GN157" s="23">
        <f>EXP(-LN(2)/2)*GN156+(1-EXP(-LN(2)/2))/(LN(2)/2)*GH157*GK157*VLOOKUP('Données projet'!$B$17,Paramètres!$A$1:$I$89,3,0)*0.475*44/12</f>
        <v>0</v>
      </c>
      <c r="GO157" s="23">
        <f t="shared" si="187"/>
        <v>34.671665489737549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5.6843418860808015E-14</v>
      </c>
      <c r="GV157" s="18">
        <f>GU157*VLOOKUP('Données projet'!$B$18,Paramètres!$A$1:$I$89,3,0)*VLOOKUP('Données projet'!$B$18,Paramètres!$A$1:$I$89,5,0)</f>
        <v>3.813056537183002E-14</v>
      </c>
      <c r="GW157" s="14">
        <f t="shared" si="188"/>
        <v>6.4086286045526829E-13</v>
      </c>
      <c r="GX157" s="22">
        <f t="shared" si="189"/>
        <v>1.1825802166488628E-12</v>
      </c>
      <c r="GY157" s="62">
        <f t="shared" si="137"/>
        <v>287.14194833736394</v>
      </c>
      <c r="GZ157" s="62">
        <f ca="1">AVERAGE(OFFSET($GY$3,0,0,'Données projet'!$E$18+1,1))-AVERAGE(OFFSET($H$3,0,0,'Données projet'!$E$18+1,1))</f>
        <v>273.21861937609918</v>
      </c>
      <c r="HA157" s="62">
        <f t="shared" si="160"/>
        <v>268.83004886965318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>
        <f>EXP(-LN(2)/35)*HG156+(1-EXP(-LN(2)/35))/(LN(2)/35)*HC157*HD157*VLOOKUP('Données projet'!$B$18,Paramètres!$A$1:$I$89,3,0)*0.475*44/12</f>
        <v>26.631858999363626</v>
      </c>
      <c r="HH157" s="23">
        <f>EXP(-LN(2)/25)*HH156+(1-EXP(-LN(2)/25))/(LN(2)/25)*Calculateur!HC157*Calculateur!HE157*VLOOKUP('Données projet'!$B$18,Paramètres!$A$1:$I$89,3,0)*0.475*44/12</f>
        <v>0</v>
      </c>
      <c r="HI157" s="23">
        <f>EXP(-LN(2)/2)*HI156+(1-EXP(-LN(2)/2))/(LN(2)/2)*HC157*HF157*VLOOKUP('Données projet'!$B$18,Paramètres!$A$1:$I$89,3,0)*0.475*44/12</f>
        <v>0</v>
      </c>
      <c r="HJ157" s="24">
        <f t="shared" si="190"/>
        <v>26.631858999363626</v>
      </c>
    </row>
    <row r="158" spans="1:218" x14ac:dyDescent="0.4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-3.4705882352941178</v>
      </c>
      <c r="N158" s="14">
        <f>IF('Données projet'!$A$36&gt;35,N157+M158-V157,IF(A158&lt;'Données projet'!$A$36,$K$205^A158,IF(A158='Données projet'!$A$36,'Données projet'!$B$36,N157+M158-V157)))</f>
        <v>268.70588235294105</v>
      </c>
      <c r="O158" s="14">
        <f>N158*VLOOKUP('Données projet'!$B$9,Paramètres!$A$1:$I$89,3,0)*VLOOKUP('Données projet'!$B$9,Paramètres!$A$1:$I$89,5,0)</f>
        <v>243.12508235294104</v>
      </c>
      <c r="P158" s="14">
        <f t="shared" si="141"/>
        <v>59.111400077264818</v>
      </c>
      <c r="Q158" s="22">
        <f t="shared" si="162"/>
        <v>526.39520689927519</v>
      </c>
      <c r="R158" s="62">
        <f t="shared" si="109"/>
        <v>813.64456192445482</v>
      </c>
      <c r="S158" s="62">
        <f ca="1">AVERAGE(OFFSET($R$3,0,0,'Données projet'!$E$9+1,1))-AVERAGE(OFFSET($H$3,0,0,'Données projet'!$E$9+1,1))</f>
        <v>432.80275651765203</v>
      </c>
      <c r="T158" s="62">
        <f t="shared" si="142"/>
        <v>203.89279893419919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33.068348161404586</v>
      </c>
      <c r="AA158" s="23">
        <f>EXP(-LN(2)/25)*AA157+(1-EXP(-LN(2)/25))/(LN(2)/25)*Calculateur!V158*Calculateur!X158*VLOOKUP('Données projet'!$B$9,Paramètres!$A$1:$I$89,3,0)*0.475*44/12</f>
        <v>20.652133918847575</v>
      </c>
      <c r="AB158" s="23">
        <f>EXP(-LN(2)/2)*AB157+(1-EXP(-LN(2)/2))/(LN(2)/2)*V158*Y158*VLOOKUP('Données projet'!$B$9,Paramètres!$A$1:$I$89,3,0)*0.475*44/12</f>
        <v>0</v>
      </c>
      <c r="AC158" s="24">
        <f t="shared" si="163"/>
        <v>53.720482080252161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54.000000000000341</v>
      </c>
      <c r="AJ158" s="14">
        <f>AI158*VLOOKUP('Données projet'!$B$10,Paramètres!$A$1:$I$89,3,0)*VLOOKUP('Données projet'!$B$10,Paramètres!$A$1:$I$89,5,0)</f>
        <v>23.868000000000151</v>
      </c>
      <c r="AK158" s="14">
        <f t="shared" si="164"/>
        <v>7.6030930962115804</v>
      </c>
      <c r="AL158" s="22">
        <f t="shared" si="165"/>
        <v>54.812153809235433</v>
      </c>
      <c r="AM158" s="62">
        <f t="shared" si="113"/>
        <v>342.06150883441512</v>
      </c>
      <c r="AN158" s="62">
        <f ca="1">AVERAGE(OFFSET($AM$3,0,0,'Données projet'!$E$10+1,1))-AVERAGE(OFFSET($H$3,0,0,'Données projet'!$E$10+1,1))</f>
        <v>413.08876898406481</v>
      </c>
      <c r="AO158" s="62">
        <f t="shared" si="144"/>
        <v>520.31320932826566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41.8661285335305</v>
      </c>
      <c r="AV158" s="23">
        <f>EXP(-LN(2)/25)*AV157+(1-EXP(-LN(2)/25))/(LN(2)/25)*Calculateur!AQ158*Calculateur!AS158*VLOOKUP('Données projet'!$B$10,Paramètres!$A$1:$I$89,3,0)*0.475*44/12</f>
        <v>1.4486639830567609</v>
      </c>
      <c r="AW158" s="23">
        <f>EXP(-LN(2)/2)*AW157+(1-EXP(-LN(2)/2))/(LN(2)/2)*AQ158*AT158*VLOOKUP('Données projet'!$B$10,Paramètres!$A$1:$I$89,3,0)*0.475*44/12</f>
        <v>1.1180277738442661E-16</v>
      </c>
      <c r="AX158" s="23">
        <f t="shared" si="166"/>
        <v>43.314792516587261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54.000000000000341</v>
      </c>
      <c r="BE158" s="14">
        <f>BD158*VLOOKUP('Données projet'!$B$11,Paramètres!$A$1:$I$89,3,0)*VLOOKUP('Données projet'!$B$11,Paramètres!$A$1:$I$89,5,0)</f>
        <v>30.186000000000188</v>
      </c>
      <c r="BF158" s="14">
        <f t="shared" si="167"/>
        <v>9.3563888882899153</v>
      </c>
      <c r="BG158" s="22">
        <f t="shared" si="168"/>
        <v>68.869660647105263</v>
      </c>
      <c r="BH158" s="62">
        <f t="shared" si="116"/>
        <v>356.11901567228495</v>
      </c>
      <c r="BI158" s="62">
        <f ca="1">AVERAGE(OFFSET($BH$3,0,0,'Données projet'!$E$11+1,1))-AVERAGE(OFFSET($H$3,0,0,'Données projet'!$E$11+1,1))</f>
        <v>507.66185230065889</v>
      </c>
      <c r="BJ158" s="62">
        <f t="shared" si="146"/>
        <v>640.14375617778342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52.948339027700278</v>
      </c>
      <c r="BQ158" s="23">
        <f>EXP(-LN(2)/25)*BQ157+(1-EXP(-LN(2)/25))/(LN(2)/25)*Calculateur!BL158*Calculateur!BN158*VLOOKUP('Données projet'!$B$11,Paramètres!$A$1:$I$89,3,0)*0.475*44/12</f>
        <v>1.8321338609247286</v>
      </c>
      <c r="BR158" s="23">
        <f>EXP(-LN(2)/2)*BR157+(1-EXP(-LN(2)/2))/(LN(2)/2)*BL158*BO158*VLOOKUP('Données projet'!$B$11,Paramètres!$A$1:$I$89,3,0)*0.475*44/12</f>
        <v>1.4139763022148081E-16</v>
      </c>
      <c r="BS158" s="24">
        <f t="shared" si="169"/>
        <v>54.780472888625006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417.04879970000007</v>
      </c>
      <c r="BZ158" s="14">
        <f>BY158*VLOOKUP('Données projet'!$B$12,Paramètres!$A$1:$I$89,3,0)*VLOOKUP('Données projet'!$B$12,Paramètres!$A$1:$I$89,5,0)</f>
        <v>195.17883825960004</v>
      </c>
      <c r="CA158" s="14">
        <f t="shared" si="170"/>
        <v>48.683122291673484</v>
      </c>
      <c r="CB158" s="22">
        <f t="shared" si="171"/>
        <v>424.72624796013469</v>
      </c>
      <c r="CC158" s="62">
        <f t="shared" si="119"/>
        <v>711.97560298531437</v>
      </c>
      <c r="CD158" s="62">
        <f ca="1">AVERAGE(OFFSET($CC$3,0,0,'Données projet'!$E$12+1,1))-AVERAGE(OFFSET($H$3,0,0,'Données projet'!$E$12+1,1))</f>
        <v>289.21044803824958</v>
      </c>
      <c r="CE158" s="62">
        <f t="shared" si="148"/>
        <v>196.11836398299445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>
        <f>EXP(-LN(2)/35)*CK157+(1-EXP(-LN(2)/35))/(LN(2)/35)*CG158*CH158*VLOOKUP('Données projet'!$B$12,Paramètres!$A$1:$I$89,3,0)*0.475*44/12</f>
        <v>23.173871115875428</v>
      </c>
      <c r="CL158" s="23">
        <f>EXP(-LN(2)/25)*CL157+(1-EXP(-LN(2)/25))/(LN(2)/25)*Calculateur!CG158*Calculateur!CI158*VLOOKUP('Données projet'!$B$12,Paramètres!$A$1:$I$89,3,0)*0.475*44/12</f>
        <v>6.9772624871954632</v>
      </c>
      <c r="CM158" s="23">
        <f>EXP(-LN(2)/2)*CM157+(1-EXP(-LN(2)/2))/(LN(2)/2)*CG158*CJ158*VLOOKUP('Données projet'!$B$12,Paramètres!$A$1:$I$89,3,0)*0.475*44/12</f>
        <v>0</v>
      </c>
      <c r="CN158" s="24">
        <f t="shared" si="172"/>
        <v>30.151133603070893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-5.6843418860808015E-14</v>
      </c>
      <c r="CU158" s="18">
        <f>CT158*VLOOKUP('Données projet'!$B$13,Paramètres!$A$1:$I$89,3,0)*VLOOKUP('Données projet'!$B$13,Paramètres!$A$1:$I$89,5,0)</f>
        <v>-5.1431925385259088E-14</v>
      </c>
      <c r="CV158" s="14" t="e">
        <f t="shared" si="173"/>
        <v>#NUM!</v>
      </c>
      <c r="CW158" s="22" t="e">
        <f t="shared" si="174"/>
        <v>#NUM!</v>
      </c>
      <c r="CX158" s="62" t="e">
        <f t="shared" si="122"/>
        <v>#NUM!</v>
      </c>
      <c r="CY158" s="62">
        <f ca="1">AVERAGE(OFFSET($CX$3,0,0,'Données projet'!$E$13+1,1))-AVERAGE(OFFSET($H$3,0,0,'Données projet'!$E$13+1,1))</f>
        <v>376.68007030857598</v>
      </c>
      <c r="CZ158" s="62">
        <f t="shared" si="150"/>
        <v>532.90758914457626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>
        <f>EXP(-LN(2)/35)*DF157+(1-EXP(-LN(2)/35))/(LN(2)/35)*DB158*DC158*VLOOKUP('Données projet'!$B$13,Paramètres!$A$1:$I$89,3,0)*0.475*44/12</f>
        <v>10.599399929138233</v>
      </c>
      <c r="DG158" s="23">
        <f>EXP(-LN(2)/25)*DG157+(1-EXP(-LN(2)/25))/(LN(2)/25)*Calculateur!DB158*Calculateur!DD158*VLOOKUP('Données projet'!$B$13,Paramètres!$A$1:$I$89,3,0)*0.475*44/12</f>
        <v>0.40938286728116163</v>
      </c>
      <c r="DH158" s="23">
        <f>EXP(-LN(2)/2)*DH157+(1-EXP(-LN(2)/2))/(LN(2)/2)*DB158*DE158*VLOOKUP('Données projet'!$B$13,Paramètres!$A$1:$I$89,3,0)*0.475*44/12</f>
        <v>0</v>
      </c>
      <c r="DI158" s="24">
        <f t="shared" si="175"/>
        <v>11.008782796419395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5.6843418860808015E-14</v>
      </c>
      <c r="DP158" s="18">
        <f>DO158*VLOOKUP('Données projet'!$B$14,Paramètres!$A$1:$I$89,3,0)*VLOOKUP('Données projet'!$B$14,Paramètres!$A$1:$I$89,5,0)</f>
        <v>5.4092197387944907E-14</v>
      </c>
      <c r="DQ158" s="14">
        <f t="shared" si="176"/>
        <v>8.7287050538073676E-13</v>
      </c>
      <c r="DR158" s="22">
        <f t="shared" si="177"/>
        <v>1.6144600406554537E-12</v>
      </c>
      <c r="DS158" s="62">
        <f t="shared" si="125"/>
        <v>287.24935502518127</v>
      </c>
      <c r="DT158" s="62">
        <f ca="1">AVERAGE(OFFSET($DS$3,0,0,'Données projet'!$E$14+1,1))-AVERAGE(OFFSET($H$3,0,0,'Données projet'!$E$14+1,1))</f>
        <v>364.63161066507769</v>
      </c>
      <c r="DU158" s="62">
        <f t="shared" si="152"/>
        <v>355.44729904860708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>
        <f>EXP(-LN(2)/35)*EA157+(1-EXP(-LN(2)/35))/(LN(2)/35)*DW158*DX158*VLOOKUP('Données projet'!$B$14,Paramètres!$A$1:$I$89,3,0)*0.475*44/12</f>
        <v>30.050699882663892</v>
      </c>
      <c r="EB158" s="23">
        <f>EXP(-LN(2)/25)*EB157+(1-EXP(-LN(2)/25))/(LN(2)/25)*Calculateur!DW158*Calculateur!DY158*VLOOKUP('Données projet'!$B$14,Paramètres!$A$1:$I$89,3,0)*0.475*44/12</f>
        <v>0</v>
      </c>
      <c r="EC158" s="23">
        <f>EXP(-LN(2)/2)*EC157+(1-EXP(-LN(2)/2))/(LN(2)/2)*DW158*DZ158*VLOOKUP('Données projet'!$B$14,Paramètres!$A$1:$I$89,3,0)*0.475*44/12</f>
        <v>0</v>
      </c>
      <c r="ED158" s="24">
        <f t="shared" si="178"/>
        <v>30.050699882663892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5.6843418860808015E-14</v>
      </c>
      <c r="EK158" s="18">
        <f>EJ158*VLOOKUP('Données projet'!$B$15,Paramètres!$A$1:$I$89,3,0)*VLOOKUP('Données projet'!$B$15,Paramètres!$A$1:$I$89,5,0)</f>
        <v>4.1677594708744434E-14</v>
      </c>
      <c r="EL158" s="14">
        <f t="shared" si="179"/>
        <v>6.9326303456159188E-13</v>
      </c>
      <c r="EM158" s="22">
        <f t="shared" si="180"/>
        <v>1.2800215959791691E-12</v>
      </c>
      <c r="EN158" s="62">
        <f t="shared" si="128"/>
        <v>287.24935502518099</v>
      </c>
      <c r="EO158" s="62">
        <f ca="1">AVERAGE(OFFSET($EN$3,0,0,'Données projet'!$E$15+1,1))-AVERAGE(OFFSET($H$3,0,0,'Données projet'!$E$15+1,1))</f>
        <v>293.59366973965774</v>
      </c>
      <c r="EP158" s="62">
        <f t="shared" si="154"/>
        <v>288.13804536120426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>
        <f>EXP(-LN(2)/35)*EV157+(1-EXP(-LN(2)/35))/(LN(2)/35)*ER158*ES158*VLOOKUP('Données projet'!$B$15,Paramètres!$A$1:$I$89,3,0)*0.475*44/12</f>
        <v>23.153817942380364</v>
      </c>
      <c r="EW158" s="23">
        <f>EXP(-LN(2)/25)*EW157+(1-EXP(-LN(2)/25))/(LN(2)/25)*Calculateur!ER158*Calculateur!ET158*VLOOKUP('Données projet'!$B$15,Paramètres!$A$1:$I$89,3,0)*0.475*44/12</f>
        <v>0</v>
      </c>
      <c r="EX158" s="23">
        <f>EXP(-LN(2)/2)*EX157+(1-EXP(-LN(2)/2))/(LN(2)/2)*ER158*EU158*VLOOKUP('Données projet'!$B$15,Paramètres!$A$1:$I$89,3,0)*0.475*44/12</f>
        <v>0</v>
      </c>
      <c r="EY158" s="24">
        <f t="shared" si="181"/>
        <v>23.153817942380364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5.6843418860808015E-14</v>
      </c>
      <c r="FF158" s="18">
        <f>FE158*VLOOKUP('Données projet'!$B$16,Paramètres!$A$1:$I$89,3,0)*VLOOKUP('Données projet'!$B$16,Paramètres!$A$1:$I$89,5,0)</f>
        <v>5.4978954722173515E-14</v>
      </c>
      <c r="FG158" s="14">
        <f t="shared" si="182"/>
        <v>8.8550225887742724E-13</v>
      </c>
      <c r="FH158" s="22">
        <f t="shared" si="183"/>
        <v>1.6380047803526383E-12</v>
      </c>
      <c r="FI158" s="62">
        <f t="shared" si="131"/>
        <v>287.24935502518133</v>
      </c>
      <c r="FJ158" s="62">
        <f ca="1">AVERAGE(OFFSET($FI$3,0,0,'Données projet'!$E$16+1,1))-AVERAGE(OFFSET($H$3,0,0,'Données projet'!$E$16+1,1))</f>
        <v>369.69145521630799</v>
      </c>
      <c r="FK158" s="62">
        <f t="shared" si="156"/>
        <v>360.24112103688719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>
        <f>EXP(-LN(2)/35)*FQ157+(1-EXP(-LN(2)/35))/(LN(2)/35)*FM158*FN158*VLOOKUP('Données projet'!$B$16,Paramètres!$A$1:$I$89,3,0)*0.475*44/12</f>
        <v>30.54333430696985</v>
      </c>
      <c r="FR158" s="23">
        <f>EXP(-LN(2)/25)*FR157+(1-EXP(-LN(2)/25))/(LN(2)/25)*Calculateur!FM158*Calculateur!FO158*VLOOKUP('Données projet'!$B$16,Paramètres!$A$1:$I$89,3,0)*0.475*44/12</f>
        <v>0</v>
      </c>
      <c r="FS158" s="23">
        <f>EXP(-LN(2)/2)*FS157+(1-EXP(-LN(2)/2))/(LN(2)/2)*FM158*FP158*VLOOKUP('Données projet'!$B$16,Paramètres!$A$1:$I$89,3,0)*0.475*44/12</f>
        <v>0</v>
      </c>
      <c r="FT158" s="24">
        <f t="shared" si="184"/>
        <v>30.54333430696985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5.6843418860808015E-14</v>
      </c>
      <c r="GA158" s="18">
        <f>FZ158*VLOOKUP('Données projet'!$B$17,Paramètres!$A$1:$I$89,3,0)*VLOOKUP('Données projet'!$B$17,Paramètres!$A$1:$I$89,5,0)</f>
        <v>6.1186256061773749E-14</v>
      </c>
      <c r="GB158" s="14">
        <f t="shared" si="185"/>
        <v>9.7328366192051127E-13</v>
      </c>
      <c r="GC158" s="22">
        <f t="shared" si="186"/>
        <v>1.8017017738191463E-12</v>
      </c>
      <c r="GD158" s="62">
        <f t="shared" si="134"/>
        <v>287.2493550251815</v>
      </c>
      <c r="GE158" s="62">
        <f ca="1">AVERAGE(OFFSET($GD$3,0,0,'Données projet'!$E$17+1,1))-AVERAGE(OFFSET($H$3,0,0,'Données projet'!$E$17+1,1))</f>
        <v>405.06394904053946</v>
      </c>
      <c r="GF158" s="62">
        <f t="shared" si="158"/>
        <v>393.75247087518198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>
        <f>EXP(-LN(2)/35)*GL157+(1-EXP(-LN(2)/35))/(LN(2)/35)*GH158*GI158*VLOOKUP('Données projet'!$B$17,Paramètres!$A$1:$I$89,3,0)*0.475*44/12</f>
        <v>33.991775277111593</v>
      </c>
      <c r="GM158" s="23">
        <f>EXP(-LN(2)/25)*GM157+(1-EXP(-LN(2)/25))/(LN(2)/25)*Calculateur!GH158*Calculateur!GJ158*VLOOKUP('Données projet'!$B$17,Paramètres!$A$1:$I$89,3,0)*0.475*44/12</f>
        <v>0</v>
      </c>
      <c r="GN158" s="23">
        <f>EXP(-LN(2)/2)*GN157+(1-EXP(-LN(2)/2))/(LN(2)/2)*GH158*GK158*VLOOKUP('Données projet'!$B$17,Paramètres!$A$1:$I$89,3,0)*0.475*44/12</f>
        <v>0</v>
      </c>
      <c r="GO158" s="23">
        <f t="shared" si="187"/>
        <v>33.991775277111593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5.6843418860808015E-14</v>
      </c>
      <c r="GV158" s="18">
        <f>GU158*VLOOKUP('Données projet'!$B$18,Paramètres!$A$1:$I$89,3,0)*VLOOKUP('Données projet'!$B$18,Paramètres!$A$1:$I$89,5,0)</f>
        <v>3.813056537183002E-14</v>
      </c>
      <c r="GW158" s="14">
        <f t="shared" si="188"/>
        <v>6.4086286045526829E-13</v>
      </c>
      <c r="GX158" s="22">
        <f t="shared" si="189"/>
        <v>1.1825802166488628E-12</v>
      </c>
      <c r="GY158" s="62">
        <f t="shared" si="137"/>
        <v>287.24935502518088</v>
      </c>
      <c r="GZ158" s="62">
        <f ca="1">AVERAGE(OFFSET($GY$3,0,0,'Données projet'!$E$18+1,1))-AVERAGE(OFFSET($H$3,0,0,'Données projet'!$E$18+1,1))</f>
        <v>273.21861937609918</v>
      </c>
      <c r="HA158" s="62">
        <f t="shared" si="160"/>
        <v>268.83004886965318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>
        <f>EXP(-LN(2)/35)*HG157+(1-EXP(-LN(2)/35))/(LN(2)/35)*HC158*HD158*VLOOKUP('Données projet'!$B$18,Paramètres!$A$1:$I$89,3,0)*0.475*44/12</f>
        <v>26.109624488216149</v>
      </c>
      <c r="HH158" s="23">
        <f>EXP(-LN(2)/25)*HH157+(1-EXP(-LN(2)/25))/(LN(2)/25)*Calculateur!HC158*Calculateur!HE158*VLOOKUP('Données projet'!$B$18,Paramètres!$A$1:$I$89,3,0)*0.475*44/12</f>
        <v>0</v>
      </c>
      <c r="HI158" s="23">
        <f>EXP(-LN(2)/2)*HI157+(1-EXP(-LN(2)/2))/(LN(2)/2)*HC158*HF158*VLOOKUP('Données projet'!$B$18,Paramètres!$A$1:$I$89,3,0)*0.475*44/12</f>
        <v>0</v>
      </c>
      <c r="HJ158" s="24">
        <f t="shared" si="190"/>
        <v>26.109624488216149</v>
      </c>
    </row>
    <row r="159" spans="1:218" x14ac:dyDescent="0.4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-3.4705882352941178</v>
      </c>
      <c r="N159" s="14">
        <f>IF('Données projet'!$A$36&gt;35,N158+M159-V158,IF(A159&lt;'Données projet'!$A$36,$K$205^A159,IF(A159='Données projet'!$A$36,'Données projet'!$B$36,N158+M159-V158)))</f>
        <v>265.2352941176469</v>
      </c>
      <c r="O159" s="14">
        <f>N159*VLOOKUP('Données projet'!$B$9,Paramètres!$A$1:$I$89,3,0)*VLOOKUP('Données projet'!$B$9,Paramètres!$A$1:$I$89,5,0)</f>
        <v>239.98489411764689</v>
      </c>
      <c r="P159" s="14">
        <f t="shared" si="141"/>
        <v>58.436280366133602</v>
      </c>
      <c r="Q159" s="22">
        <f t="shared" si="162"/>
        <v>519.75021222591761</v>
      </c>
      <c r="R159" s="62">
        <f t="shared" si="109"/>
        <v>807.10511067300592</v>
      </c>
      <c r="S159" s="62">
        <f ca="1">AVERAGE(OFFSET($R$3,0,0,'Données projet'!$E$9+1,1))-AVERAGE(OFFSET($H$3,0,0,'Données projet'!$E$9+1,1))</f>
        <v>432.80275651765203</v>
      </c>
      <c r="T159" s="62">
        <f t="shared" si="142"/>
        <v>203.89279893419919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32.419898023660231</v>
      </c>
      <c r="AA159" s="23">
        <f>EXP(-LN(2)/25)*AA158+(1-EXP(-LN(2)/25))/(LN(2)/25)*Calculateur!V159*Calculateur!X159*VLOOKUP('Données projet'!$B$9,Paramètres!$A$1:$I$89,3,0)*0.475*44/12</f>
        <v>20.087400230788166</v>
      </c>
      <c r="AB159" s="23">
        <f>EXP(-LN(2)/2)*AB158+(1-EXP(-LN(2)/2))/(LN(2)/2)*V159*Y159*VLOOKUP('Données projet'!$B$9,Paramètres!$A$1:$I$89,3,0)*0.475*44/12</f>
        <v>0</v>
      </c>
      <c r="AC159" s="24">
        <f t="shared" si="163"/>
        <v>52.507298254448401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54.000000000000341</v>
      </c>
      <c r="AJ159" s="14">
        <f>AI159*VLOOKUP('Données projet'!$B$10,Paramètres!$A$1:$I$89,3,0)*VLOOKUP('Données projet'!$B$10,Paramètres!$A$1:$I$89,5,0)</f>
        <v>23.868000000000151</v>
      </c>
      <c r="AK159" s="14">
        <f t="shared" si="164"/>
        <v>7.6030930962115804</v>
      </c>
      <c r="AL159" s="22">
        <f t="shared" si="165"/>
        <v>54.812153809235433</v>
      </c>
      <c r="AM159" s="62">
        <f t="shared" si="113"/>
        <v>342.16705225632376</v>
      </c>
      <c r="AN159" s="62">
        <f ca="1">AVERAGE(OFFSET($AM$3,0,0,'Données projet'!$E$10+1,1))-AVERAGE(OFFSET($H$3,0,0,'Données projet'!$E$10+1,1))</f>
        <v>413.08876898406481</v>
      </c>
      <c r="AO159" s="62">
        <f t="shared" si="144"/>
        <v>520.31320932826566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41.045159288804918</v>
      </c>
      <c r="AV159" s="23">
        <f>EXP(-LN(2)/25)*AV158+(1-EXP(-LN(2)/25))/(LN(2)/25)*Calculateur!AQ159*Calculateur!AS159*VLOOKUP('Données projet'!$B$10,Paramètres!$A$1:$I$89,3,0)*0.475*44/12</f>
        <v>1.4090501902581458</v>
      </c>
      <c r="AW159" s="23">
        <f>EXP(-LN(2)/2)*AW158+(1-EXP(-LN(2)/2))/(LN(2)/2)*AQ159*AT159*VLOOKUP('Données projet'!$B$10,Paramètres!$A$1:$I$89,3,0)*0.475*44/12</f>
        <v>7.9056502044018032E-17</v>
      </c>
      <c r="AX159" s="23">
        <f t="shared" si="166"/>
        <v>42.454209479063067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54.000000000000341</v>
      </c>
      <c r="BE159" s="14">
        <f>BD159*VLOOKUP('Données projet'!$B$11,Paramètres!$A$1:$I$89,3,0)*VLOOKUP('Données projet'!$B$11,Paramètres!$A$1:$I$89,5,0)</f>
        <v>30.186000000000188</v>
      </c>
      <c r="BF159" s="14">
        <f t="shared" si="167"/>
        <v>9.3563888882899153</v>
      </c>
      <c r="BG159" s="22">
        <f t="shared" si="168"/>
        <v>68.869660647105263</v>
      </c>
      <c r="BH159" s="62">
        <f t="shared" si="116"/>
        <v>356.22455909419358</v>
      </c>
      <c r="BI159" s="62">
        <f ca="1">AVERAGE(OFFSET($BH$3,0,0,'Données projet'!$E$11+1,1))-AVERAGE(OFFSET($H$3,0,0,'Données projet'!$E$11+1,1))</f>
        <v>507.66185230065889</v>
      </c>
      <c r="BJ159" s="62">
        <f t="shared" si="146"/>
        <v>640.14375617778342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51.910054394664989</v>
      </c>
      <c r="BQ159" s="23">
        <f>EXP(-LN(2)/25)*BQ158+(1-EXP(-LN(2)/25))/(LN(2)/25)*Calculateur!BL159*Calculateur!BN159*VLOOKUP('Données projet'!$B$11,Paramètres!$A$1:$I$89,3,0)*0.475*44/12</f>
        <v>1.7820340641500096</v>
      </c>
      <c r="BR159" s="23">
        <f>EXP(-LN(2)/2)*BR158+(1-EXP(-LN(2)/2))/(LN(2)/2)*BL159*BO159*VLOOKUP('Données projet'!$B$11,Paramètres!$A$1:$I$89,3,0)*0.475*44/12</f>
        <v>9.9983223173316989E-17</v>
      </c>
      <c r="BS159" s="24">
        <f t="shared" si="169"/>
        <v>53.692088458815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417.04879970000007</v>
      </c>
      <c r="BZ159" s="14">
        <f>BY159*VLOOKUP('Données projet'!$B$12,Paramètres!$A$1:$I$89,3,0)*VLOOKUP('Données projet'!$B$12,Paramètres!$A$1:$I$89,5,0)</f>
        <v>195.17883825960004</v>
      </c>
      <c r="CA159" s="14">
        <f t="shared" si="170"/>
        <v>48.683122291673484</v>
      </c>
      <c r="CB159" s="22">
        <f t="shared" si="171"/>
        <v>424.72624796013469</v>
      </c>
      <c r="CC159" s="62">
        <f t="shared" si="119"/>
        <v>712.08114640722306</v>
      </c>
      <c r="CD159" s="62">
        <f ca="1">AVERAGE(OFFSET($CC$3,0,0,'Données projet'!$E$12+1,1))-AVERAGE(OFFSET($H$3,0,0,'Données projet'!$E$12+1,1))</f>
        <v>289.21044803824958</v>
      </c>
      <c r="CE159" s="62">
        <f t="shared" si="148"/>
        <v>196.11836398299445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>
        <f>EXP(-LN(2)/35)*CK158+(1-EXP(-LN(2)/35))/(LN(2)/35)*CG159*CH159*VLOOKUP('Données projet'!$B$12,Paramètres!$A$1:$I$89,3,0)*0.475*44/12</f>
        <v>22.71944563795881</v>
      </c>
      <c r="CL159" s="23">
        <f>EXP(-LN(2)/25)*CL158+(1-EXP(-LN(2)/25))/(LN(2)/25)*Calculateur!CG159*Calculateur!CI159*VLOOKUP('Données projet'!$B$12,Paramètres!$A$1:$I$89,3,0)*0.475*44/12</f>
        <v>6.7864688775648156</v>
      </c>
      <c r="CM159" s="23">
        <f>EXP(-LN(2)/2)*CM158+(1-EXP(-LN(2)/2))/(LN(2)/2)*CG159*CJ159*VLOOKUP('Données projet'!$B$12,Paramètres!$A$1:$I$89,3,0)*0.475*44/12</f>
        <v>0</v>
      </c>
      <c r="CN159" s="24">
        <f t="shared" si="172"/>
        <v>29.505914515523624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-5.6843418860808015E-14</v>
      </c>
      <c r="CU159" s="18">
        <f>CT159*VLOOKUP('Données projet'!$B$13,Paramètres!$A$1:$I$89,3,0)*VLOOKUP('Données projet'!$B$13,Paramètres!$A$1:$I$89,5,0)</f>
        <v>-5.1431925385259088E-14</v>
      </c>
      <c r="CV159" s="14" t="e">
        <f t="shared" si="173"/>
        <v>#NUM!</v>
      </c>
      <c r="CW159" s="22" t="e">
        <f t="shared" si="174"/>
        <v>#NUM!</v>
      </c>
      <c r="CX159" s="62" t="e">
        <f t="shared" si="122"/>
        <v>#NUM!</v>
      </c>
      <c r="CY159" s="62">
        <f ca="1">AVERAGE(OFFSET($CX$3,0,0,'Données projet'!$E$13+1,1))-AVERAGE(OFFSET($H$3,0,0,'Données projet'!$E$13+1,1))</f>
        <v>376.68007030857598</v>
      </c>
      <c r="CZ159" s="62">
        <f t="shared" si="150"/>
        <v>532.90758914457626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>
        <f>EXP(-LN(2)/35)*DF158+(1-EXP(-LN(2)/35))/(LN(2)/35)*DB159*DC159*VLOOKUP('Données projet'!$B$13,Paramètres!$A$1:$I$89,3,0)*0.475*44/12</f>
        <v>10.391552161523423</v>
      </c>
      <c r="DG159" s="23">
        <f>EXP(-LN(2)/25)*DG158+(1-EXP(-LN(2)/25))/(LN(2)/25)*Calculateur!DB159*Calculateur!DD159*VLOOKUP('Données projet'!$B$13,Paramètres!$A$1:$I$89,3,0)*0.475*44/12</f>
        <v>0.39818827124684891</v>
      </c>
      <c r="DH159" s="23">
        <f>EXP(-LN(2)/2)*DH158+(1-EXP(-LN(2)/2))/(LN(2)/2)*DB159*DE159*VLOOKUP('Données projet'!$B$13,Paramètres!$A$1:$I$89,3,0)*0.475*44/12</f>
        <v>0</v>
      </c>
      <c r="DI159" s="24">
        <f t="shared" si="175"/>
        <v>10.789740432770271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5.6843418860808015E-14</v>
      </c>
      <c r="DP159" s="18">
        <f>DO159*VLOOKUP('Données projet'!$B$14,Paramètres!$A$1:$I$89,3,0)*VLOOKUP('Données projet'!$B$14,Paramètres!$A$1:$I$89,5,0)</f>
        <v>5.4092197387944907E-14</v>
      </c>
      <c r="DQ159" s="14">
        <f t="shared" si="176"/>
        <v>8.7287050538073676E-13</v>
      </c>
      <c r="DR159" s="22">
        <f t="shared" si="177"/>
        <v>1.6144600406554537E-12</v>
      </c>
      <c r="DS159" s="62">
        <f t="shared" si="125"/>
        <v>287.35489844708991</v>
      </c>
      <c r="DT159" s="62">
        <f ca="1">AVERAGE(OFFSET($DS$3,0,0,'Données projet'!$E$14+1,1))-AVERAGE(OFFSET($H$3,0,0,'Données projet'!$E$14+1,1))</f>
        <v>364.63161066507769</v>
      </c>
      <c r="DU159" s="62">
        <f t="shared" si="152"/>
        <v>355.44729904860708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>
        <f>EXP(-LN(2)/35)*EA158+(1-EXP(-LN(2)/35))/(LN(2)/35)*DW159*DX159*VLOOKUP('Données projet'!$B$14,Paramètres!$A$1:$I$89,3,0)*0.475*44/12</f>
        <v>29.461423987081933</v>
      </c>
      <c r="EB159" s="23">
        <f>EXP(-LN(2)/25)*EB158+(1-EXP(-LN(2)/25))/(LN(2)/25)*Calculateur!DW159*Calculateur!DY159*VLOOKUP('Données projet'!$B$14,Paramètres!$A$1:$I$89,3,0)*0.475*44/12</f>
        <v>0</v>
      </c>
      <c r="EC159" s="23">
        <f>EXP(-LN(2)/2)*EC158+(1-EXP(-LN(2)/2))/(LN(2)/2)*DW159*DZ159*VLOOKUP('Données projet'!$B$14,Paramètres!$A$1:$I$89,3,0)*0.475*44/12</f>
        <v>0</v>
      </c>
      <c r="ED159" s="24">
        <f t="shared" si="178"/>
        <v>29.461423987081933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5.6843418860808015E-14</v>
      </c>
      <c r="EK159" s="18">
        <f>EJ159*VLOOKUP('Données projet'!$B$15,Paramètres!$A$1:$I$89,3,0)*VLOOKUP('Données projet'!$B$15,Paramètres!$A$1:$I$89,5,0)</f>
        <v>4.1677594708744434E-14</v>
      </c>
      <c r="EL159" s="14">
        <f t="shared" si="179"/>
        <v>6.9326303456159188E-13</v>
      </c>
      <c r="EM159" s="22">
        <f t="shared" si="180"/>
        <v>1.2800215959791691E-12</v>
      </c>
      <c r="EN159" s="62">
        <f t="shared" si="128"/>
        <v>287.35489844708962</v>
      </c>
      <c r="EO159" s="62">
        <f ca="1">AVERAGE(OFFSET($EN$3,0,0,'Données projet'!$E$15+1,1))-AVERAGE(OFFSET($H$3,0,0,'Données projet'!$E$15+1,1))</f>
        <v>293.59366973965774</v>
      </c>
      <c r="EP159" s="62">
        <f t="shared" si="154"/>
        <v>288.13804536120426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>
        <f>EXP(-LN(2)/35)*EV158+(1-EXP(-LN(2)/35))/(LN(2)/35)*ER159*ES159*VLOOKUP('Données projet'!$B$15,Paramètres!$A$1:$I$89,3,0)*0.475*44/12</f>
        <v>22.699785694964756</v>
      </c>
      <c r="EW159" s="23">
        <f>EXP(-LN(2)/25)*EW158+(1-EXP(-LN(2)/25))/(LN(2)/25)*Calculateur!ER159*Calculateur!ET159*VLOOKUP('Données projet'!$B$15,Paramètres!$A$1:$I$89,3,0)*0.475*44/12</f>
        <v>0</v>
      </c>
      <c r="EX159" s="23">
        <f>EXP(-LN(2)/2)*EX158+(1-EXP(-LN(2)/2))/(LN(2)/2)*ER159*EU159*VLOOKUP('Données projet'!$B$15,Paramètres!$A$1:$I$89,3,0)*0.475*44/12</f>
        <v>0</v>
      </c>
      <c r="EY159" s="24">
        <f t="shared" si="181"/>
        <v>22.699785694964756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5.6843418860808015E-14</v>
      </c>
      <c r="FF159" s="18">
        <f>FE159*VLOOKUP('Données projet'!$B$16,Paramètres!$A$1:$I$89,3,0)*VLOOKUP('Données projet'!$B$16,Paramètres!$A$1:$I$89,5,0)</f>
        <v>5.4978954722173515E-14</v>
      </c>
      <c r="FG159" s="14">
        <f t="shared" si="182"/>
        <v>8.8550225887742724E-13</v>
      </c>
      <c r="FH159" s="22">
        <f t="shared" si="183"/>
        <v>1.6380047803526383E-12</v>
      </c>
      <c r="FI159" s="62">
        <f t="shared" si="131"/>
        <v>287.35489844708997</v>
      </c>
      <c r="FJ159" s="62">
        <f ca="1">AVERAGE(OFFSET($FI$3,0,0,'Données projet'!$E$16+1,1))-AVERAGE(OFFSET($H$3,0,0,'Données projet'!$E$16+1,1))</f>
        <v>369.69145521630799</v>
      </c>
      <c r="FK159" s="62">
        <f t="shared" si="156"/>
        <v>360.24112103688719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>
        <f>EXP(-LN(2)/35)*FQ158+(1-EXP(-LN(2)/35))/(LN(2)/35)*FM159*FN159*VLOOKUP('Données projet'!$B$16,Paramètres!$A$1:$I$89,3,0)*0.475*44/12</f>
        <v>29.944398150804577</v>
      </c>
      <c r="FR159" s="23">
        <f>EXP(-LN(2)/25)*FR158+(1-EXP(-LN(2)/25))/(LN(2)/25)*Calculateur!FM159*Calculateur!FO159*VLOOKUP('Données projet'!$B$16,Paramètres!$A$1:$I$89,3,0)*0.475*44/12</f>
        <v>0</v>
      </c>
      <c r="FS159" s="23">
        <f>EXP(-LN(2)/2)*FS158+(1-EXP(-LN(2)/2))/(LN(2)/2)*FM159*FP159*VLOOKUP('Données projet'!$B$16,Paramètres!$A$1:$I$89,3,0)*0.475*44/12</f>
        <v>0</v>
      </c>
      <c r="FT159" s="24">
        <f t="shared" si="184"/>
        <v>29.944398150804577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5.6843418860808015E-14</v>
      </c>
      <c r="GA159" s="18">
        <f>FZ159*VLOOKUP('Données projet'!$B$17,Paramètres!$A$1:$I$89,3,0)*VLOOKUP('Données projet'!$B$17,Paramètres!$A$1:$I$89,5,0)</f>
        <v>6.1186256061773749E-14</v>
      </c>
      <c r="GB159" s="14">
        <f t="shared" si="185"/>
        <v>9.7328366192051127E-13</v>
      </c>
      <c r="GC159" s="22">
        <f t="shared" si="186"/>
        <v>1.8017017738191463E-12</v>
      </c>
      <c r="GD159" s="62">
        <f t="shared" si="134"/>
        <v>287.35489844709014</v>
      </c>
      <c r="GE159" s="62">
        <f ca="1">AVERAGE(OFFSET($GD$3,0,0,'Données projet'!$E$17+1,1))-AVERAGE(OFFSET($H$3,0,0,'Données projet'!$E$17+1,1))</f>
        <v>405.06394904053946</v>
      </c>
      <c r="GF159" s="62">
        <f t="shared" si="158"/>
        <v>393.75247087518198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>
        <f>EXP(-LN(2)/35)*GL158+(1-EXP(-LN(2)/35))/(LN(2)/35)*GH159*GI159*VLOOKUP('Données projet'!$B$17,Paramètres!$A$1:$I$89,3,0)*0.475*44/12</f>
        <v>33.325217296863144</v>
      </c>
      <c r="GM159" s="23">
        <f>EXP(-LN(2)/25)*GM158+(1-EXP(-LN(2)/25))/(LN(2)/25)*Calculateur!GH159*Calculateur!GJ159*VLOOKUP('Données projet'!$B$17,Paramètres!$A$1:$I$89,3,0)*0.475*44/12</f>
        <v>0</v>
      </c>
      <c r="GN159" s="23">
        <f>EXP(-LN(2)/2)*GN158+(1-EXP(-LN(2)/2))/(LN(2)/2)*GH159*GK159*VLOOKUP('Données projet'!$B$17,Paramètres!$A$1:$I$89,3,0)*0.475*44/12</f>
        <v>0</v>
      </c>
      <c r="GO159" s="23">
        <f t="shared" si="187"/>
        <v>33.325217296863144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5.6843418860808015E-14</v>
      </c>
      <c r="GV159" s="18">
        <f>GU159*VLOOKUP('Données projet'!$B$18,Paramètres!$A$1:$I$89,3,0)*VLOOKUP('Données projet'!$B$18,Paramètres!$A$1:$I$89,5,0)</f>
        <v>3.813056537183002E-14</v>
      </c>
      <c r="GW159" s="14">
        <f t="shared" si="188"/>
        <v>6.4086286045526829E-13</v>
      </c>
      <c r="GX159" s="22">
        <f t="shared" si="189"/>
        <v>1.1825802166488628E-12</v>
      </c>
      <c r="GY159" s="62">
        <f t="shared" si="137"/>
        <v>287.35489844708951</v>
      </c>
      <c r="GZ159" s="62">
        <f ca="1">AVERAGE(OFFSET($GY$3,0,0,'Données projet'!$E$18+1,1))-AVERAGE(OFFSET($H$3,0,0,'Données projet'!$E$18+1,1))</f>
        <v>273.21861937609918</v>
      </c>
      <c r="HA159" s="62">
        <f t="shared" si="160"/>
        <v>268.83004886965318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>
        <f>EXP(-LN(2)/35)*HG158+(1-EXP(-LN(2)/35))/(LN(2)/35)*HC159*HD159*VLOOKUP('Données projet'!$B$18,Paramètres!$A$1:$I$89,3,0)*0.475*44/12</f>
        <v>25.597630677300675</v>
      </c>
      <c r="HH159" s="23">
        <f>EXP(-LN(2)/25)*HH158+(1-EXP(-LN(2)/25))/(LN(2)/25)*Calculateur!HC159*Calculateur!HE159*VLOOKUP('Données projet'!$B$18,Paramètres!$A$1:$I$89,3,0)*0.475*44/12</f>
        <v>0</v>
      </c>
      <c r="HI159" s="23">
        <f>EXP(-LN(2)/2)*HI158+(1-EXP(-LN(2)/2))/(LN(2)/2)*HC159*HF159*VLOOKUP('Données projet'!$B$18,Paramètres!$A$1:$I$89,3,0)*0.475*44/12</f>
        <v>0</v>
      </c>
      <c r="HJ159" s="24">
        <f t="shared" si="190"/>
        <v>25.597630677300675</v>
      </c>
    </row>
    <row r="160" spans="1:218" x14ac:dyDescent="0.4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-3.4705882352941178</v>
      </c>
      <c r="N160" s="14">
        <f>IF('Données projet'!$A$36&gt;35,N159+M160-V159,IF(A160&lt;'Données projet'!$A$36,$K$205^A160,IF(A160='Données projet'!$A$36,'Données projet'!$B$36,N159+M160-V159)))</f>
        <v>261.76470588235276</v>
      </c>
      <c r="O160" s="14">
        <f>N160*VLOOKUP('Données projet'!$B$9,Paramètres!$A$1:$I$89,3,0)*VLOOKUP('Données projet'!$B$9,Paramètres!$A$1:$I$89,5,0)</f>
        <v>236.84470588235277</v>
      </c>
      <c r="P160" s="14">
        <f t="shared" si="141"/>
        <v>57.760131574272513</v>
      </c>
      <c r="Q160" s="22">
        <f t="shared" si="162"/>
        <v>513.10342523695556</v>
      </c>
      <c r="R160" s="62">
        <f t="shared" si="109"/>
        <v>800.56203616354219</v>
      </c>
      <c r="S160" s="62">
        <f ca="1">AVERAGE(OFFSET($R$3,0,0,'Données projet'!$E$9+1,1))-AVERAGE(OFFSET($H$3,0,0,'Données projet'!$E$9+1,1))</f>
        <v>432.80275651765203</v>
      </c>
      <c r="T160" s="62">
        <f t="shared" si="142"/>
        <v>203.89279893419919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31.784163597601509</v>
      </c>
      <c r="AA160" s="23">
        <f>EXP(-LN(2)/25)*AA159+(1-EXP(-LN(2)/25))/(LN(2)/25)*Calculateur!V160*Calculateur!X160*VLOOKUP('Données projet'!$B$9,Paramètres!$A$1:$I$89,3,0)*0.475*44/12</f>
        <v>19.538109215126795</v>
      </c>
      <c r="AB160" s="23">
        <f>EXP(-LN(2)/2)*AB159+(1-EXP(-LN(2)/2))/(LN(2)/2)*V160*Y160*VLOOKUP('Données projet'!$B$9,Paramètres!$A$1:$I$89,3,0)*0.475*44/12</f>
        <v>0</v>
      </c>
      <c r="AC160" s="24">
        <f t="shared" si="163"/>
        <v>51.322272812728301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54.000000000000341</v>
      </c>
      <c r="AJ160" s="14">
        <f>AI160*VLOOKUP('Données projet'!$B$10,Paramètres!$A$1:$I$89,3,0)*VLOOKUP('Données projet'!$B$10,Paramètres!$A$1:$I$89,5,0)</f>
        <v>23.868000000000151</v>
      </c>
      <c r="AK160" s="14">
        <f t="shared" si="164"/>
        <v>7.6030930962115804</v>
      </c>
      <c r="AL160" s="22">
        <f t="shared" si="165"/>
        <v>54.812153809235433</v>
      </c>
      <c r="AM160" s="62">
        <f t="shared" si="113"/>
        <v>342.27076473582201</v>
      </c>
      <c r="AN160" s="62">
        <f ca="1">AVERAGE(OFFSET($AM$3,0,0,'Données projet'!$E$10+1,1))-AVERAGE(OFFSET($H$3,0,0,'Données projet'!$E$10+1,1))</f>
        <v>413.08876898406481</v>
      </c>
      <c r="AO160" s="62">
        <f t="shared" si="144"/>
        <v>520.31320932826566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40.240288750226611</v>
      </c>
      <c r="AV160" s="23">
        <f>EXP(-LN(2)/25)*AV159+(1-EXP(-LN(2)/25))/(LN(2)/25)*Calculateur!AQ160*Calculateur!AS160*VLOOKUP('Données projet'!$B$10,Paramètres!$A$1:$I$89,3,0)*0.475*44/12</f>
        <v>1.3705196387068077</v>
      </c>
      <c r="AW160" s="23">
        <f>EXP(-LN(2)/2)*AW159+(1-EXP(-LN(2)/2))/(LN(2)/2)*AQ160*AT160*VLOOKUP('Données projet'!$B$10,Paramètres!$A$1:$I$89,3,0)*0.475*44/12</f>
        <v>5.5901388692213304E-17</v>
      </c>
      <c r="AX160" s="23">
        <f t="shared" si="166"/>
        <v>41.610808388933421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54.000000000000341</v>
      </c>
      <c r="BE160" s="14">
        <f>BD160*VLOOKUP('Données projet'!$B$11,Paramètres!$A$1:$I$89,3,0)*VLOOKUP('Données projet'!$B$11,Paramètres!$A$1:$I$89,5,0)</f>
        <v>30.186000000000188</v>
      </c>
      <c r="BF160" s="14">
        <f t="shared" si="167"/>
        <v>9.3563888882899153</v>
      </c>
      <c r="BG160" s="22">
        <f t="shared" si="168"/>
        <v>68.869660647105263</v>
      </c>
      <c r="BH160" s="62">
        <f t="shared" si="116"/>
        <v>356.32827157369184</v>
      </c>
      <c r="BI160" s="62">
        <f ca="1">AVERAGE(OFFSET($BH$3,0,0,'Données projet'!$E$11+1,1))-AVERAGE(OFFSET($H$3,0,0,'Données projet'!$E$11+1,1))</f>
        <v>507.66185230065889</v>
      </c>
      <c r="BJ160" s="62">
        <f t="shared" si="146"/>
        <v>640.14375617778342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50.892129889992425</v>
      </c>
      <c r="BQ160" s="23">
        <f>EXP(-LN(2)/25)*BQ159+(1-EXP(-LN(2)/25))/(LN(2)/25)*Calculateur!BL160*Calculateur!BN160*VLOOKUP('Données projet'!$B$11,Paramètres!$A$1:$I$89,3,0)*0.475*44/12</f>
        <v>1.7333042489527291</v>
      </c>
      <c r="BR160" s="23">
        <f>EXP(-LN(2)/2)*BR159+(1-EXP(-LN(2)/2))/(LN(2)/2)*BL160*BO160*VLOOKUP('Données projet'!$B$11,Paramètres!$A$1:$I$89,3,0)*0.475*44/12</f>
        <v>7.0698815110740404E-17</v>
      </c>
      <c r="BS160" s="24">
        <f t="shared" si="169"/>
        <v>52.625434138945153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417.04879970000007</v>
      </c>
      <c r="BZ160" s="14">
        <f>BY160*VLOOKUP('Données projet'!$B$12,Paramètres!$A$1:$I$89,3,0)*VLOOKUP('Données projet'!$B$12,Paramètres!$A$1:$I$89,5,0)</f>
        <v>195.17883825960004</v>
      </c>
      <c r="CA160" s="14">
        <f t="shared" si="170"/>
        <v>48.683122291673484</v>
      </c>
      <c r="CB160" s="22">
        <f t="shared" si="171"/>
        <v>424.72624796013469</v>
      </c>
      <c r="CC160" s="62">
        <f t="shared" si="119"/>
        <v>712.18485888672126</v>
      </c>
      <c r="CD160" s="62">
        <f ca="1">AVERAGE(OFFSET($CC$3,0,0,'Données projet'!$E$12+1,1))-AVERAGE(OFFSET($H$3,0,0,'Données projet'!$E$12+1,1))</f>
        <v>289.21044803824958</v>
      </c>
      <c r="CE160" s="62">
        <f t="shared" si="148"/>
        <v>196.11836398299445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>
        <f>EXP(-LN(2)/35)*CK159+(1-EXP(-LN(2)/35))/(LN(2)/35)*CG160*CH160*VLOOKUP('Données projet'!$B$12,Paramètres!$A$1:$I$89,3,0)*0.475*44/12</f>
        <v>22.273931166491963</v>
      </c>
      <c r="CL160" s="23">
        <f>EXP(-LN(2)/25)*CL159+(1-EXP(-LN(2)/25))/(LN(2)/25)*Calculateur!CG160*Calculateur!CI160*VLOOKUP('Données projet'!$B$12,Paramètres!$A$1:$I$89,3,0)*0.475*44/12</f>
        <v>6.6008925292229179</v>
      </c>
      <c r="CM160" s="23">
        <f>EXP(-LN(2)/2)*CM159+(1-EXP(-LN(2)/2))/(LN(2)/2)*CG160*CJ160*VLOOKUP('Données projet'!$B$12,Paramètres!$A$1:$I$89,3,0)*0.475*44/12</f>
        <v>0</v>
      </c>
      <c r="CN160" s="24">
        <f t="shared" si="172"/>
        <v>28.874823695714881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-5.6843418860808015E-14</v>
      </c>
      <c r="CU160" s="18">
        <f>CT160*VLOOKUP('Données projet'!$B$13,Paramètres!$A$1:$I$89,3,0)*VLOOKUP('Données projet'!$B$13,Paramètres!$A$1:$I$89,5,0)</f>
        <v>-5.1431925385259088E-14</v>
      </c>
      <c r="CV160" s="14" t="e">
        <f t="shared" si="173"/>
        <v>#NUM!</v>
      </c>
      <c r="CW160" s="22" t="e">
        <f t="shared" si="174"/>
        <v>#NUM!</v>
      </c>
      <c r="CX160" s="62" t="e">
        <f t="shared" si="122"/>
        <v>#NUM!</v>
      </c>
      <c r="CY160" s="62">
        <f ca="1">AVERAGE(OFFSET($CX$3,0,0,'Données projet'!$E$13+1,1))-AVERAGE(OFFSET($H$3,0,0,'Données projet'!$E$13+1,1))</f>
        <v>376.68007030857598</v>
      </c>
      <c r="CZ160" s="62">
        <f t="shared" si="150"/>
        <v>532.90758914457626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>
        <f>EXP(-LN(2)/35)*DF159+(1-EXP(-LN(2)/35))/(LN(2)/35)*DB160*DC160*VLOOKUP('Données projet'!$B$13,Paramètres!$A$1:$I$89,3,0)*0.475*44/12</f>
        <v>10.187780161856919</v>
      </c>
      <c r="DG160" s="23">
        <f>EXP(-LN(2)/25)*DG159+(1-EXP(-LN(2)/25))/(LN(2)/25)*Calculateur!DB160*Calculateur!DD160*VLOOKUP('Données projet'!$B$13,Paramètres!$A$1:$I$89,3,0)*0.475*44/12</f>
        <v>0.3872997920297927</v>
      </c>
      <c r="DH160" s="23">
        <f>EXP(-LN(2)/2)*DH159+(1-EXP(-LN(2)/2))/(LN(2)/2)*DB160*DE160*VLOOKUP('Données projet'!$B$13,Paramètres!$A$1:$I$89,3,0)*0.475*44/12</f>
        <v>0</v>
      </c>
      <c r="DI160" s="24">
        <f t="shared" si="175"/>
        <v>10.575079953886712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5.6843418860808015E-14</v>
      </c>
      <c r="DP160" s="18">
        <f>DO160*VLOOKUP('Données projet'!$B$14,Paramètres!$A$1:$I$89,3,0)*VLOOKUP('Données projet'!$B$14,Paramètres!$A$1:$I$89,5,0)</f>
        <v>5.4092197387944907E-14</v>
      </c>
      <c r="DQ160" s="14">
        <f t="shared" si="176"/>
        <v>8.7287050538073676E-13</v>
      </c>
      <c r="DR160" s="22">
        <f t="shared" si="177"/>
        <v>1.6144600406554537E-12</v>
      </c>
      <c r="DS160" s="62">
        <f t="shared" si="125"/>
        <v>287.45861092658816</v>
      </c>
      <c r="DT160" s="62">
        <f ca="1">AVERAGE(OFFSET($DS$3,0,0,'Données projet'!$E$14+1,1))-AVERAGE(OFFSET($H$3,0,0,'Données projet'!$E$14+1,1))</f>
        <v>364.63161066507769</v>
      </c>
      <c r="DU160" s="62">
        <f t="shared" si="152"/>
        <v>355.44729904860708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>
        <f>EXP(-LN(2)/35)*EA159+(1-EXP(-LN(2)/35))/(LN(2)/35)*DW160*DX160*VLOOKUP('Données projet'!$B$14,Paramètres!$A$1:$I$89,3,0)*0.475*44/12</f>
        <v>28.883703432389527</v>
      </c>
      <c r="EB160" s="23">
        <f>EXP(-LN(2)/25)*EB159+(1-EXP(-LN(2)/25))/(LN(2)/25)*Calculateur!DW160*Calculateur!DY160*VLOOKUP('Données projet'!$B$14,Paramètres!$A$1:$I$89,3,0)*0.475*44/12</f>
        <v>0</v>
      </c>
      <c r="EC160" s="23">
        <f>EXP(-LN(2)/2)*EC159+(1-EXP(-LN(2)/2))/(LN(2)/2)*DW160*DZ160*VLOOKUP('Données projet'!$B$14,Paramètres!$A$1:$I$89,3,0)*0.475*44/12</f>
        <v>0</v>
      </c>
      <c r="ED160" s="24">
        <f t="shared" si="178"/>
        <v>28.883703432389527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5.6843418860808015E-14</v>
      </c>
      <c r="EK160" s="18">
        <f>EJ160*VLOOKUP('Données projet'!$B$15,Paramètres!$A$1:$I$89,3,0)*VLOOKUP('Données projet'!$B$15,Paramètres!$A$1:$I$89,5,0)</f>
        <v>4.1677594708744434E-14</v>
      </c>
      <c r="EL160" s="14">
        <f t="shared" si="179"/>
        <v>6.9326303456159188E-13</v>
      </c>
      <c r="EM160" s="22">
        <f t="shared" si="180"/>
        <v>1.2800215959791691E-12</v>
      </c>
      <c r="EN160" s="62">
        <f t="shared" si="128"/>
        <v>287.45861092658788</v>
      </c>
      <c r="EO160" s="62">
        <f ca="1">AVERAGE(OFFSET($EN$3,0,0,'Données projet'!$E$15+1,1))-AVERAGE(OFFSET($H$3,0,0,'Données projet'!$E$15+1,1))</f>
        <v>293.59366973965774</v>
      </c>
      <c r="EP160" s="62">
        <f t="shared" si="154"/>
        <v>288.13804536120426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>
        <f>EXP(-LN(2)/35)*EV159+(1-EXP(-LN(2)/35))/(LN(2)/35)*ER160*ES160*VLOOKUP('Données projet'!$B$15,Paramètres!$A$1:$I$89,3,0)*0.475*44/12</f>
        <v>22.25465674298864</v>
      </c>
      <c r="EW160" s="23">
        <f>EXP(-LN(2)/25)*EW159+(1-EXP(-LN(2)/25))/(LN(2)/25)*Calculateur!ER160*Calculateur!ET160*VLOOKUP('Données projet'!$B$15,Paramètres!$A$1:$I$89,3,0)*0.475*44/12</f>
        <v>0</v>
      </c>
      <c r="EX160" s="23">
        <f>EXP(-LN(2)/2)*EX159+(1-EXP(-LN(2)/2))/(LN(2)/2)*ER160*EU160*VLOOKUP('Données projet'!$B$15,Paramètres!$A$1:$I$89,3,0)*0.475*44/12</f>
        <v>0</v>
      </c>
      <c r="EY160" s="24">
        <f t="shared" si="181"/>
        <v>22.25465674298864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5.6843418860808015E-14</v>
      </c>
      <c r="FF160" s="18">
        <f>FE160*VLOOKUP('Données projet'!$B$16,Paramètres!$A$1:$I$89,3,0)*VLOOKUP('Données projet'!$B$16,Paramètres!$A$1:$I$89,5,0)</f>
        <v>5.4978954722173515E-14</v>
      </c>
      <c r="FG160" s="14">
        <f t="shared" si="182"/>
        <v>8.8550225887742724E-13</v>
      </c>
      <c r="FH160" s="22">
        <f t="shared" si="183"/>
        <v>1.6380047803526383E-12</v>
      </c>
      <c r="FI160" s="62">
        <f t="shared" si="131"/>
        <v>287.45861092658822</v>
      </c>
      <c r="FJ160" s="62">
        <f ca="1">AVERAGE(OFFSET($FI$3,0,0,'Données projet'!$E$16+1,1))-AVERAGE(OFFSET($H$3,0,0,'Données projet'!$E$16+1,1))</f>
        <v>369.69145521630799</v>
      </c>
      <c r="FK160" s="62">
        <f t="shared" si="156"/>
        <v>360.24112103688719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>
        <f>EXP(-LN(2)/35)*FQ159+(1-EXP(-LN(2)/35))/(LN(2)/35)*FM160*FN160*VLOOKUP('Données projet'!$B$16,Paramètres!$A$1:$I$89,3,0)*0.475*44/12</f>
        <v>29.357206767346725</v>
      </c>
      <c r="FR160" s="23">
        <f>EXP(-LN(2)/25)*FR159+(1-EXP(-LN(2)/25))/(LN(2)/25)*Calculateur!FM160*Calculateur!FO160*VLOOKUP('Données projet'!$B$16,Paramètres!$A$1:$I$89,3,0)*0.475*44/12</f>
        <v>0</v>
      </c>
      <c r="FS160" s="23">
        <f>EXP(-LN(2)/2)*FS159+(1-EXP(-LN(2)/2))/(LN(2)/2)*FM160*FP160*VLOOKUP('Données projet'!$B$16,Paramètres!$A$1:$I$89,3,0)*0.475*44/12</f>
        <v>0</v>
      </c>
      <c r="FT160" s="24">
        <f t="shared" si="184"/>
        <v>29.357206767346725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5.6843418860808015E-14</v>
      </c>
      <c r="GA160" s="18">
        <f>FZ160*VLOOKUP('Données projet'!$B$17,Paramètres!$A$1:$I$89,3,0)*VLOOKUP('Données projet'!$B$17,Paramètres!$A$1:$I$89,5,0)</f>
        <v>6.1186256061773749E-14</v>
      </c>
      <c r="GB160" s="14">
        <f t="shared" si="185"/>
        <v>9.7328366192051127E-13</v>
      </c>
      <c r="GC160" s="22">
        <f t="shared" si="186"/>
        <v>1.8017017738191463E-12</v>
      </c>
      <c r="GD160" s="62">
        <f t="shared" si="134"/>
        <v>287.45861092658839</v>
      </c>
      <c r="GE160" s="62">
        <f ca="1">AVERAGE(OFFSET($GD$3,0,0,'Données projet'!$E$17+1,1))-AVERAGE(OFFSET($H$3,0,0,'Données projet'!$E$17+1,1))</f>
        <v>405.06394904053946</v>
      </c>
      <c r="GF160" s="62">
        <f t="shared" si="158"/>
        <v>393.75247087518198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>
        <f>EXP(-LN(2)/35)*GL159+(1-EXP(-LN(2)/35))/(LN(2)/35)*GH160*GI160*VLOOKUP('Données projet'!$B$17,Paramètres!$A$1:$I$89,3,0)*0.475*44/12</f>
        <v>32.671730112047143</v>
      </c>
      <c r="GM160" s="23">
        <f>EXP(-LN(2)/25)*GM159+(1-EXP(-LN(2)/25))/(LN(2)/25)*Calculateur!GH160*Calculateur!GJ160*VLOOKUP('Données projet'!$B$17,Paramètres!$A$1:$I$89,3,0)*0.475*44/12</f>
        <v>0</v>
      </c>
      <c r="GN160" s="23">
        <f>EXP(-LN(2)/2)*GN159+(1-EXP(-LN(2)/2))/(LN(2)/2)*GH160*GK160*VLOOKUP('Données projet'!$B$17,Paramètres!$A$1:$I$89,3,0)*0.475*44/12</f>
        <v>0</v>
      </c>
      <c r="GO160" s="23">
        <f t="shared" si="187"/>
        <v>32.671730112047143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5.6843418860808015E-14</v>
      </c>
      <c r="GV160" s="18">
        <f>GU160*VLOOKUP('Données projet'!$B$18,Paramètres!$A$1:$I$89,3,0)*VLOOKUP('Données projet'!$B$18,Paramètres!$A$1:$I$89,5,0)</f>
        <v>3.813056537183002E-14</v>
      </c>
      <c r="GW160" s="14">
        <f t="shared" si="188"/>
        <v>6.4086286045526829E-13</v>
      </c>
      <c r="GX160" s="22">
        <f t="shared" si="189"/>
        <v>1.1825802166488628E-12</v>
      </c>
      <c r="GY160" s="62">
        <f t="shared" si="137"/>
        <v>287.45861092658777</v>
      </c>
      <c r="GZ160" s="62">
        <f ca="1">AVERAGE(OFFSET($GY$3,0,0,'Données projet'!$E$18+1,1))-AVERAGE(OFFSET($H$3,0,0,'Données projet'!$E$18+1,1))</f>
        <v>273.21861937609918</v>
      </c>
      <c r="HA160" s="62">
        <f t="shared" si="160"/>
        <v>268.83004886965318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>
        <f>EXP(-LN(2)/35)*HG159+(1-EXP(-LN(2)/35))/(LN(2)/35)*HC160*HD160*VLOOKUP('Données projet'!$B$18,Paramètres!$A$1:$I$89,3,0)*0.475*44/12</f>
        <v>25.095676752731865</v>
      </c>
      <c r="HH160" s="23">
        <f>EXP(-LN(2)/25)*HH159+(1-EXP(-LN(2)/25))/(LN(2)/25)*Calculateur!HC160*Calculateur!HE160*VLOOKUP('Données projet'!$B$18,Paramètres!$A$1:$I$89,3,0)*0.475*44/12</f>
        <v>0</v>
      </c>
      <c r="HI160" s="23">
        <f>EXP(-LN(2)/2)*HI159+(1-EXP(-LN(2)/2))/(LN(2)/2)*HC160*HF160*VLOOKUP('Données projet'!$B$18,Paramètres!$A$1:$I$89,3,0)*0.475*44/12</f>
        <v>0</v>
      </c>
      <c r="HJ160" s="24">
        <f t="shared" si="190"/>
        <v>25.095676752731865</v>
      </c>
    </row>
    <row r="161" spans="1:218" x14ac:dyDescent="0.4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-3.4705882352941178</v>
      </c>
      <c r="N161" s="14">
        <f>IF('Données projet'!$A$36&gt;35,N160+M161-V160,IF(A161&lt;'Données projet'!$A$36,$K$205^A161,IF(A161='Données projet'!$A$36,'Données projet'!$B$36,N160+M161-V160)))</f>
        <v>258.29411764705861</v>
      </c>
      <c r="O161" s="14">
        <f>N161*VLOOKUP('Données projet'!$B$9,Paramètres!$A$1:$I$89,3,0)*VLOOKUP('Données projet'!$B$9,Paramètres!$A$1:$I$89,5,0)</f>
        <v>233.70451764705862</v>
      </c>
      <c r="P161" s="14">
        <f t="shared" si="141"/>
        <v>57.082938456881209</v>
      </c>
      <c r="Q161" s="22">
        <f t="shared" si="162"/>
        <v>506.45481938102847</v>
      </c>
      <c r="R161" s="62">
        <f t="shared" si="109"/>
        <v>794.01534360746041</v>
      </c>
      <c r="S161" s="62">
        <f ca="1">AVERAGE(OFFSET($R$3,0,0,'Données projet'!$E$9+1,1))-AVERAGE(OFFSET($H$3,0,0,'Données projet'!$E$9+1,1))</f>
        <v>432.80275651765203</v>
      </c>
      <c r="T161" s="62">
        <f t="shared" si="142"/>
        <v>203.89279893419919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31.160895535878087</v>
      </c>
      <c r="AA161" s="23">
        <f>EXP(-LN(2)/25)*AA160+(1-EXP(-LN(2)/25))/(LN(2)/25)*Calculateur!V161*Calculateur!X161*VLOOKUP('Données projet'!$B$9,Paramètres!$A$1:$I$89,3,0)*0.475*44/12</f>
        <v>19.003838591174645</v>
      </c>
      <c r="AB161" s="23">
        <f>EXP(-LN(2)/2)*AB160+(1-EXP(-LN(2)/2))/(LN(2)/2)*V161*Y161*VLOOKUP('Données projet'!$B$9,Paramètres!$A$1:$I$89,3,0)*0.475*44/12</f>
        <v>0</v>
      </c>
      <c r="AC161" s="24">
        <f t="shared" si="163"/>
        <v>50.164734127052732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54.000000000000341</v>
      </c>
      <c r="AJ161" s="14">
        <f>AI161*VLOOKUP('Données projet'!$B$10,Paramètres!$A$1:$I$89,3,0)*VLOOKUP('Données projet'!$B$10,Paramètres!$A$1:$I$89,5,0)</f>
        <v>23.868000000000151</v>
      </c>
      <c r="AK161" s="14">
        <f t="shared" si="164"/>
        <v>7.6030930962115804</v>
      </c>
      <c r="AL161" s="22">
        <f t="shared" si="165"/>
        <v>54.812153809235433</v>
      </c>
      <c r="AM161" s="62">
        <f t="shared" si="113"/>
        <v>342.37267803566743</v>
      </c>
      <c r="AN161" s="62">
        <f ca="1">AVERAGE(OFFSET($AM$3,0,0,'Données projet'!$E$10+1,1))-AVERAGE(OFFSET($H$3,0,0,'Données projet'!$E$10+1,1))</f>
        <v>413.08876898406481</v>
      </c>
      <c r="AO161" s="62">
        <f t="shared" si="144"/>
        <v>520.31320932826566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39.45120123198727</v>
      </c>
      <c r="AV161" s="23">
        <f>EXP(-LN(2)/25)*AV160+(1-EXP(-LN(2)/25))/(LN(2)/25)*Calculateur!AQ161*Calculateur!AS161*VLOOKUP('Données projet'!$B$10,Paramètres!$A$1:$I$89,3,0)*0.475*44/12</f>
        <v>1.3330427071138746</v>
      </c>
      <c r="AW161" s="23">
        <f>EXP(-LN(2)/2)*AW160+(1-EXP(-LN(2)/2))/(LN(2)/2)*AQ161*AT161*VLOOKUP('Données projet'!$B$10,Paramètres!$A$1:$I$89,3,0)*0.475*44/12</f>
        <v>3.9528251022009016E-17</v>
      </c>
      <c r="AX161" s="23">
        <f t="shared" si="166"/>
        <v>40.784243939101145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54.000000000000341</v>
      </c>
      <c r="BE161" s="14">
        <f>BD161*VLOOKUP('Données projet'!$B$11,Paramètres!$A$1:$I$89,3,0)*VLOOKUP('Données projet'!$B$11,Paramètres!$A$1:$I$89,5,0)</f>
        <v>30.186000000000188</v>
      </c>
      <c r="BF161" s="14">
        <f t="shared" si="167"/>
        <v>9.3563888882899153</v>
      </c>
      <c r="BG161" s="22">
        <f t="shared" si="168"/>
        <v>68.869660647105263</v>
      </c>
      <c r="BH161" s="62">
        <f t="shared" si="116"/>
        <v>356.43018487353726</v>
      </c>
      <c r="BI161" s="62">
        <f ca="1">AVERAGE(OFFSET($BH$3,0,0,'Données projet'!$E$11+1,1))-AVERAGE(OFFSET($H$3,0,0,'Données projet'!$E$11+1,1))</f>
        <v>507.66185230065889</v>
      </c>
      <c r="BJ161" s="62">
        <f t="shared" si="146"/>
        <v>640.14375617778342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49.894166263983848</v>
      </c>
      <c r="BQ161" s="23">
        <f>EXP(-LN(2)/25)*BQ160+(1-EXP(-LN(2)/25))/(LN(2)/25)*Calculateur!BL161*Calculateur!BN161*VLOOKUP('Données projet'!$B$11,Paramètres!$A$1:$I$89,3,0)*0.475*44/12</f>
        <v>1.6859069531146078</v>
      </c>
      <c r="BR161" s="23">
        <f>EXP(-LN(2)/2)*BR160+(1-EXP(-LN(2)/2))/(LN(2)/2)*BL161*BO161*VLOOKUP('Données projet'!$B$11,Paramètres!$A$1:$I$89,3,0)*0.475*44/12</f>
        <v>4.9991611586658495E-17</v>
      </c>
      <c r="BS161" s="24">
        <f t="shared" si="169"/>
        <v>51.580073217098459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417.04879970000007</v>
      </c>
      <c r="BZ161" s="14">
        <f>BY161*VLOOKUP('Données projet'!$B$12,Paramètres!$A$1:$I$89,3,0)*VLOOKUP('Données projet'!$B$12,Paramètres!$A$1:$I$89,5,0)</f>
        <v>195.17883825960004</v>
      </c>
      <c r="CA161" s="14">
        <f t="shared" si="170"/>
        <v>48.683122291673484</v>
      </c>
      <c r="CB161" s="22">
        <f t="shared" si="171"/>
        <v>424.72624796013469</v>
      </c>
      <c r="CC161" s="62">
        <f t="shared" si="119"/>
        <v>712.28677218656662</v>
      </c>
      <c r="CD161" s="62">
        <f ca="1">AVERAGE(OFFSET($CC$3,0,0,'Données projet'!$E$12+1,1))-AVERAGE(OFFSET($H$3,0,0,'Données projet'!$E$12+1,1))</f>
        <v>289.21044803824958</v>
      </c>
      <c r="CE161" s="62">
        <f t="shared" si="148"/>
        <v>196.11836398299445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>
        <f>EXP(-LN(2)/35)*CK160+(1-EXP(-LN(2)/35))/(LN(2)/35)*CG161*CH161*VLOOKUP('Données projet'!$B$12,Paramètres!$A$1:$I$89,3,0)*0.475*44/12</f>
        <v>21.837152962073585</v>
      </c>
      <c r="CL161" s="23">
        <f>EXP(-LN(2)/25)*CL160+(1-EXP(-LN(2)/25))/(LN(2)/25)*Calculateur!CG161*Calculateur!CI161*VLOOKUP('Données projet'!$B$12,Paramètres!$A$1:$I$89,3,0)*0.475*44/12</f>
        <v>6.4203907758854655</v>
      </c>
      <c r="CM161" s="23">
        <f>EXP(-LN(2)/2)*CM160+(1-EXP(-LN(2)/2))/(LN(2)/2)*CG161*CJ161*VLOOKUP('Données projet'!$B$12,Paramètres!$A$1:$I$89,3,0)*0.475*44/12</f>
        <v>0</v>
      </c>
      <c r="CN161" s="24">
        <f t="shared" si="172"/>
        <v>28.25754373795905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-5.6843418860808015E-14</v>
      </c>
      <c r="CU161" s="18">
        <f>CT161*VLOOKUP('Données projet'!$B$13,Paramètres!$A$1:$I$89,3,0)*VLOOKUP('Données projet'!$B$13,Paramètres!$A$1:$I$89,5,0)</f>
        <v>-5.1431925385259088E-14</v>
      </c>
      <c r="CV161" s="14" t="e">
        <f t="shared" si="173"/>
        <v>#NUM!</v>
      </c>
      <c r="CW161" s="22" t="e">
        <f t="shared" si="174"/>
        <v>#NUM!</v>
      </c>
      <c r="CX161" s="62" t="e">
        <f t="shared" si="122"/>
        <v>#NUM!</v>
      </c>
      <c r="CY161" s="62">
        <f ca="1">AVERAGE(OFFSET($CX$3,0,0,'Données projet'!$E$13+1,1))-AVERAGE(OFFSET($H$3,0,0,'Données projet'!$E$13+1,1))</f>
        <v>376.68007030857598</v>
      </c>
      <c r="CZ161" s="62">
        <f t="shared" si="150"/>
        <v>532.90758914457626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>
        <f>EXP(-LN(2)/35)*DF160+(1-EXP(-LN(2)/35))/(LN(2)/35)*DB161*DC161*VLOOKUP('Données projet'!$B$13,Paramètres!$A$1:$I$89,3,0)*0.475*44/12</f>
        <v>9.9880040068152294</v>
      </c>
      <c r="DG161" s="23">
        <f>EXP(-LN(2)/25)*DG160+(1-EXP(-LN(2)/25))/(LN(2)/25)*Calculateur!DB161*Calculateur!DD161*VLOOKUP('Données projet'!$B$13,Paramètres!$A$1:$I$89,3,0)*0.475*44/12</f>
        <v>0.37670905884952716</v>
      </c>
      <c r="DH161" s="23">
        <f>EXP(-LN(2)/2)*DH160+(1-EXP(-LN(2)/2))/(LN(2)/2)*DB161*DE161*VLOOKUP('Données projet'!$B$13,Paramètres!$A$1:$I$89,3,0)*0.475*44/12</f>
        <v>0</v>
      </c>
      <c r="DI161" s="24">
        <f t="shared" si="175"/>
        <v>10.364713065664757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5.6843418860808015E-14</v>
      </c>
      <c r="DP161" s="18">
        <f>DO161*VLOOKUP('Données projet'!$B$14,Paramètres!$A$1:$I$89,3,0)*VLOOKUP('Données projet'!$B$14,Paramètres!$A$1:$I$89,5,0)</f>
        <v>5.4092197387944907E-14</v>
      </c>
      <c r="DQ161" s="14">
        <f t="shared" si="176"/>
        <v>8.7287050538073676E-13</v>
      </c>
      <c r="DR161" s="22">
        <f t="shared" si="177"/>
        <v>1.6144600406554537E-12</v>
      </c>
      <c r="DS161" s="62">
        <f t="shared" si="125"/>
        <v>287.56052422643359</v>
      </c>
      <c r="DT161" s="62">
        <f ca="1">AVERAGE(OFFSET($DS$3,0,0,'Données projet'!$E$14+1,1))-AVERAGE(OFFSET($H$3,0,0,'Données projet'!$E$14+1,1))</f>
        <v>364.63161066507769</v>
      </c>
      <c r="DU161" s="62">
        <f t="shared" si="152"/>
        <v>355.44729904860708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>
        <f>EXP(-LN(2)/35)*EA160+(1-EXP(-LN(2)/35))/(LN(2)/35)*DW161*DX161*VLOOKUP('Données projet'!$B$14,Paramètres!$A$1:$I$89,3,0)*0.475*44/12</f>
        <v>28.317311625399896</v>
      </c>
      <c r="EB161" s="23">
        <f>EXP(-LN(2)/25)*EB160+(1-EXP(-LN(2)/25))/(LN(2)/25)*Calculateur!DW161*Calculateur!DY161*VLOOKUP('Données projet'!$B$14,Paramètres!$A$1:$I$89,3,0)*0.475*44/12</f>
        <v>0</v>
      </c>
      <c r="EC161" s="23">
        <f>EXP(-LN(2)/2)*EC160+(1-EXP(-LN(2)/2))/(LN(2)/2)*DW161*DZ161*VLOOKUP('Données projet'!$B$14,Paramètres!$A$1:$I$89,3,0)*0.475*44/12</f>
        <v>0</v>
      </c>
      <c r="ED161" s="24">
        <f t="shared" si="178"/>
        <v>28.317311625399896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5.6843418860808015E-14</v>
      </c>
      <c r="EK161" s="18">
        <f>EJ161*VLOOKUP('Données projet'!$B$15,Paramètres!$A$1:$I$89,3,0)*VLOOKUP('Données projet'!$B$15,Paramètres!$A$1:$I$89,5,0)</f>
        <v>4.1677594708744434E-14</v>
      </c>
      <c r="EL161" s="14">
        <f t="shared" si="179"/>
        <v>6.9326303456159188E-13</v>
      </c>
      <c r="EM161" s="22">
        <f t="shared" si="180"/>
        <v>1.2800215959791691E-12</v>
      </c>
      <c r="EN161" s="62">
        <f t="shared" si="128"/>
        <v>287.5605242264333</v>
      </c>
      <c r="EO161" s="62">
        <f ca="1">AVERAGE(OFFSET($EN$3,0,0,'Données projet'!$E$15+1,1))-AVERAGE(OFFSET($H$3,0,0,'Données projet'!$E$15+1,1))</f>
        <v>293.59366973965774</v>
      </c>
      <c r="EP161" s="62">
        <f t="shared" si="154"/>
        <v>288.13804536120426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>
        <f>EXP(-LN(2)/35)*EV160+(1-EXP(-LN(2)/35))/(LN(2)/35)*ER161*ES161*VLOOKUP('Données projet'!$B$15,Paramètres!$A$1:$I$89,3,0)*0.475*44/12</f>
        <v>21.818256498258926</v>
      </c>
      <c r="EW161" s="23">
        <f>EXP(-LN(2)/25)*EW160+(1-EXP(-LN(2)/25))/(LN(2)/25)*Calculateur!ER161*Calculateur!ET161*VLOOKUP('Données projet'!$B$15,Paramètres!$A$1:$I$89,3,0)*0.475*44/12</f>
        <v>0</v>
      </c>
      <c r="EX161" s="23">
        <f>EXP(-LN(2)/2)*EX160+(1-EXP(-LN(2)/2))/(LN(2)/2)*ER161*EU161*VLOOKUP('Données projet'!$B$15,Paramètres!$A$1:$I$89,3,0)*0.475*44/12</f>
        <v>0</v>
      </c>
      <c r="EY161" s="24">
        <f t="shared" si="181"/>
        <v>21.818256498258926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5.6843418860808015E-14</v>
      </c>
      <c r="FF161" s="18">
        <f>FE161*VLOOKUP('Données projet'!$B$16,Paramètres!$A$1:$I$89,3,0)*VLOOKUP('Données projet'!$B$16,Paramètres!$A$1:$I$89,5,0)</f>
        <v>5.4978954722173515E-14</v>
      </c>
      <c r="FG161" s="14">
        <f t="shared" si="182"/>
        <v>8.8550225887742724E-13</v>
      </c>
      <c r="FH161" s="22">
        <f t="shared" si="183"/>
        <v>1.6380047803526383E-12</v>
      </c>
      <c r="FI161" s="62">
        <f t="shared" si="131"/>
        <v>287.56052422643364</v>
      </c>
      <c r="FJ161" s="62">
        <f ca="1">AVERAGE(OFFSET($FI$3,0,0,'Données projet'!$E$16+1,1))-AVERAGE(OFFSET($H$3,0,0,'Données projet'!$E$16+1,1))</f>
        <v>369.69145521630799</v>
      </c>
      <c r="FK161" s="62">
        <f t="shared" si="156"/>
        <v>360.24112103688719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>
        <f>EXP(-LN(2)/35)*FQ160+(1-EXP(-LN(2)/35))/(LN(2)/35)*FM161*FN161*VLOOKUP('Données projet'!$B$16,Paramètres!$A$1:$I$89,3,0)*0.475*44/12</f>
        <v>28.7815298487671</v>
      </c>
      <c r="FR161" s="23">
        <f>EXP(-LN(2)/25)*FR160+(1-EXP(-LN(2)/25))/(LN(2)/25)*Calculateur!FM161*Calculateur!FO161*VLOOKUP('Données projet'!$B$16,Paramètres!$A$1:$I$89,3,0)*0.475*44/12</f>
        <v>0</v>
      </c>
      <c r="FS161" s="23">
        <f>EXP(-LN(2)/2)*FS160+(1-EXP(-LN(2)/2))/(LN(2)/2)*FM161*FP161*VLOOKUP('Données projet'!$B$16,Paramètres!$A$1:$I$89,3,0)*0.475*44/12</f>
        <v>0</v>
      </c>
      <c r="FT161" s="24">
        <f t="shared" si="184"/>
        <v>28.7815298487671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5.6843418860808015E-14</v>
      </c>
      <c r="GA161" s="18">
        <f>FZ161*VLOOKUP('Données projet'!$B$17,Paramètres!$A$1:$I$89,3,0)*VLOOKUP('Données projet'!$B$17,Paramètres!$A$1:$I$89,5,0)</f>
        <v>6.1186256061773749E-14</v>
      </c>
      <c r="GB161" s="14">
        <f t="shared" si="185"/>
        <v>9.7328366192051127E-13</v>
      </c>
      <c r="GC161" s="22">
        <f t="shared" si="186"/>
        <v>1.8017017738191463E-12</v>
      </c>
      <c r="GD161" s="62">
        <f t="shared" si="134"/>
        <v>287.56052422643381</v>
      </c>
      <c r="GE161" s="62">
        <f ca="1">AVERAGE(OFFSET($GD$3,0,0,'Données projet'!$E$17+1,1))-AVERAGE(OFFSET($H$3,0,0,'Données projet'!$E$17+1,1))</f>
        <v>405.06394904053946</v>
      </c>
      <c r="GF161" s="62">
        <f t="shared" si="158"/>
        <v>393.75247087518198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>
        <f>EXP(-LN(2)/35)*GL160+(1-EXP(-LN(2)/35))/(LN(2)/35)*GH161*GI161*VLOOKUP('Données projet'!$B$17,Paramètres!$A$1:$I$89,3,0)*0.475*44/12</f>
        <v>32.03105741233756</v>
      </c>
      <c r="GM161" s="23">
        <f>EXP(-LN(2)/25)*GM160+(1-EXP(-LN(2)/25))/(LN(2)/25)*Calculateur!GH161*Calculateur!GJ161*VLOOKUP('Données projet'!$B$17,Paramètres!$A$1:$I$89,3,0)*0.475*44/12</f>
        <v>0</v>
      </c>
      <c r="GN161" s="23">
        <f>EXP(-LN(2)/2)*GN160+(1-EXP(-LN(2)/2))/(LN(2)/2)*GH161*GK161*VLOOKUP('Données projet'!$B$17,Paramètres!$A$1:$I$89,3,0)*0.475*44/12</f>
        <v>0</v>
      </c>
      <c r="GO161" s="23">
        <f t="shared" si="187"/>
        <v>32.03105741233756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5.6843418860808015E-14</v>
      </c>
      <c r="GV161" s="18">
        <f>GU161*VLOOKUP('Données projet'!$B$18,Paramètres!$A$1:$I$89,3,0)*VLOOKUP('Données projet'!$B$18,Paramètres!$A$1:$I$89,5,0)</f>
        <v>3.813056537183002E-14</v>
      </c>
      <c r="GW161" s="14">
        <f t="shared" si="188"/>
        <v>6.4086286045526829E-13</v>
      </c>
      <c r="GX161" s="22">
        <f t="shared" si="189"/>
        <v>1.1825802166488628E-12</v>
      </c>
      <c r="GY161" s="62">
        <f t="shared" si="137"/>
        <v>287.56052422643319</v>
      </c>
      <c r="GZ161" s="62">
        <f ca="1">AVERAGE(OFFSET($GY$3,0,0,'Données projet'!$E$18+1,1))-AVERAGE(OFFSET($H$3,0,0,'Données projet'!$E$18+1,1))</f>
        <v>273.21861937609918</v>
      </c>
      <c r="HA161" s="62">
        <f t="shared" si="160"/>
        <v>268.83004886965318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>
        <f>EXP(-LN(2)/35)*HG160+(1-EXP(-LN(2)/35))/(LN(2)/35)*HC161*HD161*VLOOKUP('Données projet'!$B$18,Paramètres!$A$1:$I$89,3,0)*0.475*44/12</f>
        <v>24.603565838462188</v>
      </c>
      <c r="HH161" s="23">
        <f>EXP(-LN(2)/25)*HH160+(1-EXP(-LN(2)/25))/(LN(2)/25)*Calculateur!HC161*Calculateur!HE161*VLOOKUP('Données projet'!$B$18,Paramètres!$A$1:$I$89,3,0)*0.475*44/12</f>
        <v>0</v>
      </c>
      <c r="HI161" s="23">
        <f>EXP(-LN(2)/2)*HI160+(1-EXP(-LN(2)/2))/(LN(2)/2)*HC161*HF161*VLOOKUP('Données projet'!$B$18,Paramètres!$A$1:$I$89,3,0)*0.475*44/12</f>
        <v>0</v>
      </c>
      <c r="HJ161" s="24">
        <f t="shared" si="190"/>
        <v>24.603565838462188</v>
      </c>
    </row>
    <row r="162" spans="1:218" x14ac:dyDescent="0.4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-3.4705882352941178</v>
      </c>
      <c r="N162" s="14">
        <f>IF('Données projet'!$A$36&gt;35,N161+M162-V161,IF(A162&lt;'Données projet'!$A$36,$K$205^A162,IF(A162='Données projet'!$A$36,'Données projet'!$B$36,N161+M162-V161)))</f>
        <v>254.8235294117645</v>
      </c>
      <c r="O162" s="14">
        <f>N162*VLOOKUP('Données projet'!$B$9,Paramètres!$A$1:$I$89,3,0)*VLOOKUP('Données projet'!$B$9,Paramètres!$A$1:$I$89,5,0)</f>
        <v>230.5643294117645</v>
      </c>
      <c r="P162" s="14">
        <f t="shared" si="141"/>
        <v>56.404685335263423</v>
      </c>
      <c r="Q162" s="22">
        <f t="shared" si="162"/>
        <v>499.80436735107361</v>
      </c>
      <c r="R162" s="62">
        <f t="shared" si="109"/>
        <v>787.46503690944257</v>
      </c>
      <c r="S162" s="62">
        <f ca="1">AVERAGE(OFFSET($R$3,0,0,'Données projet'!$E$9+1,1))-AVERAGE(OFFSET($H$3,0,0,'Données projet'!$E$9+1,1))</f>
        <v>432.80275651765203</v>
      </c>
      <c r="T162" s="62">
        <f t="shared" si="142"/>
        <v>203.89279893419919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30.549849380689082</v>
      </c>
      <c r="AA162" s="23">
        <f>EXP(-LN(2)/25)*AA161+(1-EXP(-LN(2)/25))/(LN(2)/25)*Calculateur!V162*Calculateur!X162*VLOOKUP('Données projet'!$B$9,Paramètres!$A$1:$I$89,3,0)*0.475*44/12</f>
        <v>18.484177625530538</v>
      </c>
      <c r="AB162" s="23">
        <f>EXP(-LN(2)/2)*AB161+(1-EXP(-LN(2)/2))/(LN(2)/2)*V162*Y162*VLOOKUP('Données projet'!$B$9,Paramètres!$A$1:$I$89,3,0)*0.475*44/12</f>
        <v>0</v>
      </c>
      <c r="AC162" s="24">
        <f t="shared" si="163"/>
        <v>49.034027006219617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54.000000000000341</v>
      </c>
      <c r="AJ162" s="14">
        <f>AI162*VLOOKUP('Données projet'!$B$10,Paramètres!$A$1:$I$89,3,0)*VLOOKUP('Données projet'!$B$10,Paramètres!$A$1:$I$89,5,0)</f>
        <v>23.868000000000151</v>
      </c>
      <c r="AK162" s="14">
        <f t="shared" si="164"/>
        <v>7.6030930962115804</v>
      </c>
      <c r="AL162" s="22">
        <f t="shared" si="165"/>
        <v>54.812153809235433</v>
      </c>
      <c r="AM162" s="62">
        <f t="shared" si="113"/>
        <v>342.47282336760441</v>
      </c>
      <c r="AN162" s="62">
        <f ca="1">AVERAGE(OFFSET($AM$3,0,0,'Données projet'!$E$10+1,1))-AVERAGE(OFFSET($H$3,0,0,'Données projet'!$E$10+1,1))</f>
        <v>413.08876898406481</v>
      </c>
      <c r="AO162" s="62">
        <f t="shared" si="144"/>
        <v>520.31320932826566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38.677587238684744</v>
      </c>
      <c r="AV162" s="23">
        <f>EXP(-LN(2)/25)*AV161+(1-EXP(-LN(2)/25))/(LN(2)/25)*Calculateur!AQ162*Calculateur!AS162*VLOOKUP('Données projet'!$B$10,Paramètres!$A$1:$I$89,3,0)*0.475*44/12</f>
        <v>1.2965905841861765</v>
      </c>
      <c r="AW162" s="23">
        <f>EXP(-LN(2)/2)*AW161+(1-EXP(-LN(2)/2))/(LN(2)/2)*AQ162*AT162*VLOOKUP('Données projet'!$B$10,Paramètres!$A$1:$I$89,3,0)*0.475*44/12</f>
        <v>2.7950694346106652E-17</v>
      </c>
      <c r="AX162" s="23">
        <f t="shared" si="166"/>
        <v>39.974177822870921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54.000000000000341</v>
      </c>
      <c r="BE162" s="14">
        <f>BD162*VLOOKUP('Données projet'!$B$11,Paramètres!$A$1:$I$89,3,0)*VLOOKUP('Données projet'!$B$11,Paramètres!$A$1:$I$89,5,0)</f>
        <v>30.186000000000188</v>
      </c>
      <c r="BF162" s="14">
        <f t="shared" si="167"/>
        <v>9.3563888882899153</v>
      </c>
      <c r="BG162" s="22">
        <f t="shared" si="168"/>
        <v>68.869660647105263</v>
      </c>
      <c r="BH162" s="62">
        <f t="shared" si="116"/>
        <v>356.53033020547423</v>
      </c>
      <c r="BI162" s="62">
        <f ca="1">AVERAGE(OFFSET($BH$3,0,0,'Données projet'!$E$11+1,1))-AVERAGE(OFFSET($H$3,0,0,'Données projet'!$E$11+1,1))</f>
        <v>507.66185230065889</v>
      </c>
      <c r="BJ162" s="62">
        <f t="shared" si="146"/>
        <v>640.14375617778342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48.915772095983591</v>
      </c>
      <c r="BQ162" s="23">
        <f>EXP(-LN(2)/25)*BQ161+(1-EXP(-LN(2)/25))/(LN(2)/25)*Calculateur!BL162*Calculateur!BN162*VLOOKUP('Données projet'!$B$11,Paramètres!$A$1:$I$89,3,0)*0.475*44/12</f>
        <v>1.6398057388236953</v>
      </c>
      <c r="BR162" s="23">
        <f>EXP(-LN(2)/2)*BR161+(1-EXP(-LN(2)/2))/(LN(2)/2)*BL162*BO162*VLOOKUP('Données projet'!$B$11,Paramètres!$A$1:$I$89,3,0)*0.475*44/12</f>
        <v>3.5349407555370202E-17</v>
      </c>
      <c r="BS162" s="24">
        <f t="shared" si="169"/>
        <v>50.555577834807288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417.04879970000007</v>
      </c>
      <c r="BZ162" s="14">
        <f>BY162*VLOOKUP('Données projet'!$B$12,Paramètres!$A$1:$I$89,3,0)*VLOOKUP('Données projet'!$B$12,Paramètres!$A$1:$I$89,5,0)</f>
        <v>195.17883825960004</v>
      </c>
      <c r="CA162" s="14">
        <f t="shared" si="170"/>
        <v>48.683122291673484</v>
      </c>
      <c r="CB162" s="22">
        <f t="shared" si="171"/>
        <v>424.72624796013469</v>
      </c>
      <c r="CC162" s="62">
        <f t="shared" si="119"/>
        <v>712.38691751850365</v>
      </c>
      <c r="CD162" s="62">
        <f ca="1">AVERAGE(OFFSET($CC$3,0,0,'Données projet'!$E$12+1,1))-AVERAGE(OFFSET($H$3,0,0,'Données projet'!$E$12+1,1))</f>
        <v>289.21044803824958</v>
      </c>
      <c r="CE162" s="62">
        <f t="shared" si="148"/>
        <v>196.11836398299445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>
        <f>EXP(-LN(2)/35)*CK161+(1-EXP(-LN(2)/35))/(LN(2)/35)*CG162*CH162*VLOOKUP('Données projet'!$B$12,Paramètres!$A$1:$I$89,3,0)*0.475*44/12</f>
        <v>21.408939711835451</v>
      </c>
      <c r="CL162" s="23">
        <f>EXP(-LN(2)/25)*CL161+(1-EXP(-LN(2)/25))/(LN(2)/25)*Calculateur!CG162*Calculateur!CI162*VLOOKUP('Données projet'!$B$12,Paramètres!$A$1:$I$89,3,0)*0.475*44/12</f>
        <v>6.2448248524852001</v>
      </c>
      <c r="CM162" s="23">
        <f>EXP(-LN(2)/2)*CM161+(1-EXP(-LN(2)/2))/(LN(2)/2)*CG162*CJ162*VLOOKUP('Données projet'!$B$12,Paramètres!$A$1:$I$89,3,0)*0.475*44/12</f>
        <v>0</v>
      </c>
      <c r="CN162" s="24">
        <f t="shared" si="172"/>
        <v>27.653764564320653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-5.6843418860808015E-14</v>
      </c>
      <c r="CU162" s="18">
        <f>CT162*VLOOKUP('Données projet'!$B$13,Paramètres!$A$1:$I$89,3,0)*VLOOKUP('Données projet'!$B$13,Paramètres!$A$1:$I$89,5,0)</f>
        <v>-5.1431925385259088E-14</v>
      </c>
      <c r="CV162" s="14" t="e">
        <f t="shared" si="173"/>
        <v>#NUM!</v>
      </c>
      <c r="CW162" s="22" t="e">
        <f t="shared" si="174"/>
        <v>#NUM!</v>
      </c>
      <c r="CX162" s="62" t="e">
        <f t="shared" si="122"/>
        <v>#NUM!</v>
      </c>
      <c r="CY162" s="62">
        <f ca="1">AVERAGE(OFFSET($CX$3,0,0,'Données projet'!$E$13+1,1))-AVERAGE(OFFSET($H$3,0,0,'Données projet'!$E$13+1,1))</f>
        <v>376.68007030857598</v>
      </c>
      <c r="CZ162" s="62">
        <f t="shared" si="150"/>
        <v>532.90758914457626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>
        <f>EXP(-LN(2)/35)*DF161+(1-EXP(-LN(2)/35))/(LN(2)/35)*DB162*DC162*VLOOKUP('Données projet'!$B$13,Paramètres!$A$1:$I$89,3,0)*0.475*44/12</f>
        <v>9.7921453403224845</v>
      </c>
      <c r="DG162" s="23">
        <f>EXP(-LN(2)/25)*DG161+(1-EXP(-LN(2)/25))/(LN(2)/25)*Calculateur!DB162*Calculateur!DD162*VLOOKUP('Données projet'!$B$13,Paramètres!$A$1:$I$89,3,0)*0.475*44/12</f>
        <v>0.36640792982501841</v>
      </c>
      <c r="DH162" s="23">
        <f>EXP(-LN(2)/2)*DH161+(1-EXP(-LN(2)/2))/(LN(2)/2)*DB162*DE162*VLOOKUP('Données projet'!$B$13,Paramètres!$A$1:$I$89,3,0)*0.475*44/12</f>
        <v>0</v>
      </c>
      <c r="DI162" s="24">
        <f t="shared" si="175"/>
        <v>10.158553270147502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5.6843418860808015E-14</v>
      </c>
      <c r="DP162" s="18">
        <f>DO162*VLOOKUP('Données projet'!$B$14,Paramètres!$A$1:$I$89,3,0)*VLOOKUP('Données projet'!$B$14,Paramètres!$A$1:$I$89,5,0)</f>
        <v>5.4092197387944907E-14</v>
      </c>
      <c r="DQ162" s="14">
        <f t="shared" si="176"/>
        <v>8.7287050538073676E-13</v>
      </c>
      <c r="DR162" s="22">
        <f t="shared" si="177"/>
        <v>1.6144600406554537E-12</v>
      </c>
      <c r="DS162" s="62">
        <f t="shared" si="125"/>
        <v>287.66066955837056</v>
      </c>
      <c r="DT162" s="62">
        <f ca="1">AVERAGE(OFFSET($DS$3,0,0,'Données projet'!$E$14+1,1))-AVERAGE(OFFSET($H$3,0,0,'Données projet'!$E$14+1,1))</f>
        <v>364.63161066507769</v>
      </c>
      <c r="DU162" s="62">
        <f t="shared" si="152"/>
        <v>355.44729904860708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>
        <f>EXP(-LN(2)/35)*EA161+(1-EXP(-LN(2)/35))/(LN(2)/35)*DW162*DX162*VLOOKUP('Données projet'!$B$14,Paramètres!$A$1:$I$89,3,0)*0.475*44/12</f>
        <v>27.762026416280442</v>
      </c>
      <c r="EB162" s="23">
        <f>EXP(-LN(2)/25)*EB161+(1-EXP(-LN(2)/25))/(LN(2)/25)*Calculateur!DW162*Calculateur!DY162*VLOOKUP('Données projet'!$B$14,Paramètres!$A$1:$I$89,3,0)*0.475*44/12</f>
        <v>0</v>
      </c>
      <c r="EC162" s="23">
        <f>EXP(-LN(2)/2)*EC161+(1-EXP(-LN(2)/2))/(LN(2)/2)*DW162*DZ162*VLOOKUP('Données projet'!$B$14,Paramètres!$A$1:$I$89,3,0)*0.475*44/12</f>
        <v>0</v>
      </c>
      <c r="ED162" s="24">
        <f t="shared" si="178"/>
        <v>27.762026416280442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5.6843418860808015E-14</v>
      </c>
      <c r="EK162" s="18">
        <f>EJ162*VLOOKUP('Données projet'!$B$15,Paramètres!$A$1:$I$89,3,0)*VLOOKUP('Données projet'!$B$15,Paramètres!$A$1:$I$89,5,0)</f>
        <v>4.1677594708744434E-14</v>
      </c>
      <c r="EL162" s="14">
        <f t="shared" si="179"/>
        <v>6.9326303456159188E-13</v>
      </c>
      <c r="EM162" s="22">
        <f t="shared" si="180"/>
        <v>1.2800215959791691E-12</v>
      </c>
      <c r="EN162" s="62">
        <f t="shared" si="128"/>
        <v>287.66066955837027</v>
      </c>
      <c r="EO162" s="62">
        <f ca="1">AVERAGE(OFFSET($EN$3,0,0,'Données projet'!$E$15+1,1))-AVERAGE(OFFSET($H$3,0,0,'Données projet'!$E$15+1,1))</f>
        <v>293.59366973965774</v>
      </c>
      <c r="EP162" s="62">
        <f t="shared" si="154"/>
        <v>288.13804536120426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>
        <f>EXP(-LN(2)/35)*EV161+(1-EXP(-LN(2)/35))/(LN(2)/35)*ER162*ES162*VLOOKUP('Données projet'!$B$15,Paramètres!$A$1:$I$89,3,0)*0.475*44/12</f>
        <v>21.390413796150494</v>
      </c>
      <c r="EW162" s="23">
        <f>EXP(-LN(2)/25)*EW161+(1-EXP(-LN(2)/25))/(LN(2)/25)*Calculateur!ER162*Calculateur!ET162*VLOOKUP('Données projet'!$B$15,Paramètres!$A$1:$I$89,3,0)*0.475*44/12</f>
        <v>0</v>
      </c>
      <c r="EX162" s="23">
        <f>EXP(-LN(2)/2)*EX161+(1-EXP(-LN(2)/2))/(LN(2)/2)*ER162*EU162*VLOOKUP('Données projet'!$B$15,Paramètres!$A$1:$I$89,3,0)*0.475*44/12</f>
        <v>0</v>
      </c>
      <c r="EY162" s="24">
        <f t="shared" si="181"/>
        <v>21.390413796150494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5.6843418860808015E-14</v>
      </c>
      <c r="FF162" s="18">
        <f>FE162*VLOOKUP('Données projet'!$B$16,Paramètres!$A$1:$I$89,3,0)*VLOOKUP('Données projet'!$B$16,Paramètres!$A$1:$I$89,5,0)</f>
        <v>5.4978954722173515E-14</v>
      </c>
      <c r="FG162" s="14">
        <f t="shared" si="182"/>
        <v>8.8550225887742724E-13</v>
      </c>
      <c r="FH162" s="22">
        <f t="shared" si="183"/>
        <v>1.6380047803526383E-12</v>
      </c>
      <c r="FI162" s="62">
        <f t="shared" si="131"/>
        <v>287.66066955837061</v>
      </c>
      <c r="FJ162" s="62">
        <f ca="1">AVERAGE(OFFSET($FI$3,0,0,'Données projet'!$E$16+1,1))-AVERAGE(OFFSET($H$3,0,0,'Données projet'!$E$16+1,1))</f>
        <v>369.69145521630799</v>
      </c>
      <c r="FK162" s="62">
        <f t="shared" si="156"/>
        <v>360.24112103688719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>
        <f>EXP(-LN(2)/35)*FQ161+(1-EXP(-LN(2)/35))/(LN(2)/35)*FM162*FN162*VLOOKUP('Données projet'!$B$16,Paramètres!$A$1:$I$89,3,0)*0.475*44/12</f>
        <v>28.217141603432573</v>
      </c>
      <c r="FR162" s="23">
        <f>EXP(-LN(2)/25)*FR161+(1-EXP(-LN(2)/25))/(LN(2)/25)*Calculateur!FM162*Calculateur!FO162*VLOOKUP('Données projet'!$B$16,Paramètres!$A$1:$I$89,3,0)*0.475*44/12</f>
        <v>0</v>
      </c>
      <c r="FS162" s="23">
        <f>EXP(-LN(2)/2)*FS161+(1-EXP(-LN(2)/2))/(LN(2)/2)*FM162*FP162*VLOOKUP('Données projet'!$B$16,Paramètres!$A$1:$I$89,3,0)*0.475*44/12</f>
        <v>0</v>
      </c>
      <c r="FT162" s="24">
        <f t="shared" si="184"/>
        <v>28.217141603432573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5.6843418860808015E-14</v>
      </c>
      <c r="GA162" s="18">
        <f>FZ162*VLOOKUP('Données projet'!$B$17,Paramètres!$A$1:$I$89,3,0)*VLOOKUP('Données projet'!$B$17,Paramètres!$A$1:$I$89,5,0)</f>
        <v>6.1186256061773749E-14</v>
      </c>
      <c r="GB162" s="14">
        <f t="shared" si="185"/>
        <v>9.7328366192051127E-13</v>
      </c>
      <c r="GC162" s="22">
        <f t="shared" si="186"/>
        <v>1.8017017738191463E-12</v>
      </c>
      <c r="GD162" s="62">
        <f t="shared" si="134"/>
        <v>287.66066955837078</v>
      </c>
      <c r="GE162" s="62">
        <f ca="1">AVERAGE(OFFSET($GD$3,0,0,'Données projet'!$E$17+1,1))-AVERAGE(OFFSET($H$3,0,0,'Données projet'!$E$17+1,1))</f>
        <v>405.06394904053946</v>
      </c>
      <c r="GF162" s="62">
        <f t="shared" si="158"/>
        <v>393.75247087518198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>
        <f>EXP(-LN(2)/35)*GL161+(1-EXP(-LN(2)/35))/(LN(2)/35)*GH162*GI162*VLOOKUP('Données projet'!$B$17,Paramètres!$A$1:$I$89,3,0)*0.475*44/12</f>
        <v>31.40294791349752</v>
      </c>
      <c r="GM162" s="23">
        <f>EXP(-LN(2)/25)*GM161+(1-EXP(-LN(2)/25))/(LN(2)/25)*Calculateur!GH162*Calculateur!GJ162*VLOOKUP('Données projet'!$B$17,Paramètres!$A$1:$I$89,3,0)*0.475*44/12</f>
        <v>0</v>
      </c>
      <c r="GN162" s="23">
        <f>EXP(-LN(2)/2)*GN161+(1-EXP(-LN(2)/2))/(LN(2)/2)*GH162*GK162*VLOOKUP('Données projet'!$B$17,Paramètres!$A$1:$I$89,3,0)*0.475*44/12</f>
        <v>0</v>
      </c>
      <c r="GO162" s="23">
        <f t="shared" si="187"/>
        <v>31.40294791349752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5.6843418860808015E-14</v>
      </c>
      <c r="GV162" s="18">
        <f>GU162*VLOOKUP('Données projet'!$B$18,Paramètres!$A$1:$I$89,3,0)*VLOOKUP('Données projet'!$B$18,Paramètres!$A$1:$I$89,5,0)</f>
        <v>3.813056537183002E-14</v>
      </c>
      <c r="GW162" s="14">
        <f t="shared" si="188"/>
        <v>6.4086286045526829E-13</v>
      </c>
      <c r="GX162" s="22">
        <f t="shared" si="189"/>
        <v>1.1825802166488628E-12</v>
      </c>
      <c r="GY162" s="62">
        <f t="shared" si="137"/>
        <v>287.66066955837016</v>
      </c>
      <c r="GZ162" s="62">
        <f ca="1">AVERAGE(OFFSET($GY$3,0,0,'Données projet'!$E$18+1,1))-AVERAGE(OFFSET($H$3,0,0,'Données projet'!$E$18+1,1))</f>
        <v>273.21861937609918</v>
      </c>
      <c r="HA162" s="62">
        <f t="shared" si="160"/>
        <v>268.83004886965318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>
        <f>EXP(-LN(2)/35)*HG161+(1-EXP(-LN(2)/35))/(LN(2)/35)*HC162*HD162*VLOOKUP('Données projet'!$B$18,Paramètres!$A$1:$I$89,3,0)*0.475*44/12</f>
        <v>24.121104919063317</v>
      </c>
      <c r="HH162" s="23">
        <f>EXP(-LN(2)/25)*HH161+(1-EXP(-LN(2)/25))/(LN(2)/25)*Calculateur!HC162*Calculateur!HE162*VLOOKUP('Données projet'!$B$18,Paramètres!$A$1:$I$89,3,0)*0.475*44/12</f>
        <v>0</v>
      </c>
      <c r="HI162" s="23">
        <f>EXP(-LN(2)/2)*HI161+(1-EXP(-LN(2)/2))/(LN(2)/2)*HC162*HF162*VLOOKUP('Données projet'!$B$18,Paramètres!$A$1:$I$89,3,0)*0.475*44/12</f>
        <v>0</v>
      </c>
      <c r="HJ162" s="24">
        <f t="shared" si="190"/>
        <v>24.121104919063317</v>
      </c>
    </row>
    <row r="163" spans="1:218" x14ac:dyDescent="0.4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-3.4705882352941178</v>
      </c>
      <c r="N163" s="14">
        <f>IF('Données projet'!$A$36&gt;35,N162+M163-V162,IF(A163&lt;'Données projet'!$A$36,$K$205^A163,IF(A163='Données projet'!$A$36,'Données projet'!$B$36,N162+M163-V162)))</f>
        <v>251.35294117647038</v>
      </c>
      <c r="O163" s="14">
        <f>N163*VLOOKUP('Données projet'!$B$9,Paramètres!$A$1:$I$89,3,0)*VLOOKUP('Données projet'!$B$9,Paramètres!$A$1:$I$89,5,0)</f>
        <v>227.42414117647041</v>
      </c>
      <c r="P163" s="14">
        <f t="shared" si="141"/>
        <v>55.72535607839356</v>
      </c>
      <c r="Q163" s="22">
        <f t="shared" si="162"/>
        <v>493.15204105222142</v>
      </c>
      <c r="R163" s="62">
        <f t="shared" si="109"/>
        <v>780.91111864490972</v>
      </c>
      <c r="S163" s="62">
        <f ca="1">AVERAGE(OFFSET($R$3,0,0,'Données projet'!$E$9+1,1))-AVERAGE(OFFSET($H$3,0,0,'Données projet'!$E$9+1,1))</f>
        <v>432.80275651765203</v>
      </c>
      <c r="T163" s="62">
        <f t="shared" si="142"/>
        <v>203.89279893419919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29.95078546790198</v>
      </c>
      <c r="AA163" s="23">
        <f>EXP(-LN(2)/25)*AA162+(1-EXP(-LN(2)/25))/(LN(2)/25)*Calculateur!V163*Calculateur!X163*VLOOKUP('Données projet'!$B$9,Paramètres!$A$1:$I$89,3,0)*0.475*44/12</f>
        <v>17.97872681631975</v>
      </c>
      <c r="AB163" s="23">
        <f>EXP(-LN(2)/2)*AB162+(1-EXP(-LN(2)/2))/(LN(2)/2)*V163*Y163*VLOOKUP('Données projet'!$B$9,Paramètres!$A$1:$I$89,3,0)*0.475*44/12</f>
        <v>0</v>
      </c>
      <c r="AC163" s="24">
        <f t="shared" si="163"/>
        <v>47.92951228422173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54.000000000000341</v>
      </c>
      <c r="AJ163" s="14">
        <f>AI163*VLOOKUP('Données projet'!$B$10,Paramètres!$A$1:$I$89,3,0)*VLOOKUP('Données projet'!$B$10,Paramètres!$A$1:$I$89,5,0)</f>
        <v>23.868000000000151</v>
      </c>
      <c r="AK163" s="14">
        <f t="shared" si="164"/>
        <v>7.6030930962115804</v>
      </c>
      <c r="AL163" s="22">
        <f t="shared" si="165"/>
        <v>54.812153809235433</v>
      </c>
      <c r="AM163" s="62">
        <f t="shared" si="113"/>
        <v>342.5712314019238</v>
      </c>
      <c r="AN163" s="62">
        <f ca="1">AVERAGE(OFFSET($AM$3,0,0,'Données projet'!$E$10+1,1))-AVERAGE(OFFSET($H$3,0,0,'Données projet'!$E$10+1,1))</f>
        <v>413.08876898406481</v>
      </c>
      <c r="AO163" s="62">
        <f t="shared" si="144"/>
        <v>520.31320932826566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37.919143343932937</v>
      </c>
      <c r="AV163" s="23">
        <f>EXP(-LN(2)/25)*AV162+(1-EXP(-LN(2)/25))/(LN(2)/25)*Calculateur!AQ163*Calculateur!AS163*VLOOKUP('Données projet'!$B$10,Paramètres!$A$1:$I$89,3,0)*0.475*44/12</f>
        <v>1.2611352464768701</v>
      </c>
      <c r="AW163" s="23">
        <f>EXP(-LN(2)/2)*AW162+(1-EXP(-LN(2)/2))/(LN(2)/2)*AQ163*AT163*VLOOKUP('Données projet'!$B$10,Paramètres!$A$1:$I$89,3,0)*0.475*44/12</f>
        <v>1.9764125511004508E-17</v>
      </c>
      <c r="AX163" s="23">
        <f t="shared" si="166"/>
        <v>39.180278590409806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54.000000000000341</v>
      </c>
      <c r="BE163" s="14">
        <f>BD163*VLOOKUP('Données projet'!$B$11,Paramètres!$A$1:$I$89,3,0)*VLOOKUP('Données projet'!$B$11,Paramètres!$A$1:$I$89,5,0)</f>
        <v>30.186000000000188</v>
      </c>
      <c r="BF163" s="14">
        <f t="shared" si="167"/>
        <v>9.3563888882899153</v>
      </c>
      <c r="BG163" s="22">
        <f t="shared" si="168"/>
        <v>68.869660647105263</v>
      </c>
      <c r="BH163" s="62">
        <f t="shared" si="116"/>
        <v>356.62873823979362</v>
      </c>
      <c r="BI163" s="62">
        <f ca="1">AVERAGE(OFFSET($BH$3,0,0,'Données projet'!$E$11+1,1))-AVERAGE(OFFSET($H$3,0,0,'Données projet'!$E$11+1,1))</f>
        <v>507.66185230065889</v>
      </c>
      <c r="BJ163" s="62">
        <f t="shared" si="146"/>
        <v>640.14375617778342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47.956563640856302</v>
      </c>
      <c r="BQ163" s="23">
        <f>EXP(-LN(2)/25)*BQ162+(1-EXP(-LN(2)/25))/(LN(2)/25)*Calculateur!BL163*Calculateur!BN163*VLOOKUP('Données projet'!$B$11,Paramètres!$A$1:$I$89,3,0)*0.475*44/12</f>
        <v>1.5949651646619254</v>
      </c>
      <c r="BR163" s="23">
        <f>EXP(-LN(2)/2)*BR162+(1-EXP(-LN(2)/2))/(LN(2)/2)*BL163*BO163*VLOOKUP('Données projet'!$B$11,Paramètres!$A$1:$I$89,3,0)*0.475*44/12</f>
        <v>2.4995805793329247E-17</v>
      </c>
      <c r="BS163" s="24">
        <f t="shared" si="169"/>
        <v>49.551528805518231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417.04879970000007</v>
      </c>
      <c r="BZ163" s="14">
        <f>BY163*VLOOKUP('Données projet'!$B$12,Paramètres!$A$1:$I$89,3,0)*VLOOKUP('Données projet'!$B$12,Paramètres!$A$1:$I$89,5,0)</f>
        <v>195.17883825960004</v>
      </c>
      <c r="CA163" s="14">
        <f t="shared" si="170"/>
        <v>48.683122291673484</v>
      </c>
      <c r="CB163" s="22">
        <f t="shared" si="171"/>
        <v>424.72624796013469</v>
      </c>
      <c r="CC163" s="62">
        <f t="shared" si="119"/>
        <v>712.48532555282304</v>
      </c>
      <c r="CD163" s="62">
        <f ca="1">AVERAGE(OFFSET($CC$3,0,0,'Données projet'!$E$12+1,1))-AVERAGE(OFFSET($H$3,0,0,'Données projet'!$E$12+1,1))</f>
        <v>289.21044803824958</v>
      </c>
      <c r="CE163" s="62">
        <f t="shared" si="148"/>
        <v>196.11836398299445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>
        <f>EXP(-LN(2)/35)*CK162+(1-EXP(-LN(2)/35))/(LN(2)/35)*CG163*CH163*VLOOKUP('Données projet'!$B$12,Paramètres!$A$1:$I$89,3,0)*0.475*44/12</f>
        <v>20.989123462250195</v>
      </c>
      <c r="CL163" s="23">
        <f>EXP(-LN(2)/25)*CL162+(1-EXP(-LN(2)/25))/(LN(2)/25)*Calculateur!CG163*Calculateur!CI163*VLOOKUP('Données projet'!$B$12,Paramètres!$A$1:$I$89,3,0)*0.475*44/12</f>
        <v>6.0740597884929262</v>
      </c>
      <c r="CM163" s="23">
        <f>EXP(-LN(2)/2)*CM162+(1-EXP(-LN(2)/2))/(LN(2)/2)*CG163*CJ163*VLOOKUP('Données projet'!$B$12,Paramètres!$A$1:$I$89,3,0)*0.475*44/12</f>
        <v>0</v>
      </c>
      <c r="CN163" s="24">
        <f t="shared" si="172"/>
        <v>27.063183250743123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-5.6843418860808015E-14</v>
      </c>
      <c r="CU163" s="18">
        <f>CT163*VLOOKUP('Données projet'!$B$13,Paramètres!$A$1:$I$89,3,0)*VLOOKUP('Données projet'!$B$13,Paramètres!$A$1:$I$89,5,0)</f>
        <v>-5.1431925385259088E-14</v>
      </c>
      <c r="CV163" s="14" t="e">
        <f t="shared" si="173"/>
        <v>#NUM!</v>
      </c>
      <c r="CW163" s="22" t="e">
        <f t="shared" si="174"/>
        <v>#NUM!</v>
      </c>
      <c r="CX163" s="62" t="e">
        <f t="shared" si="122"/>
        <v>#NUM!</v>
      </c>
      <c r="CY163" s="62">
        <f ca="1">AVERAGE(OFFSET($CX$3,0,0,'Données projet'!$E$13+1,1))-AVERAGE(OFFSET($H$3,0,0,'Données projet'!$E$13+1,1))</f>
        <v>376.68007030857598</v>
      </c>
      <c r="CZ163" s="62">
        <f t="shared" si="150"/>
        <v>532.90758914457626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>
        <f>EXP(-LN(2)/35)*DF162+(1-EXP(-LN(2)/35))/(LN(2)/35)*DB163*DC163*VLOOKUP('Données projet'!$B$13,Paramètres!$A$1:$I$89,3,0)*0.475*44/12</f>
        <v>9.6001273428176717</v>
      </c>
      <c r="DG163" s="23">
        <f>EXP(-LN(2)/25)*DG162+(1-EXP(-LN(2)/25))/(LN(2)/25)*Calculateur!DB163*Calculateur!DD163*VLOOKUP('Données projet'!$B$13,Paramètres!$A$1:$I$89,3,0)*0.475*44/12</f>
        <v>0.35638848571539766</v>
      </c>
      <c r="DH163" s="23">
        <f>EXP(-LN(2)/2)*DH162+(1-EXP(-LN(2)/2))/(LN(2)/2)*DB163*DE163*VLOOKUP('Données projet'!$B$13,Paramètres!$A$1:$I$89,3,0)*0.475*44/12</f>
        <v>0</v>
      </c>
      <c r="DI163" s="24">
        <f t="shared" si="175"/>
        <v>9.9565158285330693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5.6843418860808015E-14</v>
      </c>
      <c r="DP163" s="18">
        <f>DO163*VLOOKUP('Données projet'!$B$14,Paramètres!$A$1:$I$89,3,0)*VLOOKUP('Données projet'!$B$14,Paramètres!$A$1:$I$89,5,0)</f>
        <v>5.4092197387944907E-14</v>
      </c>
      <c r="DQ163" s="14">
        <f t="shared" si="176"/>
        <v>8.7287050538073676E-13</v>
      </c>
      <c r="DR163" s="22">
        <f t="shared" si="177"/>
        <v>1.6144600406554537E-12</v>
      </c>
      <c r="DS163" s="62">
        <f t="shared" si="125"/>
        <v>287.75907759268995</v>
      </c>
      <c r="DT163" s="62">
        <f ca="1">AVERAGE(OFFSET($DS$3,0,0,'Données projet'!$E$14+1,1))-AVERAGE(OFFSET($H$3,0,0,'Données projet'!$E$14+1,1))</f>
        <v>364.63161066507769</v>
      </c>
      <c r="DU163" s="62">
        <f t="shared" si="152"/>
        <v>355.44729904860708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>
        <f>EXP(-LN(2)/35)*EA162+(1-EXP(-LN(2)/35))/(LN(2)/35)*DW163*DX163*VLOOKUP('Données projet'!$B$14,Paramètres!$A$1:$I$89,3,0)*0.475*44/12</f>
        <v>27.217630011421285</v>
      </c>
      <c r="EB163" s="23">
        <f>EXP(-LN(2)/25)*EB162+(1-EXP(-LN(2)/25))/(LN(2)/25)*Calculateur!DW163*Calculateur!DY163*VLOOKUP('Données projet'!$B$14,Paramètres!$A$1:$I$89,3,0)*0.475*44/12</f>
        <v>0</v>
      </c>
      <c r="EC163" s="23">
        <f>EXP(-LN(2)/2)*EC162+(1-EXP(-LN(2)/2))/(LN(2)/2)*DW163*DZ163*VLOOKUP('Données projet'!$B$14,Paramètres!$A$1:$I$89,3,0)*0.475*44/12</f>
        <v>0</v>
      </c>
      <c r="ED163" s="24">
        <f t="shared" si="178"/>
        <v>27.217630011421285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5.6843418860808015E-14</v>
      </c>
      <c r="EK163" s="18">
        <f>EJ163*VLOOKUP('Données projet'!$B$15,Paramètres!$A$1:$I$89,3,0)*VLOOKUP('Données projet'!$B$15,Paramètres!$A$1:$I$89,5,0)</f>
        <v>4.1677594708744434E-14</v>
      </c>
      <c r="EL163" s="14">
        <f t="shared" si="179"/>
        <v>6.9326303456159188E-13</v>
      </c>
      <c r="EM163" s="22">
        <f t="shared" si="180"/>
        <v>1.2800215959791691E-12</v>
      </c>
      <c r="EN163" s="62">
        <f t="shared" si="128"/>
        <v>287.75907759268966</v>
      </c>
      <c r="EO163" s="62">
        <f ca="1">AVERAGE(OFFSET($EN$3,0,0,'Données projet'!$E$15+1,1))-AVERAGE(OFFSET($H$3,0,0,'Données projet'!$E$15+1,1))</f>
        <v>293.59366973965774</v>
      </c>
      <c r="EP163" s="62">
        <f t="shared" si="154"/>
        <v>288.13804536120426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>
        <f>EXP(-LN(2)/35)*EV162+(1-EXP(-LN(2)/35))/(LN(2)/35)*ER163*ES163*VLOOKUP('Données projet'!$B$15,Paramètres!$A$1:$I$89,3,0)*0.475*44/12</f>
        <v>20.970960828472126</v>
      </c>
      <c r="EW163" s="23">
        <f>EXP(-LN(2)/25)*EW162+(1-EXP(-LN(2)/25))/(LN(2)/25)*Calculateur!ER163*Calculateur!ET163*VLOOKUP('Données projet'!$B$15,Paramètres!$A$1:$I$89,3,0)*0.475*44/12</f>
        <v>0</v>
      </c>
      <c r="EX163" s="23">
        <f>EXP(-LN(2)/2)*EX162+(1-EXP(-LN(2)/2))/(LN(2)/2)*ER163*EU163*VLOOKUP('Données projet'!$B$15,Paramètres!$A$1:$I$89,3,0)*0.475*44/12</f>
        <v>0</v>
      </c>
      <c r="EY163" s="24">
        <f t="shared" si="181"/>
        <v>20.970960828472126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5.6843418860808015E-14</v>
      </c>
      <c r="FF163" s="18">
        <f>FE163*VLOOKUP('Données projet'!$B$16,Paramètres!$A$1:$I$89,3,0)*VLOOKUP('Données projet'!$B$16,Paramètres!$A$1:$I$89,5,0)</f>
        <v>5.4978954722173515E-14</v>
      </c>
      <c r="FG163" s="14">
        <f t="shared" si="182"/>
        <v>8.8550225887742724E-13</v>
      </c>
      <c r="FH163" s="22">
        <f t="shared" si="183"/>
        <v>1.6380047803526383E-12</v>
      </c>
      <c r="FI163" s="62">
        <f t="shared" si="131"/>
        <v>287.75907759269001</v>
      </c>
      <c r="FJ163" s="62">
        <f ca="1">AVERAGE(OFFSET($FI$3,0,0,'Données projet'!$E$16+1,1))-AVERAGE(OFFSET($H$3,0,0,'Données projet'!$E$16+1,1))</f>
        <v>369.69145521630799</v>
      </c>
      <c r="FK163" s="62">
        <f t="shared" si="156"/>
        <v>360.24112103688719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>
        <f>EXP(-LN(2)/35)*FQ162+(1-EXP(-LN(2)/35))/(LN(2)/35)*FM163*FN163*VLOOKUP('Données projet'!$B$16,Paramètres!$A$1:$I$89,3,0)*0.475*44/12</f>
        <v>27.663820667346219</v>
      </c>
      <c r="FR163" s="23">
        <f>EXP(-LN(2)/25)*FR162+(1-EXP(-LN(2)/25))/(LN(2)/25)*Calculateur!FM163*Calculateur!FO163*VLOOKUP('Données projet'!$B$16,Paramètres!$A$1:$I$89,3,0)*0.475*44/12</f>
        <v>0</v>
      </c>
      <c r="FS163" s="23">
        <f>EXP(-LN(2)/2)*FS162+(1-EXP(-LN(2)/2))/(LN(2)/2)*FM163*FP163*VLOOKUP('Données projet'!$B$16,Paramètres!$A$1:$I$89,3,0)*0.475*44/12</f>
        <v>0</v>
      </c>
      <c r="FT163" s="24">
        <f t="shared" si="184"/>
        <v>27.663820667346219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5.6843418860808015E-14</v>
      </c>
      <c r="GA163" s="18">
        <f>FZ163*VLOOKUP('Données projet'!$B$17,Paramètres!$A$1:$I$89,3,0)*VLOOKUP('Données projet'!$B$17,Paramètres!$A$1:$I$89,5,0)</f>
        <v>6.1186256061773749E-14</v>
      </c>
      <c r="GB163" s="14">
        <f t="shared" si="185"/>
        <v>9.7328366192051127E-13</v>
      </c>
      <c r="GC163" s="22">
        <f t="shared" si="186"/>
        <v>1.8017017738191463E-12</v>
      </c>
      <c r="GD163" s="62">
        <f t="shared" si="134"/>
        <v>287.75907759269018</v>
      </c>
      <c r="GE163" s="62">
        <f ca="1">AVERAGE(OFFSET($GD$3,0,0,'Données projet'!$E$17+1,1))-AVERAGE(OFFSET($H$3,0,0,'Données projet'!$E$17+1,1))</f>
        <v>405.06394904053946</v>
      </c>
      <c r="GF163" s="62">
        <f t="shared" si="158"/>
        <v>393.75247087518198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>
        <f>EXP(-LN(2)/35)*GL162+(1-EXP(-LN(2)/35))/(LN(2)/35)*GH163*GI163*VLOOKUP('Données projet'!$B$17,Paramètres!$A$1:$I$89,3,0)*0.475*44/12</f>
        <v>30.787155258820771</v>
      </c>
      <c r="GM163" s="23">
        <f>EXP(-LN(2)/25)*GM162+(1-EXP(-LN(2)/25))/(LN(2)/25)*Calculateur!GH163*Calculateur!GJ163*VLOOKUP('Données projet'!$B$17,Paramètres!$A$1:$I$89,3,0)*0.475*44/12</f>
        <v>0</v>
      </c>
      <c r="GN163" s="23">
        <f>EXP(-LN(2)/2)*GN162+(1-EXP(-LN(2)/2))/(LN(2)/2)*GH163*GK163*VLOOKUP('Données projet'!$B$17,Paramètres!$A$1:$I$89,3,0)*0.475*44/12</f>
        <v>0</v>
      </c>
      <c r="GO163" s="23">
        <f t="shared" si="187"/>
        <v>30.787155258820771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5.6843418860808015E-14</v>
      </c>
      <c r="GV163" s="18">
        <f>GU163*VLOOKUP('Données projet'!$B$18,Paramètres!$A$1:$I$89,3,0)*VLOOKUP('Données projet'!$B$18,Paramètres!$A$1:$I$89,5,0)</f>
        <v>3.813056537183002E-14</v>
      </c>
      <c r="GW163" s="14">
        <f t="shared" si="188"/>
        <v>6.4086286045526829E-13</v>
      </c>
      <c r="GX163" s="22">
        <f t="shared" si="189"/>
        <v>1.1825802166488628E-12</v>
      </c>
      <c r="GY163" s="62">
        <f t="shared" si="137"/>
        <v>287.75907759268955</v>
      </c>
      <c r="GZ163" s="62">
        <f ca="1">AVERAGE(OFFSET($GY$3,0,0,'Données projet'!$E$18+1,1))-AVERAGE(OFFSET($H$3,0,0,'Données projet'!$E$18+1,1))</f>
        <v>273.21861937609918</v>
      </c>
      <c r="HA163" s="62">
        <f t="shared" si="160"/>
        <v>268.83004886965318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>
        <f>EXP(-LN(2)/35)*HG162+(1-EXP(-LN(2)/35))/(LN(2)/35)*HC163*HD163*VLOOKUP('Données projet'!$B$18,Paramètres!$A$1:$I$89,3,0)*0.475*44/12</f>
        <v>23.648104764021756</v>
      </c>
      <c r="HH163" s="23">
        <f>EXP(-LN(2)/25)*HH162+(1-EXP(-LN(2)/25))/(LN(2)/25)*Calculateur!HC163*Calculateur!HE163*VLOOKUP('Données projet'!$B$18,Paramètres!$A$1:$I$89,3,0)*0.475*44/12</f>
        <v>0</v>
      </c>
      <c r="HI163" s="23">
        <f>EXP(-LN(2)/2)*HI162+(1-EXP(-LN(2)/2))/(LN(2)/2)*HC163*HF163*VLOOKUP('Données projet'!$B$18,Paramètres!$A$1:$I$89,3,0)*0.475*44/12</f>
        <v>0</v>
      </c>
      <c r="HJ163" s="24">
        <f t="shared" si="190"/>
        <v>23.648104764021756</v>
      </c>
    </row>
    <row r="164" spans="1:218" x14ac:dyDescent="0.4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-3.4705882352941178</v>
      </c>
      <c r="N164" s="14">
        <f>IF('Données projet'!$A$36&gt;35,N163+M164-V163,IF(A164&lt;'Données projet'!$A$36,$K$205^A164,IF(A164='Données projet'!$A$36,'Données projet'!$B$36,N163+M164-V163)))</f>
        <v>247.88235294117626</v>
      </c>
      <c r="O164" s="14">
        <f>N164*VLOOKUP('Données projet'!$B$9,Paramètres!$A$1:$I$89,3,0)*VLOOKUP('Données projet'!$B$9,Paramètres!$A$1:$I$89,5,0)</f>
        <v>224.28395294117627</v>
      </c>
      <c r="P164" s="14">
        <f t="shared" si="141"/>
        <v>55.04493408343513</v>
      </c>
      <c r="Q164" s="22">
        <f t="shared" si="162"/>
        <v>486.49781156786486</v>
      </c>
      <c r="R164" s="62">
        <f t="shared" si="109"/>
        <v>774.35359003548456</v>
      </c>
      <c r="S164" s="62">
        <f ca="1">AVERAGE(OFFSET($R$3,0,0,'Données projet'!$E$9+1,1))-AVERAGE(OFFSET($H$3,0,0,'Données projet'!$E$9+1,1))</f>
        <v>432.80275651765203</v>
      </c>
      <c r="T164" s="62">
        <f t="shared" si="142"/>
        <v>203.89279893419919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29.363468833051726</v>
      </c>
      <c r="AA164" s="23">
        <f>EXP(-LN(2)/25)*AA163+(1-EXP(-LN(2)/25))/(LN(2)/25)*Calculateur!V164*Calculateur!X164*VLOOKUP('Données projet'!$B$9,Paramètres!$A$1:$I$89,3,0)*0.475*44/12</f>
        <v>17.487097586067335</v>
      </c>
      <c r="AB164" s="23">
        <f>EXP(-LN(2)/2)*AB163+(1-EXP(-LN(2)/2))/(LN(2)/2)*V164*Y164*VLOOKUP('Données projet'!$B$9,Paramètres!$A$1:$I$89,3,0)*0.475*44/12</f>
        <v>0</v>
      </c>
      <c r="AC164" s="24">
        <f t="shared" si="163"/>
        <v>46.850566419119062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54.000000000000341</v>
      </c>
      <c r="AJ164" s="14">
        <f>AI164*VLOOKUP('Données projet'!$B$10,Paramètres!$A$1:$I$89,3,0)*VLOOKUP('Données projet'!$B$10,Paramètres!$A$1:$I$89,5,0)</f>
        <v>23.868000000000151</v>
      </c>
      <c r="AK164" s="14">
        <f t="shared" si="164"/>
        <v>7.6030930962115804</v>
      </c>
      <c r="AL164" s="22">
        <f t="shared" si="165"/>
        <v>54.812153809235433</v>
      </c>
      <c r="AM164" s="62">
        <f t="shared" si="113"/>
        <v>342.66793227685514</v>
      </c>
      <c r="AN164" s="62">
        <f ca="1">AVERAGE(OFFSET($AM$3,0,0,'Données projet'!$E$10+1,1))-AVERAGE(OFFSET($H$3,0,0,'Données projet'!$E$10+1,1))</f>
        <v>413.08876898406481</v>
      </c>
      <c r="AO164" s="62">
        <f t="shared" si="144"/>
        <v>520.31320932826566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37.175572071352114</v>
      </c>
      <c r="AV164" s="23">
        <f>EXP(-LN(2)/25)*AV163+(1-EXP(-LN(2)/25))/(LN(2)/25)*Calculateur!AQ164*Calculateur!AS164*VLOOKUP('Données projet'!$B$10,Paramètres!$A$1:$I$89,3,0)*0.475*44/12</f>
        <v>1.2266494368417398</v>
      </c>
      <c r="AW164" s="23">
        <f>EXP(-LN(2)/2)*AW163+(1-EXP(-LN(2)/2))/(LN(2)/2)*AQ164*AT164*VLOOKUP('Données projet'!$B$10,Paramètres!$A$1:$I$89,3,0)*0.475*44/12</f>
        <v>1.3975347173053326E-17</v>
      </c>
      <c r="AX164" s="23">
        <f t="shared" si="166"/>
        <v>38.402221508193854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54.000000000000341</v>
      </c>
      <c r="BE164" s="14">
        <f>BD164*VLOOKUP('Données projet'!$B$11,Paramètres!$A$1:$I$89,3,0)*VLOOKUP('Données projet'!$B$11,Paramètres!$A$1:$I$89,5,0)</f>
        <v>30.186000000000188</v>
      </c>
      <c r="BF164" s="14">
        <f t="shared" si="167"/>
        <v>9.3563888882899153</v>
      </c>
      <c r="BG164" s="22">
        <f t="shared" si="168"/>
        <v>68.869660647105263</v>
      </c>
      <c r="BH164" s="62">
        <f t="shared" si="116"/>
        <v>356.72543911472496</v>
      </c>
      <c r="BI164" s="62">
        <f ca="1">AVERAGE(OFFSET($BH$3,0,0,'Données projet'!$E$11+1,1))-AVERAGE(OFFSET($H$3,0,0,'Données projet'!$E$11+1,1))</f>
        <v>507.66185230065889</v>
      </c>
      <c r="BJ164" s="62">
        <f t="shared" si="146"/>
        <v>640.14375617778342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47.016164678474674</v>
      </c>
      <c r="BQ164" s="23">
        <f>EXP(-LN(2)/25)*BQ163+(1-EXP(-LN(2)/25))/(LN(2)/25)*Calculateur!BL164*Calculateur!BN164*VLOOKUP('Données projet'!$B$11,Paramètres!$A$1:$I$89,3,0)*0.475*44/12</f>
        <v>1.5513507583586723</v>
      </c>
      <c r="BR164" s="23">
        <f>EXP(-LN(2)/2)*BR163+(1-EXP(-LN(2)/2))/(LN(2)/2)*BL164*BO164*VLOOKUP('Données projet'!$B$11,Paramètres!$A$1:$I$89,3,0)*0.475*44/12</f>
        <v>1.7674703777685101E-17</v>
      </c>
      <c r="BS164" s="24">
        <f t="shared" si="169"/>
        <v>48.567515436833347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417.04879970000007</v>
      </c>
      <c r="BZ164" s="14">
        <f>BY164*VLOOKUP('Données projet'!$B$12,Paramètres!$A$1:$I$89,3,0)*VLOOKUP('Données projet'!$B$12,Paramètres!$A$1:$I$89,5,0)</f>
        <v>195.17883825960004</v>
      </c>
      <c r="CA164" s="14">
        <f t="shared" si="170"/>
        <v>48.683122291673484</v>
      </c>
      <c r="CB164" s="22">
        <f t="shared" si="171"/>
        <v>424.72624796013469</v>
      </c>
      <c r="CC164" s="62">
        <f t="shared" si="119"/>
        <v>712.58202642775439</v>
      </c>
      <c r="CD164" s="62">
        <f ca="1">AVERAGE(OFFSET($CC$3,0,0,'Données projet'!$E$12+1,1))-AVERAGE(OFFSET($H$3,0,0,'Données projet'!$E$12+1,1))</f>
        <v>289.21044803824958</v>
      </c>
      <c r="CE164" s="62">
        <f t="shared" si="148"/>
        <v>196.11836398299445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>
        <f>EXP(-LN(2)/35)*CK163+(1-EXP(-LN(2)/35))/(LN(2)/35)*CG164*CH164*VLOOKUP('Données projet'!$B$12,Paramètres!$A$1:$I$89,3,0)*0.475*44/12</f>
        <v>20.577539553256678</v>
      </c>
      <c r="CL164" s="23">
        <f>EXP(-LN(2)/25)*CL163+(1-EXP(-LN(2)/25))/(LN(2)/25)*Calculateur!CG164*Calculateur!CI164*VLOOKUP('Données projet'!$B$12,Paramètres!$A$1:$I$89,3,0)*0.475*44/12</f>
        <v>5.9079643041556649</v>
      </c>
      <c r="CM164" s="23">
        <f>EXP(-LN(2)/2)*CM163+(1-EXP(-LN(2)/2))/(LN(2)/2)*CG164*CJ164*VLOOKUP('Données projet'!$B$12,Paramètres!$A$1:$I$89,3,0)*0.475*44/12</f>
        <v>0</v>
      </c>
      <c r="CN164" s="24">
        <f t="shared" si="172"/>
        <v>26.485503857412343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-5.6843418860808015E-14</v>
      </c>
      <c r="CU164" s="18">
        <f>CT164*VLOOKUP('Données projet'!$B$13,Paramètres!$A$1:$I$89,3,0)*VLOOKUP('Données projet'!$B$13,Paramètres!$A$1:$I$89,5,0)</f>
        <v>-5.1431925385259088E-14</v>
      </c>
      <c r="CV164" s="14" t="e">
        <f t="shared" si="173"/>
        <v>#NUM!</v>
      </c>
      <c r="CW164" s="22" t="e">
        <f t="shared" si="174"/>
        <v>#NUM!</v>
      </c>
      <c r="CX164" s="62" t="e">
        <f t="shared" si="122"/>
        <v>#NUM!</v>
      </c>
      <c r="CY164" s="62">
        <f ca="1">AVERAGE(OFFSET($CX$3,0,0,'Données projet'!$E$13+1,1))-AVERAGE(OFFSET($H$3,0,0,'Données projet'!$E$13+1,1))</f>
        <v>376.68007030857598</v>
      </c>
      <c r="CZ164" s="62">
        <f t="shared" si="150"/>
        <v>532.90758914457626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>
        <f>EXP(-LN(2)/35)*DF163+(1-EXP(-LN(2)/35))/(LN(2)/35)*DB164*DC164*VLOOKUP('Données projet'!$B$13,Paramètres!$A$1:$I$89,3,0)*0.475*44/12</f>
        <v>9.4118747011245141</v>
      </c>
      <c r="DG164" s="23">
        <f>EXP(-LN(2)/25)*DG163+(1-EXP(-LN(2)/25))/(LN(2)/25)*Calculateur!DB164*Calculateur!DD164*VLOOKUP('Données projet'!$B$13,Paramètres!$A$1:$I$89,3,0)*0.475*44/12</f>
        <v>0.34664302383185419</v>
      </c>
      <c r="DH164" s="23">
        <f>EXP(-LN(2)/2)*DH163+(1-EXP(-LN(2)/2))/(LN(2)/2)*DB164*DE164*VLOOKUP('Données projet'!$B$13,Paramètres!$A$1:$I$89,3,0)*0.475*44/12</f>
        <v>0</v>
      </c>
      <c r="DI164" s="24">
        <f t="shared" si="175"/>
        <v>9.7585177249563682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5.6843418860808015E-14</v>
      </c>
      <c r="DP164" s="18">
        <f>DO164*VLOOKUP('Données projet'!$B$14,Paramètres!$A$1:$I$89,3,0)*VLOOKUP('Données projet'!$B$14,Paramètres!$A$1:$I$89,5,0)</f>
        <v>5.4092197387944907E-14</v>
      </c>
      <c r="DQ164" s="14">
        <f t="shared" si="176"/>
        <v>8.7287050538073676E-13</v>
      </c>
      <c r="DR164" s="22">
        <f t="shared" si="177"/>
        <v>1.6144600406554537E-12</v>
      </c>
      <c r="DS164" s="62">
        <f t="shared" si="125"/>
        <v>287.85577846762129</v>
      </c>
      <c r="DT164" s="62">
        <f ca="1">AVERAGE(OFFSET($DS$3,0,0,'Données projet'!$E$14+1,1))-AVERAGE(OFFSET($H$3,0,0,'Données projet'!$E$14+1,1))</f>
        <v>364.63161066507769</v>
      </c>
      <c r="DU164" s="62">
        <f t="shared" si="152"/>
        <v>355.44729904860708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>
        <f>EXP(-LN(2)/35)*EA163+(1-EXP(-LN(2)/35))/(LN(2)/35)*DW164*DX164*VLOOKUP('Données projet'!$B$14,Paramètres!$A$1:$I$89,3,0)*0.475*44/12</f>
        <v>26.683908888012397</v>
      </c>
      <c r="EB164" s="23">
        <f>EXP(-LN(2)/25)*EB163+(1-EXP(-LN(2)/25))/(LN(2)/25)*Calculateur!DW164*Calculateur!DY164*VLOOKUP('Données projet'!$B$14,Paramètres!$A$1:$I$89,3,0)*0.475*44/12</f>
        <v>0</v>
      </c>
      <c r="EC164" s="23">
        <f>EXP(-LN(2)/2)*EC163+(1-EXP(-LN(2)/2))/(LN(2)/2)*DW164*DZ164*VLOOKUP('Données projet'!$B$14,Paramètres!$A$1:$I$89,3,0)*0.475*44/12</f>
        <v>0</v>
      </c>
      <c r="ED164" s="24">
        <f t="shared" si="178"/>
        <v>26.683908888012397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5.6843418860808015E-14</v>
      </c>
      <c r="EK164" s="18">
        <f>EJ164*VLOOKUP('Données projet'!$B$15,Paramètres!$A$1:$I$89,3,0)*VLOOKUP('Données projet'!$B$15,Paramètres!$A$1:$I$89,5,0)</f>
        <v>4.1677594708744434E-14</v>
      </c>
      <c r="EL164" s="14">
        <f t="shared" si="179"/>
        <v>6.9326303456159188E-13</v>
      </c>
      <c r="EM164" s="22">
        <f t="shared" si="180"/>
        <v>1.2800215959791691E-12</v>
      </c>
      <c r="EN164" s="62">
        <f t="shared" si="128"/>
        <v>287.85577846762101</v>
      </c>
      <c r="EO164" s="62">
        <f ca="1">AVERAGE(OFFSET($EN$3,0,0,'Données projet'!$E$15+1,1))-AVERAGE(OFFSET($H$3,0,0,'Données projet'!$E$15+1,1))</f>
        <v>293.59366973965774</v>
      </c>
      <c r="EP164" s="62">
        <f t="shared" si="154"/>
        <v>288.13804536120426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>
        <f>EXP(-LN(2)/35)*EV163+(1-EXP(-LN(2)/35))/(LN(2)/35)*ER164*ES164*VLOOKUP('Données projet'!$B$15,Paramètres!$A$1:$I$89,3,0)*0.475*44/12</f>
        <v>20.559733077648886</v>
      </c>
      <c r="EW164" s="23">
        <f>EXP(-LN(2)/25)*EW163+(1-EXP(-LN(2)/25))/(LN(2)/25)*Calculateur!ER164*Calculateur!ET164*VLOOKUP('Données projet'!$B$15,Paramètres!$A$1:$I$89,3,0)*0.475*44/12</f>
        <v>0</v>
      </c>
      <c r="EX164" s="23">
        <f>EXP(-LN(2)/2)*EX163+(1-EXP(-LN(2)/2))/(LN(2)/2)*ER164*EU164*VLOOKUP('Données projet'!$B$15,Paramètres!$A$1:$I$89,3,0)*0.475*44/12</f>
        <v>0</v>
      </c>
      <c r="EY164" s="24">
        <f t="shared" si="181"/>
        <v>20.559733077648886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5.6843418860808015E-14</v>
      </c>
      <c r="FF164" s="18">
        <f>FE164*VLOOKUP('Données projet'!$B$16,Paramètres!$A$1:$I$89,3,0)*VLOOKUP('Données projet'!$B$16,Paramètres!$A$1:$I$89,5,0)</f>
        <v>5.4978954722173515E-14</v>
      </c>
      <c r="FG164" s="14">
        <f t="shared" si="182"/>
        <v>8.8550225887742724E-13</v>
      </c>
      <c r="FH164" s="22">
        <f t="shared" si="183"/>
        <v>1.6380047803526383E-12</v>
      </c>
      <c r="FI164" s="62">
        <f t="shared" si="131"/>
        <v>287.85577846762135</v>
      </c>
      <c r="FJ164" s="62">
        <f ca="1">AVERAGE(OFFSET($FI$3,0,0,'Données projet'!$E$16+1,1))-AVERAGE(OFFSET($H$3,0,0,'Données projet'!$E$16+1,1))</f>
        <v>369.69145521630799</v>
      </c>
      <c r="FK164" s="62">
        <f t="shared" si="156"/>
        <v>360.24112103688719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>
        <f>EXP(-LN(2)/35)*FQ163+(1-EXP(-LN(2)/35))/(LN(2)/35)*FM164*FN164*VLOOKUP('Données projet'!$B$16,Paramètres!$A$1:$I$89,3,0)*0.475*44/12</f>
        <v>27.121350017324069</v>
      </c>
      <c r="FR164" s="23">
        <f>EXP(-LN(2)/25)*FR163+(1-EXP(-LN(2)/25))/(LN(2)/25)*Calculateur!FM164*Calculateur!FO164*VLOOKUP('Données projet'!$B$16,Paramètres!$A$1:$I$89,3,0)*0.475*44/12</f>
        <v>0</v>
      </c>
      <c r="FS164" s="23">
        <f>EXP(-LN(2)/2)*FS163+(1-EXP(-LN(2)/2))/(LN(2)/2)*FM164*FP164*VLOOKUP('Données projet'!$B$16,Paramètres!$A$1:$I$89,3,0)*0.475*44/12</f>
        <v>0</v>
      </c>
      <c r="FT164" s="24">
        <f t="shared" si="184"/>
        <v>27.121350017324069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5.6843418860808015E-14</v>
      </c>
      <c r="GA164" s="18">
        <f>FZ164*VLOOKUP('Données projet'!$B$17,Paramètres!$A$1:$I$89,3,0)*VLOOKUP('Données projet'!$B$17,Paramètres!$A$1:$I$89,5,0)</f>
        <v>6.1186256061773749E-14</v>
      </c>
      <c r="GB164" s="14">
        <f t="shared" si="185"/>
        <v>9.7328366192051127E-13</v>
      </c>
      <c r="GC164" s="22">
        <f t="shared" si="186"/>
        <v>1.8017017738191463E-12</v>
      </c>
      <c r="GD164" s="62">
        <f t="shared" si="134"/>
        <v>287.85577846762152</v>
      </c>
      <c r="GE164" s="62">
        <f ca="1">AVERAGE(OFFSET($GD$3,0,0,'Données projet'!$E$17+1,1))-AVERAGE(OFFSET($H$3,0,0,'Données projet'!$E$17+1,1))</f>
        <v>405.06394904053946</v>
      </c>
      <c r="GF164" s="62">
        <f t="shared" si="158"/>
        <v>393.75247087518198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>
        <f>EXP(-LN(2)/35)*GL163+(1-EXP(-LN(2)/35))/(LN(2)/35)*GH164*GI164*VLOOKUP('Données projet'!$B$17,Paramètres!$A$1:$I$89,3,0)*0.475*44/12</f>
        <v>30.183437922505799</v>
      </c>
      <c r="GM164" s="23">
        <f>EXP(-LN(2)/25)*GM163+(1-EXP(-LN(2)/25))/(LN(2)/25)*Calculateur!GH164*Calculateur!GJ164*VLOOKUP('Données projet'!$B$17,Paramètres!$A$1:$I$89,3,0)*0.475*44/12</f>
        <v>0</v>
      </c>
      <c r="GN164" s="23">
        <f>EXP(-LN(2)/2)*GN163+(1-EXP(-LN(2)/2))/(LN(2)/2)*GH164*GK164*VLOOKUP('Données projet'!$B$17,Paramètres!$A$1:$I$89,3,0)*0.475*44/12</f>
        <v>0</v>
      </c>
      <c r="GO164" s="23">
        <f t="shared" si="187"/>
        <v>30.183437922505799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5.6843418860808015E-14</v>
      </c>
      <c r="GV164" s="18">
        <f>GU164*VLOOKUP('Données projet'!$B$18,Paramètres!$A$1:$I$89,3,0)*VLOOKUP('Données projet'!$B$18,Paramètres!$A$1:$I$89,5,0)</f>
        <v>3.813056537183002E-14</v>
      </c>
      <c r="GW164" s="14">
        <f t="shared" si="188"/>
        <v>6.4086286045526829E-13</v>
      </c>
      <c r="GX164" s="22">
        <f t="shared" si="189"/>
        <v>1.1825802166488628E-12</v>
      </c>
      <c r="GY164" s="62">
        <f t="shared" si="137"/>
        <v>287.85577846762089</v>
      </c>
      <c r="GZ164" s="62">
        <f ca="1">AVERAGE(OFFSET($GY$3,0,0,'Données projet'!$E$18+1,1))-AVERAGE(OFFSET($H$3,0,0,'Données projet'!$E$18+1,1))</f>
        <v>273.21861937609918</v>
      </c>
      <c r="HA164" s="62">
        <f t="shared" si="160"/>
        <v>268.83004886965318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>
        <f>EXP(-LN(2)/35)*HG163+(1-EXP(-LN(2)/35))/(LN(2)/35)*HC164*HD164*VLOOKUP('Données projet'!$B$18,Paramètres!$A$1:$I$89,3,0)*0.475*44/12</f>
        <v>23.184379853518951</v>
      </c>
      <c r="HH164" s="23">
        <f>EXP(-LN(2)/25)*HH163+(1-EXP(-LN(2)/25))/(LN(2)/25)*Calculateur!HC164*Calculateur!HE164*VLOOKUP('Données projet'!$B$18,Paramètres!$A$1:$I$89,3,0)*0.475*44/12</f>
        <v>0</v>
      </c>
      <c r="HI164" s="23">
        <f>EXP(-LN(2)/2)*HI163+(1-EXP(-LN(2)/2))/(LN(2)/2)*HC164*HF164*VLOOKUP('Données projet'!$B$18,Paramètres!$A$1:$I$89,3,0)*0.475*44/12</f>
        <v>0</v>
      </c>
      <c r="HJ164" s="24">
        <f t="shared" si="190"/>
        <v>23.184379853518951</v>
      </c>
    </row>
    <row r="165" spans="1:218" x14ac:dyDescent="0.4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-3.4705882352941178</v>
      </c>
      <c r="N165" s="14">
        <f>IF('Données projet'!$A$36&gt;35,N164+M165-V164,IF(A165&lt;'Données projet'!$A$36,$K$205^A165,IF(A165='Données projet'!$A$36,'Données projet'!$B$36,N164+M165-V164)))</f>
        <v>244.41176470588215</v>
      </c>
      <c r="O165" s="14">
        <f>N165*VLOOKUP('Données projet'!$B$9,Paramètres!$A$1:$I$89,3,0)*VLOOKUP('Données projet'!$B$9,Paramètres!$A$1:$I$89,5,0)</f>
        <v>221.14376470588218</v>
      </c>
      <c r="P165" s="14">
        <f t="shared" si="141"/>
        <v>54.36340225513532</v>
      </c>
      <c r="Q165" s="22">
        <f t="shared" si="162"/>
        <v>479.84164912377219</v>
      </c>
      <c r="R165" s="62">
        <f t="shared" si="109"/>
        <v>767.79245092233396</v>
      </c>
      <c r="S165" s="62">
        <f ca="1">AVERAGE(OFFSET($R$3,0,0,'Données projet'!$E$9+1,1))-AVERAGE(OFFSET($H$3,0,0,'Données projet'!$E$9+1,1))</f>
        <v>432.80275651765203</v>
      </c>
      <c r="T165" s="62">
        <f t="shared" si="142"/>
        <v>203.89279893419919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28.787669119183111</v>
      </c>
      <c r="AA165" s="23">
        <f>EXP(-LN(2)/25)*AA164+(1-EXP(-LN(2)/25))/(LN(2)/25)*Calculateur!V165*Calculateur!X165*VLOOKUP('Données projet'!$B$9,Paramètres!$A$1:$I$89,3,0)*0.475*44/12</f>
        <v>17.008911982969828</v>
      </c>
      <c r="AB165" s="23">
        <f>EXP(-LN(2)/2)*AB164+(1-EXP(-LN(2)/2))/(LN(2)/2)*V165*Y165*VLOOKUP('Données projet'!$B$9,Paramètres!$A$1:$I$89,3,0)*0.475*44/12</f>
        <v>0</v>
      </c>
      <c r="AC165" s="24">
        <f t="shared" si="163"/>
        <v>45.796581102152942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54.000000000000341</v>
      </c>
      <c r="AJ165" s="14">
        <f>AI165*VLOOKUP('Données projet'!$B$10,Paramètres!$A$1:$I$89,3,0)*VLOOKUP('Données projet'!$B$10,Paramètres!$A$1:$I$89,5,0)</f>
        <v>23.868000000000151</v>
      </c>
      <c r="AK165" s="14">
        <f t="shared" si="164"/>
        <v>7.6030930962115804</v>
      </c>
      <c r="AL165" s="22">
        <f t="shared" si="165"/>
        <v>54.812153809235433</v>
      </c>
      <c r="AM165" s="62">
        <f t="shared" si="113"/>
        <v>342.76295560779715</v>
      </c>
      <c r="AN165" s="62">
        <f ca="1">AVERAGE(OFFSET($AM$3,0,0,'Données projet'!$E$10+1,1))-AVERAGE(OFFSET($H$3,0,0,'Données projet'!$E$10+1,1))</f>
        <v>413.08876898406481</v>
      </c>
      <c r="AO165" s="62">
        <f t="shared" si="144"/>
        <v>520.31320932826566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36.446581777892909</v>
      </c>
      <c r="AV165" s="23">
        <f>EXP(-LN(2)/25)*AV164+(1-EXP(-LN(2)/25))/(LN(2)/25)*Calculateur!AQ165*Calculateur!AS165*VLOOKUP('Données projet'!$B$10,Paramètres!$A$1:$I$89,3,0)*0.475*44/12</f>
        <v>1.193106643484612</v>
      </c>
      <c r="AW165" s="23">
        <f>EXP(-LN(2)/2)*AW164+(1-EXP(-LN(2)/2))/(LN(2)/2)*AQ165*AT165*VLOOKUP('Données projet'!$B$10,Paramètres!$A$1:$I$89,3,0)*0.475*44/12</f>
        <v>9.882062755502254E-18</v>
      </c>
      <c r="AX165" s="23">
        <f t="shared" si="166"/>
        <v>37.639688421377521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54.000000000000341</v>
      </c>
      <c r="BE165" s="14">
        <f>BD165*VLOOKUP('Données projet'!$B$11,Paramètres!$A$1:$I$89,3,0)*VLOOKUP('Données projet'!$B$11,Paramètres!$A$1:$I$89,5,0)</f>
        <v>30.186000000000188</v>
      </c>
      <c r="BF165" s="14">
        <f t="shared" si="167"/>
        <v>9.3563888882899153</v>
      </c>
      <c r="BG165" s="22">
        <f t="shared" si="168"/>
        <v>68.869660647105263</v>
      </c>
      <c r="BH165" s="62">
        <f t="shared" si="116"/>
        <v>356.82046244566698</v>
      </c>
      <c r="BI165" s="62">
        <f ca="1">AVERAGE(OFFSET($BH$3,0,0,'Données projet'!$E$11+1,1))-AVERAGE(OFFSET($H$3,0,0,'Données projet'!$E$11+1,1))</f>
        <v>507.66185230065889</v>
      </c>
      <c r="BJ165" s="62">
        <f t="shared" si="146"/>
        <v>640.14375617778342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46.094206366158616</v>
      </c>
      <c r="BQ165" s="23">
        <f>EXP(-LN(2)/25)*BQ164+(1-EXP(-LN(2)/25))/(LN(2)/25)*Calculateur!BL165*Calculateur!BN165*VLOOKUP('Données projet'!$B$11,Paramètres!$A$1:$I$89,3,0)*0.475*44/12</f>
        <v>1.5089289902893637</v>
      </c>
      <c r="BR165" s="23">
        <f>EXP(-LN(2)/2)*BR164+(1-EXP(-LN(2)/2))/(LN(2)/2)*BL165*BO165*VLOOKUP('Données projet'!$B$11,Paramètres!$A$1:$I$89,3,0)*0.475*44/12</f>
        <v>1.2497902896664624E-17</v>
      </c>
      <c r="BS165" s="24">
        <f t="shared" si="169"/>
        <v>47.603135356447979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417.04879970000007</v>
      </c>
      <c r="BZ165" s="14">
        <f>BY165*VLOOKUP('Données projet'!$B$12,Paramètres!$A$1:$I$89,3,0)*VLOOKUP('Données projet'!$B$12,Paramètres!$A$1:$I$89,5,0)</f>
        <v>195.17883825960004</v>
      </c>
      <c r="CA165" s="14">
        <f t="shared" si="170"/>
        <v>48.683122291673484</v>
      </c>
      <c r="CB165" s="22">
        <f t="shared" si="171"/>
        <v>424.72624796013469</v>
      </c>
      <c r="CC165" s="62">
        <f t="shared" si="119"/>
        <v>712.6770497586964</v>
      </c>
      <c r="CD165" s="62">
        <f ca="1">AVERAGE(OFFSET($CC$3,0,0,'Données projet'!$E$12+1,1))-AVERAGE(OFFSET($H$3,0,0,'Données projet'!$E$12+1,1))</f>
        <v>289.21044803824958</v>
      </c>
      <c r="CE165" s="62">
        <f t="shared" si="148"/>
        <v>196.11836398299445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>
        <f>EXP(-LN(2)/35)*CK164+(1-EXP(-LN(2)/35))/(LN(2)/35)*CG165*CH165*VLOOKUP('Données projet'!$B$12,Paramètres!$A$1:$I$89,3,0)*0.475*44/12</f>
        <v>20.174026553677127</v>
      </c>
      <c r="CL165" s="23">
        <f>EXP(-LN(2)/25)*CL164+(1-EXP(-LN(2)/25))/(LN(2)/25)*Calculateur!CG165*Calculateur!CI165*VLOOKUP('Données projet'!$B$12,Paramètres!$A$1:$I$89,3,0)*0.475*44/12</f>
        <v>5.7464107095721886</v>
      </c>
      <c r="CM165" s="23">
        <f>EXP(-LN(2)/2)*CM164+(1-EXP(-LN(2)/2))/(LN(2)/2)*CG165*CJ165*VLOOKUP('Données projet'!$B$12,Paramètres!$A$1:$I$89,3,0)*0.475*44/12</f>
        <v>0</v>
      </c>
      <c r="CN165" s="24">
        <f t="shared" si="172"/>
        <v>25.920437263249315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-5.6843418860808015E-14</v>
      </c>
      <c r="CU165" s="18">
        <f>CT165*VLOOKUP('Données projet'!$B$13,Paramètres!$A$1:$I$89,3,0)*VLOOKUP('Données projet'!$B$13,Paramètres!$A$1:$I$89,5,0)</f>
        <v>-5.1431925385259088E-14</v>
      </c>
      <c r="CV165" s="14" t="e">
        <f t="shared" si="173"/>
        <v>#NUM!</v>
      </c>
      <c r="CW165" s="22" t="e">
        <f t="shared" si="174"/>
        <v>#NUM!</v>
      </c>
      <c r="CX165" s="62" t="e">
        <f t="shared" si="122"/>
        <v>#NUM!</v>
      </c>
      <c r="CY165" s="62">
        <f ca="1">AVERAGE(OFFSET($CX$3,0,0,'Données projet'!$E$13+1,1))-AVERAGE(OFFSET($H$3,0,0,'Données projet'!$E$13+1,1))</f>
        <v>376.68007030857598</v>
      </c>
      <c r="CZ165" s="62">
        <f t="shared" si="150"/>
        <v>532.90758914457626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>
        <f>EXP(-LN(2)/35)*DF164+(1-EXP(-LN(2)/35))/(LN(2)/35)*DB165*DC165*VLOOKUP('Données projet'!$B$13,Paramètres!$A$1:$I$89,3,0)*0.475*44/12</f>
        <v>9.2273135789121845</v>
      </c>
      <c r="DG165" s="23">
        <f>EXP(-LN(2)/25)*DG164+(1-EXP(-LN(2)/25))/(LN(2)/25)*Calculateur!DB165*Calculateur!DD165*VLOOKUP('Données projet'!$B$13,Paramètres!$A$1:$I$89,3,0)*0.475*44/12</f>
        <v>0.33716405211600775</v>
      </c>
      <c r="DH165" s="23">
        <f>EXP(-LN(2)/2)*DH164+(1-EXP(-LN(2)/2))/(LN(2)/2)*DB165*DE165*VLOOKUP('Données projet'!$B$13,Paramètres!$A$1:$I$89,3,0)*0.475*44/12</f>
        <v>0</v>
      </c>
      <c r="DI165" s="24">
        <f t="shared" si="175"/>
        <v>9.5644776310281916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5.6843418860808015E-14</v>
      </c>
      <c r="DP165" s="18">
        <f>DO165*VLOOKUP('Données projet'!$B$14,Paramètres!$A$1:$I$89,3,0)*VLOOKUP('Données projet'!$B$14,Paramètres!$A$1:$I$89,5,0)</f>
        <v>5.4092197387944907E-14</v>
      </c>
      <c r="DQ165" s="14">
        <f t="shared" si="176"/>
        <v>8.7287050538073676E-13</v>
      </c>
      <c r="DR165" s="22">
        <f t="shared" si="177"/>
        <v>1.6144600406554537E-12</v>
      </c>
      <c r="DS165" s="62">
        <f t="shared" si="125"/>
        <v>287.9508017985633</v>
      </c>
      <c r="DT165" s="62">
        <f ca="1">AVERAGE(OFFSET($DS$3,0,0,'Données projet'!$E$14+1,1))-AVERAGE(OFFSET($H$3,0,0,'Données projet'!$E$14+1,1))</f>
        <v>364.63161066507769</v>
      </c>
      <c r="DU165" s="62">
        <f t="shared" si="152"/>
        <v>355.44729904860708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>
        <f>EXP(-LN(2)/35)*EA164+(1-EXP(-LN(2)/35))/(LN(2)/35)*DW165*DX165*VLOOKUP('Données projet'!$B$14,Paramètres!$A$1:$I$89,3,0)*0.475*44/12</f>
        <v>26.160653710295815</v>
      </c>
      <c r="EB165" s="23">
        <f>EXP(-LN(2)/25)*EB164+(1-EXP(-LN(2)/25))/(LN(2)/25)*Calculateur!DW165*Calculateur!DY165*VLOOKUP('Données projet'!$B$14,Paramètres!$A$1:$I$89,3,0)*0.475*44/12</f>
        <v>0</v>
      </c>
      <c r="EC165" s="23">
        <f>EXP(-LN(2)/2)*EC164+(1-EXP(-LN(2)/2))/(LN(2)/2)*DW165*DZ165*VLOOKUP('Données projet'!$B$14,Paramètres!$A$1:$I$89,3,0)*0.475*44/12</f>
        <v>0</v>
      </c>
      <c r="ED165" s="24">
        <f t="shared" si="178"/>
        <v>26.160653710295815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5.6843418860808015E-14</v>
      </c>
      <c r="EK165" s="18">
        <f>EJ165*VLOOKUP('Données projet'!$B$15,Paramètres!$A$1:$I$89,3,0)*VLOOKUP('Données projet'!$B$15,Paramètres!$A$1:$I$89,5,0)</f>
        <v>4.1677594708744434E-14</v>
      </c>
      <c r="EL165" s="14">
        <f t="shared" si="179"/>
        <v>6.9326303456159188E-13</v>
      </c>
      <c r="EM165" s="22">
        <f t="shared" si="180"/>
        <v>1.2800215959791691E-12</v>
      </c>
      <c r="EN165" s="62">
        <f t="shared" si="128"/>
        <v>287.95080179856302</v>
      </c>
      <c r="EO165" s="62">
        <f ca="1">AVERAGE(OFFSET($EN$3,0,0,'Données projet'!$E$15+1,1))-AVERAGE(OFFSET($H$3,0,0,'Données projet'!$E$15+1,1))</f>
        <v>293.59366973965774</v>
      </c>
      <c r="EP165" s="62">
        <f t="shared" si="154"/>
        <v>288.13804536120426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>
        <f>EXP(-LN(2)/35)*EV164+(1-EXP(-LN(2)/35))/(LN(2)/35)*ER165*ES165*VLOOKUP('Données projet'!$B$15,Paramètres!$A$1:$I$89,3,0)*0.475*44/12</f>
        <v>20.156569252195126</v>
      </c>
      <c r="EW165" s="23">
        <f>EXP(-LN(2)/25)*EW164+(1-EXP(-LN(2)/25))/(LN(2)/25)*Calculateur!ER165*Calculateur!ET165*VLOOKUP('Données projet'!$B$15,Paramètres!$A$1:$I$89,3,0)*0.475*44/12</f>
        <v>0</v>
      </c>
      <c r="EX165" s="23">
        <f>EXP(-LN(2)/2)*EX164+(1-EXP(-LN(2)/2))/(LN(2)/2)*ER165*EU165*VLOOKUP('Données projet'!$B$15,Paramètres!$A$1:$I$89,3,0)*0.475*44/12</f>
        <v>0</v>
      </c>
      <c r="EY165" s="24">
        <f t="shared" si="181"/>
        <v>20.156569252195126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5.6843418860808015E-14</v>
      </c>
      <c r="FF165" s="18">
        <f>FE165*VLOOKUP('Données projet'!$B$16,Paramètres!$A$1:$I$89,3,0)*VLOOKUP('Données projet'!$B$16,Paramètres!$A$1:$I$89,5,0)</f>
        <v>5.4978954722173515E-14</v>
      </c>
      <c r="FG165" s="14">
        <f t="shared" si="182"/>
        <v>8.8550225887742724E-13</v>
      </c>
      <c r="FH165" s="22">
        <f t="shared" si="183"/>
        <v>1.6380047803526383E-12</v>
      </c>
      <c r="FI165" s="62">
        <f t="shared" si="131"/>
        <v>287.95080179856336</v>
      </c>
      <c r="FJ165" s="62">
        <f ca="1">AVERAGE(OFFSET($FI$3,0,0,'Données projet'!$E$16+1,1))-AVERAGE(OFFSET($H$3,0,0,'Données projet'!$E$16+1,1))</f>
        <v>369.69145521630799</v>
      </c>
      <c r="FK165" s="62">
        <f t="shared" si="156"/>
        <v>360.24112103688719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>
        <f>EXP(-LN(2)/35)*FQ164+(1-EXP(-LN(2)/35))/(LN(2)/35)*FM165*FN165*VLOOKUP('Données projet'!$B$16,Paramètres!$A$1:$I$89,3,0)*0.475*44/12</f>
        <v>26.589516885874428</v>
      </c>
      <c r="FR165" s="23">
        <f>EXP(-LN(2)/25)*FR164+(1-EXP(-LN(2)/25))/(LN(2)/25)*Calculateur!FM165*Calculateur!FO165*VLOOKUP('Données projet'!$B$16,Paramètres!$A$1:$I$89,3,0)*0.475*44/12</f>
        <v>0</v>
      </c>
      <c r="FS165" s="23">
        <f>EXP(-LN(2)/2)*FS164+(1-EXP(-LN(2)/2))/(LN(2)/2)*FM165*FP165*VLOOKUP('Données projet'!$B$16,Paramètres!$A$1:$I$89,3,0)*0.475*44/12</f>
        <v>0</v>
      </c>
      <c r="FT165" s="24">
        <f t="shared" si="184"/>
        <v>26.589516885874428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5.6843418860808015E-14</v>
      </c>
      <c r="GA165" s="18">
        <f>FZ165*VLOOKUP('Données projet'!$B$17,Paramètres!$A$1:$I$89,3,0)*VLOOKUP('Données projet'!$B$17,Paramètres!$A$1:$I$89,5,0)</f>
        <v>6.1186256061773749E-14</v>
      </c>
      <c r="GB165" s="14">
        <f t="shared" si="185"/>
        <v>9.7328366192051127E-13</v>
      </c>
      <c r="GC165" s="22">
        <f t="shared" si="186"/>
        <v>1.8017017738191463E-12</v>
      </c>
      <c r="GD165" s="62">
        <f t="shared" si="134"/>
        <v>287.95080179856353</v>
      </c>
      <c r="GE165" s="62">
        <f ca="1">AVERAGE(OFFSET($GD$3,0,0,'Données projet'!$E$17+1,1))-AVERAGE(OFFSET($H$3,0,0,'Données projet'!$E$17+1,1))</f>
        <v>405.06394904053946</v>
      </c>
      <c r="GF165" s="62">
        <f t="shared" si="158"/>
        <v>393.75247087518198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>
        <f>EXP(-LN(2)/35)*GL164+(1-EXP(-LN(2)/35))/(LN(2)/35)*GH165*GI165*VLOOKUP('Données projet'!$B$17,Paramètres!$A$1:$I$89,3,0)*0.475*44/12</f>
        <v>29.591559114924749</v>
      </c>
      <c r="GM165" s="23">
        <f>EXP(-LN(2)/25)*GM164+(1-EXP(-LN(2)/25))/(LN(2)/25)*Calculateur!GH165*Calculateur!GJ165*VLOOKUP('Données projet'!$B$17,Paramètres!$A$1:$I$89,3,0)*0.475*44/12</f>
        <v>0</v>
      </c>
      <c r="GN165" s="23">
        <f>EXP(-LN(2)/2)*GN164+(1-EXP(-LN(2)/2))/(LN(2)/2)*GH165*GK165*VLOOKUP('Données projet'!$B$17,Paramètres!$A$1:$I$89,3,0)*0.475*44/12</f>
        <v>0</v>
      </c>
      <c r="GO165" s="23">
        <f t="shared" si="187"/>
        <v>29.591559114924749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5.6843418860808015E-14</v>
      </c>
      <c r="GV165" s="18">
        <f>GU165*VLOOKUP('Données projet'!$B$18,Paramètres!$A$1:$I$89,3,0)*VLOOKUP('Données projet'!$B$18,Paramètres!$A$1:$I$89,5,0)</f>
        <v>3.813056537183002E-14</v>
      </c>
      <c r="GW165" s="14">
        <f t="shared" si="188"/>
        <v>6.4086286045526829E-13</v>
      </c>
      <c r="GX165" s="22">
        <f t="shared" si="189"/>
        <v>1.1825802166488628E-12</v>
      </c>
      <c r="GY165" s="62">
        <f t="shared" si="137"/>
        <v>287.95080179856291</v>
      </c>
      <c r="GZ165" s="62">
        <f ca="1">AVERAGE(OFFSET($GY$3,0,0,'Données projet'!$E$18+1,1))-AVERAGE(OFFSET($H$3,0,0,'Données projet'!$E$18+1,1))</f>
        <v>273.21861937609918</v>
      </c>
      <c r="HA165" s="62">
        <f t="shared" si="160"/>
        <v>268.83004886965318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>
        <f>EXP(-LN(2)/35)*HG164+(1-EXP(-LN(2)/35))/(LN(2)/35)*HC165*HD165*VLOOKUP('Données projet'!$B$18,Paramètres!$A$1:$I$89,3,0)*0.475*44/12</f>
        <v>22.729748305666842</v>
      </c>
      <c r="HH165" s="23">
        <f>EXP(-LN(2)/25)*HH164+(1-EXP(-LN(2)/25))/(LN(2)/25)*Calculateur!HC165*Calculateur!HE165*VLOOKUP('Données projet'!$B$18,Paramètres!$A$1:$I$89,3,0)*0.475*44/12</f>
        <v>0</v>
      </c>
      <c r="HI165" s="23">
        <f>EXP(-LN(2)/2)*HI164+(1-EXP(-LN(2)/2))/(LN(2)/2)*HC165*HF165*VLOOKUP('Données projet'!$B$18,Paramètres!$A$1:$I$89,3,0)*0.475*44/12</f>
        <v>0</v>
      </c>
      <c r="HJ165" s="24">
        <f t="shared" si="190"/>
        <v>22.729748305666842</v>
      </c>
    </row>
    <row r="166" spans="1:218" x14ac:dyDescent="0.4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-3.4705882352941178</v>
      </c>
      <c r="N166" s="14">
        <f>IF('Données projet'!$A$36&gt;35,N165+M166-V165,IF(A166&lt;'Données projet'!$A$36,$K$205^A166,IF(A166='Données projet'!$A$36,'Données projet'!$B$36,N165+M166-V165)))</f>
        <v>240.94117647058803</v>
      </c>
      <c r="O166" s="14">
        <f>N166*VLOOKUP('Données projet'!$B$9,Paramètres!$A$1:$I$89,3,0)*VLOOKUP('Données projet'!$B$9,Paramètres!$A$1:$I$89,5,0)</f>
        <v>218.00357647058803</v>
      </c>
      <c r="P166" s="14">
        <f t="shared" si="141"/>
        <v>53.680742984013051</v>
      </c>
      <c r="Q166" s="22">
        <f t="shared" si="162"/>
        <v>473.18352305009688</v>
      </c>
      <c r="R166" s="62">
        <f t="shared" si="109"/>
        <v>761.22769973724917</v>
      </c>
      <c r="S166" s="62">
        <f ca="1">AVERAGE(OFFSET($R$3,0,0,'Données projet'!$E$9+1,1))-AVERAGE(OFFSET($H$3,0,0,'Données projet'!$E$9+1,1))</f>
        <v>432.80275651765203</v>
      </c>
      <c r="T166" s="62">
        <f t="shared" si="142"/>
        <v>203.89279893419919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28.223160486500312</v>
      </c>
      <c r="AA166" s="23">
        <f>EXP(-LN(2)/25)*AA165+(1-EXP(-LN(2)/25))/(LN(2)/25)*Calculateur!V166*Calculateur!X166*VLOOKUP('Données projet'!$B$9,Paramètres!$A$1:$I$89,3,0)*0.475*44/12</f>
        <v>16.54380239033571</v>
      </c>
      <c r="AB166" s="23">
        <f>EXP(-LN(2)/2)*AB165+(1-EXP(-LN(2)/2))/(LN(2)/2)*V166*Y166*VLOOKUP('Données projet'!$B$9,Paramètres!$A$1:$I$89,3,0)*0.475*44/12</f>
        <v>0</v>
      </c>
      <c r="AC166" s="24">
        <f t="shared" si="163"/>
        <v>44.766962876836018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54.000000000000341</v>
      </c>
      <c r="AJ166" s="14">
        <f>AI166*VLOOKUP('Données projet'!$B$10,Paramètres!$A$1:$I$89,3,0)*VLOOKUP('Données projet'!$B$10,Paramètres!$A$1:$I$89,5,0)</f>
        <v>23.868000000000151</v>
      </c>
      <c r="AK166" s="14">
        <f t="shared" si="164"/>
        <v>7.6030930962115804</v>
      </c>
      <c r="AL166" s="22">
        <f t="shared" si="165"/>
        <v>54.812153809235433</v>
      </c>
      <c r="AM166" s="62">
        <f t="shared" si="113"/>
        <v>342.85633049638767</v>
      </c>
      <c r="AN166" s="62">
        <f ca="1">AVERAGE(OFFSET($AM$3,0,0,'Données projet'!$E$10+1,1))-AVERAGE(OFFSET($H$3,0,0,'Données projet'!$E$10+1,1))</f>
        <v>413.08876898406481</v>
      </c>
      <c r="AO166" s="62">
        <f t="shared" si="144"/>
        <v>520.31320932826566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35.731886539448261</v>
      </c>
      <c r="AV166" s="23">
        <f>EXP(-LN(2)/25)*AV165+(1-EXP(-LN(2)/25))/(LN(2)/25)*Calculateur!AQ166*Calculateur!AS166*VLOOKUP('Données projet'!$B$10,Paramètres!$A$1:$I$89,3,0)*0.475*44/12</f>
        <v>1.1604810795757738</v>
      </c>
      <c r="AW166" s="23">
        <f>EXP(-LN(2)/2)*AW165+(1-EXP(-LN(2)/2))/(LN(2)/2)*AQ166*AT166*VLOOKUP('Données projet'!$B$10,Paramètres!$A$1:$I$89,3,0)*0.475*44/12</f>
        <v>6.9876735865266629E-18</v>
      </c>
      <c r="AX166" s="23">
        <f t="shared" si="166"/>
        <v>36.892367619024036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54.000000000000341</v>
      </c>
      <c r="BE166" s="14">
        <f>BD166*VLOOKUP('Données projet'!$B$11,Paramètres!$A$1:$I$89,3,0)*VLOOKUP('Données projet'!$B$11,Paramètres!$A$1:$I$89,5,0)</f>
        <v>30.186000000000188</v>
      </c>
      <c r="BF166" s="14">
        <f t="shared" si="167"/>
        <v>9.3563888882899153</v>
      </c>
      <c r="BG166" s="22">
        <f t="shared" si="168"/>
        <v>68.869660647105263</v>
      </c>
      <c r="BH166" s="62">
        <f t="shared" si="116"/>
        <v>356.91383733425749</v>
      </c>
      <c r="BI166" s="62">
        <f ca="1">AVERAGE(OFFSET($BH$3,0,0,'Données projet'!$E$11+1,1))-AVERAGE(OFFSET($H$3,0,0,'Données projet'!$E$11+1,1))</f>
        <v>507.66185230065889</v>
      </c>
      <c r="BJ166" s="62">
        <f t="shared" si="146"/>
        <v>640.14375617778342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45.190327094008033</v>
      </c>
      <c r="BQ166" s="23">
        <f>EXP(-LN(2)/25)*BQ165+(1-EXP(-LN(2)/25))/(LN(2)/25)*Calculateur!BL166*Calculateur!BN166*VLOOKUP('Données projet'!$B$11,Paramètres!$A$1:$I$89,3,0)*0.475*44/12</f>
        <v>1.4676672476987742</v>
      </c>
      <c r="BR166" s="23">
        <f>EXP(-LN(2)/2)*BR165+(1-EXP(-LN(2)/2))/(LN(2)/2)*BL166*BO166*VLOOKUP('Données projet'!$B$11,Paramètres!$A$1:$I$89,3,0)*0.475*44/12</f>
        <v>8.8373518888425505E-18</v>
      </c>
      <c r="BS166" s="24">
        <f t="shared" si="169"/>
        <v>46.657994341706811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417.04879970000007</v>
      </c>
      <c r="BZ166" s="14">
        <f>BY166*VLOOKUP('Données projet'!$B$12,Paramètres!$A$1:$I$89,3,0)*VLOOKUP('Données projet'!$B$12,Paramètres!$A$1:$I$89,5,0)</f>
        <v>195.17883825960004</v>
      </c>
      <c r="CA166" s="14">
        <f t="shared" si="170"/>
        <v>48.683122291673484</v>
      </c>
      <c r="CB166" s="22">
        <f t="shared" si="171"/>
        <v>424.72624796013469</v>
      </c>
      <c r="CC166" s="62">
        <f t="shared" si="119"/>
        <v>712.77042464728697</v>
      </c>
      <c r="CD166" s="62">
        <f ca="1">AVERAGE(OFFSET($CC$3,0,0,'Données projet'!$E$12+1,1))-AVERAGE(OFFSET($H$3,0,0,'Données projet'!$E$12+1,1))</f>
        <v>289.21044803824958</v>
      </c>
      <c r="CE166" s="62">
        <f t="shared" si="148"/>
        <v>196.11836398299445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>
        <f>EXP(-LN(2)/35)*CK165+(1-EXP(-LN(2)/35))/(LN(2)/35)*CG166*CH166*VLOOKUP('Données projet'!$B$12,Paramètres!$A$1:$I$89,3,0)*0.475*44/12</f>
        <v>19.778426197900703</v>
      </c>
      <c r="CL166" s="23">
        <f>EXP(-LN(2)/25)*CL165+(1-EXP(-LN(2)/25))/(LN(2)/25)*Calculateur!CG166*Calculateur!CI166*VLOOKUP('Données projet'!$B$12,Paramètres!$A$1:$I$89,3,0)*0.475*44/12</f>
        <v>5.5892748065283318</v>
      </c>
      <c r="CM166" s="23">
        <f>EXP(-LN(2)/2)*CM165+(1-EXP(-LN(2)/2))/(LN(2)/2)*CG166*CJ166*VLOOKUP('Données projet'!$B$12,Paramètres!$A$1:$I$89,3,0)*0.475*44/12</f>
        <v>0</v>
      </c>
      <c r="CN166" s="24">
        <f t="shared" si="172"/>
        <v>25.367701004429037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-5.6843418860808015E-14</v>
      </c>
      <c r="CU166" s="18">
        <f>CT166*VLOOKUP('Données projet'!$B$13,Paramètres!$A$1:$I$89,3,0)*VLOOKUP('Données projet'!$B$13,Paramètres!$A$1:$I$89,5,0)</f>
        <v>-5.1431925385259088E-14</v>
      </c>
      <c r="CV166" s="14" t="e">
        <f t="shared" si="173"/>
        <v>#NUM!</v>
      </c>
      <c r="CW166" s="22" t="e">
        <f t="shared" si="174"/>
        <v>#NUM!</v>
      </c>
      <c r="CX166" s="62" t="e">
        <f t="shared" si="122"/>
        <v>#NUM!</v>
      </c>
      <c r="CY166" s="62">
        <f ca="1">AVERAGE(OFFSET($CX$3,0,0,'Données projet'!$E$13+1,1))-AVERAGE(OFFSET($H$3,0,0,'Données projet'!$E$13+1,1))</f>
        <v>376.68007030857598</v>
      </c>
      <c r="CZ166" s="62">
        <f t="shared" si="150"/>
        <v>532.90758914457626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>
        <f>EXP(-LN(2)/35)*DF165+(1-EXP(-LN(2)/35))/(LN(2)/35)*DB166*DC166*VLOOKUP('Données projet'!$B$13,Paramètres!$A$1:$I$89,3,0)*0.475*44/12</f>
        <v>9.0463715877352708</v>
      </c>
      <c r="DG166" s="23">
        <f>EXP(-LN(2)/25)*DG165+(1-EXP(-LN(2)/25))/(LN(2)/25)*Calculateur!DB166*Calculateur!DD166*VLOOKUP('Données projet'!$B$13,Paramètres!$A$1:$I$89,3,0)*0.475*44/12</f>
        <v>0.32794428338020859</v>
      </c>
      <c r="DH166" s="23">
        <f>EXP(-LN(2)/2)*DH165+(1-EXP(-LN(2)/2))/(LN(2)/2)*DB166*DE166*VLOOKUP('Données projet'!$B$13,Paramètres!$A$1:$I$89,3,0)*0.475*44/12</f>
        <v>0</v>
      </c>
      <c r="DI166" s="24">
        <f t="shared" si="175"/>
        <v>9.3743158711154795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5.6843418860808015E-14</v>
      </c>
      <c r="DP166" s="18">
        <f>DO166*VLOOKUP('Données projet'!$B$14,Paramètres!$A$1:$I$89,3,0)*VLOOKUP('Données projet'!$B$14,Paramètres!$A$1:$I$89,5,0)</f>
        <v>5.4092197387944907E-14</v>
      </c>
      <c r="DQ166" s="14">
        <f t="shared" si="176"/>
        <v>8.7287050538073676E-13</v>
      </c>
      <c r="DR166" s="22">
        <f t="shared" si="177"/>
        <v>1.6144600406554537E-12</v>
      </c>
      <c r="DS166" s="62">
        <f t="shared" si="125"/>
        <v>288.04417668715382</v>
      </c>
      <c r="DT166" s="62">
        <f ca="1">AVERAGE(OFFSET($DS$3,0,0,'Données projet'!$E$14+1,1))-AVERAGE(OFFSET($H$3,0,0,'Données projet'!$E$14+1,1))</f>
        <v>364.63161066507769</v>
      </c>
      <c r="DU166" s="62">
        <f t="shared" si="152"/>
        <v>355.44729904860708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>
        <f>EXP(-LN(2)/35)*EA165+(1-EXP(-LN(2)/35))/(LN(2)/35)*DW166*DX166*VLOOKUP('Données projet'!$B$14,Paramètres!$A$1:$I$89,3,0)*0.475*44/12</f>
        <v>25.647659247460112</v>
      </c>
      <c r="EB166" s="23">
        <f>EXP(-LN(2)/25)*EB165+(1-EXP(-LN(2)/25))/(LN(2)/25)*Calculateur!DW166*Calculateur!DY166*VLOOKUP('Données projet'!$B$14,Paramètres!$A$1:$I$89,3,0)*0.475*44/12</f>
        <v>0</v>
      </c>
      <c r="EC166" s="23">
        <f>EXP(-LN(2)/2)*EC165+(1-EXP(-LN(2)/2))/(LN(2)/2)*DW166*DZ166*VLOOKUP('Données projet'!$B$14,Paramètres!$A$1:$I$89,3,0)*0.475*44/12</f>
        <v>0</v>
      </c>
      <c r="ED166" s="24">
        <f t="shared" si="178"/>
        <v>25.647659247460112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5.6843418860808015E-14</v>
      </c>
      <c r="EK166" s="18">
        <f>EJ166*VLOOKUP('Données projet'!$B$15,Paramètres!$A$1:$I$89,3,0)*VLOOKUP('Données projet'!$B$15,Paramètres!$A$1:$I$89,5,0)</f>
        <v>4.1677594708744434E-14</v>
      </c>
      <c r="EL166" s="14">
        <f t="shared" si="179"/>
        <v>6.9326303456159188E-13</v>
      </c>
      <c r="EM166" s="22">
        <f t="shared" si="180"/>
        <v>1.2800215959791691E-12</v>
      </c>
      <c r="EN166" s="62">
        <f t="shared" si="128"/>
        <v>288.04417668715354</v>
      </c>
      <c r="EO166" s="62">
        <f ca="1">AVERAGE(OFFSET($EN$3,0,0,'Données projet'!$E$15+1,1))-AVERAGE(OFFSET($H$3,0,0,'Données projet'!$E$15+1,1))</f>
        <v>293.59366973965774</v>
      </c>
      <c r="EP166" s="62">
        <f t="shared" si="154"/>
        <v>288.13804536120426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>
        <f>EXP(-LN(2)/35)*EV165+(1-EXP(-LN(2)/35))/(LN(2)/35)*ER166*ES166*VLOOKUP('Données projet'!$B$15,Paramètres!$A$1:$I$89,3,0)*0.475*44/12</f>
        <v>19.761311223452864</v>
      </c>
      <c r="EW166" s="23">
        <f>EXP(-LN(2)/25)*EW165+(1-EXP(-LN(2)/25))/(LN(2)/25)*Calculateur!ER166*Calculateur!ET166*VLOOKUP('Données projet'!$B$15,Paramètres!$A$1:$I$89,3,0)*0.475*44/12</f>
        <v>0</v>
      </c>
      <c r="EX166" s="23">
        <f>EXP(-LN(2)/2)*EX165+(1-EXP(-LN(2)/2))/(LN(2)/2)*ER166*EU166*VLOOKUP('Données projet'!$B$15,Paramètres!$A$1:$I$89,3,0)*0.475*44/12</f>
        <v>0</v>
      </c>
      <c r="EY166" s="24">
        <f t="shared" si="181"/>
        <v>19.761311223452864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5.6843418860808015E-14</v>
      </c>
      <c r="FF166" s="18">
        <f>FE166*VLOOKUP('Données projet'!$B$16,Paramètres!$A$1:$I$89,3,0)*VLOOKUP('Données projet'!$B$16,Paramètres!$A$1:$I$89,5,0)</f>
        <v>5.4978954722173515E-14</v>
      </c>
      <c r="FG166" s="14">
        <f t="shared" si="182"/>
        <v>8.8550225887742724E-13</v>
      </c>
      <c r="FH166" s="22">
        <f t="shared" si="183"/>
        <v>1.6380047803526383E-12</v>
      </c>
      <c r="FI166" s="62">
        <f t="shared" si="131"/>
        <v>288.04417668715388</v>
      </c>
      <c r="FJ166" s="62">
        <f ca="1">AVERAGE(OFFSET($FI$3,0,0,'Données projet'!$E$16+1,1))-AVERAGE(OFFSET($H$3,0,0,'Données projet'!$E$16+1,1))</f>
        <v>369.69145521630799</v>
      </c>
      <c r="FK166" s="62">
        <f t="shared" si="156"/>
        <v>360.24112103688719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>
        <f>EXP(-LN(2)/35)*FQ165+(1-EXP(-LN(2)/35))/(LN(2)/35)*FM166*FN166*VLOOKUP('Données projet'!$B$16,Paramètres!$A$1:$I$89,3,0)*0.475*44/12</f>
        <v>26.068112677746335</v>
      </c>
      <c r="FR166" s="23">
        <f>EXP(-LN(2)/25)*FR165+(1-EXP(-LN(2)/25))/(LN(2)/25)*Calculateur!FM166*Calculateur!FO166*VLOOKUP('Données projet'!$B$16,Paramètres!$A$1:$I$89,3,0)*0.475*44/12</f>
        <v>0</v>
      </c>
      <c r="FS166" s="23">
        <f>EXP(-LN(2)/2)*FS165+(1-EXP(-LN(2)/2))/(LN(2)/2)*FM166*FP166*VLOOKUP('Données projet'!$B$16,Paramètres!$A$1:$I$89,3,0)*0.475*44/12</f>
        <v>0</v>
      </c>
      <c r="FT166" s="24">
        <f t="shared" si="184"/>
        <v>26.068112677746335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5.6843418860808015E-14</v>
      </c>
      <c r="GA166" s="18">
        <f>FZ166*VLOOKUP('Données projet'!$B$17,Paramètres!$A$1:$I$89,3,0)*VLOOKUP('Données projet'!$B$17,Paramètres!$A$1:$I$89,5,0)</f>
        <v>6.1186256061773749E-14</v>
      </c>
      <c r="GB166" s="14">
        <f t="shared" si="185"/>
        <v>9.7328366192051127E-13</v>
      </c>
      <c r="GC166" s="22">
        <f t="shared" si="186"/>
        <v>1.8017017738191463E-12</v>
      </c>
      <c r="GD166" s="62">
        <f t="shared" si="134"/>
        <v>288.04417668715405</v>
      </c>
      <c r="GE166" s="62">
        <f ca="1">AVERAGE(OFFSET($GD$3,0,0,'Données projet'!$E$17+1,1))-AVERAGE(OFFSET($H$3,0,0,'Données projet'!$E$17+1,1))</f>
        <v>405.06394904053946</v>
      </c>
      <c r="GF166" s="62">
        <f t="shared" si="158"/>
        <v>393.75247087518198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>
        <f>EXP(-LN(2)/35)*GL165+(1-EXP(-LN(2)/35))/(LN(2)/35)*GH166*GI166*VLOOKUP('Données projet'!$B$17,Paramètres!$A$1:$I$89,3,0)*0.475*44/12</f>
        <v>29.011286689749937</v>
      </c>
      <c r="GM166" s="23">
        <f>EXP(-LN(2)/25)*GM165+(1-EXP(-LN(2)/25))/(LN(2)/25)*Calculateur!GH166*Calculateur!GJ166*VLOOKUP('Données projet'!$B$17,Paramètres!$A$1:$I$89,3,0)*0.475*44/12</f>
        <v>0</v>
      </c>
      <c r="GN166" s="23">
        <f>EXP(-LN(2)/2)*GN165+(1-EXP(-LN(2)/2))/(LN(2)/2)*GH166*GK166*VLOOKUP('Données projet'!$B$17,Paramètres!$A$1:$I$89,3,0)*0.475*44/12</f>
        <v>0</v>
      </c>
      <c r="GO166" s="23">
        <f t="shared" si="187"/>
        <v>29.011286689749937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5.6843418860808015E-14</v>
      </c>
      <c r="GV166" s="18">
        <f>GU166*VLOOKUP('Données projet'!$B$18,Paramètres!$A$1:$I$89,3,0)*VLOOKUP('Données projet'!$B$18,Paramètres!$A$1:$I$89,5,0)</f>
        <v>3.813056537183002E-14</v>
      </c>
      <c r="GW166" s="14">
        <f t="shared" si="188"/>
        <v>6.4086286045526829E-13</v>
      </c>
      <c r="GX166" s="22">
        <f t="shared" si="189"/>
        <v>1.1825802166488628E-12</v>
      </c>
      <c r="GY166" s="62">
        <f t="shared" si="137"/>
        <v>288.04417668715342</v>
      </c>
      <c r="GZ166" s="62">
        <f ca="1">AVERAGE(OFFSET($GY$3,0,0,'Données projet'!$E$18+1,1))-AVERAGE(OFFSET($H$3,0,0,'Données projet'!$E$18+1,1))</f>
        <v>273.21861937609918</v>
      </c>
      <c r="HA166" s="62">
        <f t="shared" si="160"/>
        <v>268.83004886965318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>
        <f>EXP(-LN(2)/35)*HG165+(1-EXP(-LN(2)/35))/(LN(2)/35)*HC166*HD166*VLOOKUP('Données projet'!$B$18,Paramètres!$A$1:$I$89,3,0)*0.475*44/12</f>
        <v>22.284031805170248</v>
      </c>
      <c r="HH166" s="23">
        <f>EXP(-LN(2)/25)*HH165+(1-EXP(-LN(2)/25))/(LN(2)/25)*Calculateur!HC166*Calculateur!HE166*VLOOKUP('Données projet'!$B$18,Paramètres!$A$1:$I$89,3,0)*0.475*44/12</f>
        <v>0</v>
      </c>
      <c r="HI166" s="23">
        <f>EXP(-LN(2)/2)*HI165+(1-EXP(-LN(2)/2))/(LN(2)/2)*HC166*HF166*VLOOKUP('Données projet'!$B$18,Paramètres!$A$1:$I$89,3,0)*0.475*44/12</f>
        <v>0</v>
      </c>
      <c r="HJ166" s="24">
        <f t="shared" si="190"/>
        <v>22.284031805170248</v>
      </c>
    </row>
    <row r="167" spans="1:218" x14ac:dyDescent="0.4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-3.4705882352941178</v>
      </c>
      <c r="N167" s="14">
        <f>IF('Données projet'!$A$36&gt;35,N166+M167-V166,IF(A167&lt;'Données projet'!$A$36,$K$205^A167,IF(A167='Données projet'!$A$36,'Données projet'!$B$36,N166+M167-V166)))</f>
        <v>237.47058823529392</v>
      </c>
      <c r="O167" s="14">
        <f>N167*VLOOKUP('Données projet'!$B$9,Paramètres!$A$1:$I$89,3,0)*VLOOKUP('Données projet'!$B$9,Paramètres!$A$1:$I$89,5,0)</f>
        <v>214.86338823529394</v>
      </c>
      <c r="P167" s="14">
        <f t="shared" si="141"/>
        <v>52.996938123253891</v>
      </c>
      <c r="Q167" s="22">
        <f t="shared" si="162"/>
        <v>466.52340174113743</v>
      </c>
      <c r="R167" s="62">
        <f t="shared" si="109"/>
        <v>754.65933347131818</v>
      </c>
      <c r="S167" s="62">
        <f ca="1">AVERAGE(OFFSET($R$3,0,0,'Données projet'!$E$9+1,1))-AVERAGE(OFFSET($H$3,0,0,'Données projet'!$E$9+1,1))</f>
        <v>432.80275651765203</v>
      </c>
      <c r="T167" s="62">
        <f t="shared" si="142"/>
        <v>203.89279893419919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27.669721523788155</v>
      </c>
      <c r="AA167" s="23">
        <f>EXP(-LN(2)/25)*AA166+(1-EXP(-LN(2)/25))/(LN(2)/25)*Calculateur!V167*Calculateur!X167*VLOOKUP('Données projet'!$B$9,Paramètres!$A$1:$I$89,3,0)*0.475*44/12</f>
        <v>16.091411243971223</v>
      </c>
      <c r="AB167" s="23">
        <f>EXP(-LN(2)/2)*AB166+(1-EXP(-LN(2)/2))/(LN(2)/2)*V167*Y167*VLOOKUP('Données projet'!$B$9,Paramètres!$A$1:$I$89,3,0)*0.475*44/12</f>
        <v>0</v>
      </c>
      <c r="AC167" s="24">
        <f t="shared" si="163"/>
        <v>43.761132767759378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54.000000000000341</v>
      </c>
      <c r="AJ167" s="14">
        <f>AI167*VLOOKUP('Données projet'!$B$10,Paramètres!$A$1:$I$89,3,0)*VLOOKUP('Données projet'!$B$10,Paramètres!$A$1:$I$89,5,0)</f>
        <v>23.868000000000151</v>
      </c>
      <c r="AK167" s="14">
        <f t="shared" si="164"/>
        <v>7.6030930962115804</v>
      </c>
      <c r="AL167" s="22">
        <f t="shared" si="165"/>
        <v>54.812153809235433</v>
      </c>
      <c r="AM167" s="62">
        <f t="shared" si="113"/>
        <v>342.94808553941613</v>
      </c>
      <c r="AN167" s="62">
        <f ca="1">AVERAGE(OFFSET($AM$3,0,0,'Données projet'!$E$10+1,1))-AVERAGE(OFFSET($H$3,0,0,'Données projet'!$E$10+1,1))</f>
        <v>413.08876898406481</v>
      </c>
      <c r="AO167" s="62">
        <f t="shared" si="144"/>
        <v>520.31320932826566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35.031206038708461</v>
      </c>
      <c r="AV167" s="23">
        <f>EXP(-LN(2)/25)*AV166+(1-EXP(-LN(2)/25))/(LN(2)/25)*Calculateur!AQ167*Calculateur!AS167*VLOOKUP('Données projet'!$B$10,Paramètres!$A$1:$I$89,3,0)*0.475*44/12</f>
        <v>1.1287476634277267</v>
      </c>
      <c r="AW167" s="23">
        <f>EXP(-LN(2)/2)*AW166+(1-EXP(-LN(2)/2))/(LN(2)/2)*AQ167*AT167*VLOOKUP('Données projet'!$B$10,Paramètres!$A$1:$I$89,3,0)*0.475*44/12</f>
        <v>4.941031377751127E-18</v>
      </c>
      <c r="AX167" s="23">
        <f t="shared" si="166"/>
        <v>36.159953702136185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54.000000000000341</v>
      </c>
      <c r="BE167" s="14">
        <f>BD167*VLOOKUP('Données projet'!$B$11,Paramètres!$A$1:$I$89,3,0)*VLOOKUP('Données projet'!$B$11,Paramètres!$A$1:$I$89,5,0)</f>
        <v>30.186000000000188</v>
      </c>
      <c r="BF167" s="14">
        <f t="shared" si="167"/>
        <v>9.3563888882899153</v>
      </c>
      <c r="BG167" s="22">
        <f t="shared" si="168"/>
        <v>68.869660647105263</v>
      </c>
      <c r="BH167" s="62">
        <f t="shared" si="116"/>
        <v>357.00559237728595</v>
      </c>
      <c r="BI167" s="62">
        <f ca="1">AVERAGE(OFFSET($BH$3,0,0,'Données projet'!$E$11+1,1))-AVERAGE(OFFSET($H$3,0,0,'Données projet'!$E$11+1,1))</f>
        <v>507.66185230065889</v>
      </c>
      <c r="BJ167" s="62">
        <f t="shared" si="146"/>
        <v>640.14375617778342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44.304172343072409</v>
      </c>
      <c r="BQ167" s="23">
        <f>EXP(-LN(2)/25)*BQ166+(1-EXP(-LN(2)/25))/(LN(2)/25)*Calculateur!BL167*Calculateur!BN167*VLOOKUP('Données projet'!$B$11,Paramètres!$A$1:$I$89,3,0)*0.475*44/12</f>
        <v>1.427533809629185</v>
      </c>
      <c r="BR167" s="23">
        <f>EXP(-LN(2)/2)*BR166+(1-EXP(-LN(2)/2))/(LN(2)/2)*BL167*BO167*VLOOKUP('Données projet'!$B$11,Paramètres!$A$1:$I$89,3,0)*0.475*44/12</f>
        <v>6.2489514483323118E-18</v>
      </c>
      <c r="BS167" s="24">
        <f t="shared" si="169"/>
        <v>45.731706152701591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417.04879970000007</v>
      </c>
      <c r="BZ167" s="14">
        <f>BY167*VLOOKUP('Données projet'!$B$12,Paramètres!$A$1:$I$89,3,0)*VLOOKUP('Données projet'!$B$12,Paramètres!$A$1:$I$89,5,0)</f>
        <v>195.17883825960004</v>
      </c>
      <c r="CA167" s="14">
        <f t="shared" si="170"/>
        <v>48.683122291673484</v>
      </c>
      <c r="CB167" s="22">
        <f t="shared" si="171"/>
        <v>424.72624796013469</v>
      </c>
      <c r="CC167" s="62">
        <f t="shared" si="119"/>
        <v>712.86217969031532</v>
      </c>
      <c r="CD167" s="62">
        <f ca="1">AVERAGE(OFFSET($CC$3,0,0,'Données projet'!$E$12+1,1))-AVERAGE(OFFSET($H$3,0,0,'Données projet'!$E$12+1,1))</f>
        <v>289.21044803824958</v>
      </c>
      <c r="CE167" s="62">
        <f t="shared" si="148"/>
        <v>196.11836398299445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>
        <f>EXP(-LN(2)/35)*CK166+(1-EXP(-LN(2)/35))/(LN(2)/35)*CG167*CH167*VLOOKUP('Données projet'!$B$12,Paramètres!$A$1:$I$89,3,0)*0.475*44/12</f>
        <v>19.390583323808666</v>
      </c>
      <c r="CL167" s="23">
        <f>EXP(-LN(2)/25)*CL166+(1-EXP(-LN(2)/25))/(LN(2)/25)*Calculateur!CG167*Calculateur!CI167*VLOOKUP('Données projet'!$B$12,Paramètres!$A$1:$I$89,3,0)*0.475*44/12</f>
        <v>5.4364357930166269</v>
      </c>
      <c r="CM167" s="23">
        <f>EXP(-LN(2)/2)*CM166+(1-EXP(-LN(2)/2))/(LN(2)/2)*CG167*CJ167*VLOOKUP('Données projet'!$B$12,Paramètres!$A$1:$I$89,3,0)*0.475*44/12</f>
        <v>0</v>
      </c>
      <c r="CN167" s="24">
        <f t="shared" si="172"/>
        <v>24.827019116825294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-5.6843418860808015E-14</v>
      </c>
      <c r="CU167" s="18">
        <f>CT167*VLOOKUP('Données projet'!$B$13,Paramètres!$A$1:$I$89,3,0)*VLOOKUP('Données projet'!$B$13,Paramètres!$A$1:$I$89,5,0)</f>
        <v>-5.1431925385259088E-14</v>
      </c>
      <c r="CV167" s="14" t="e">
        <f t="shared" si="173"/>
        <v>#NUM!</v>
      </c>
      <c r="CW167" s="22" t="e">
        <f t="shared" si="174"/>
        <v>#NUM!</v>
      </c>
      <c r="CX167" s="62" t="e">
        <f t="shared" si="122"/>
        <v>#NUM!</v>
      </c>
      <c r="CY167" s="62">
        <f ca="1">AVERAGE(OFFSET($CX$3,0,0,'Données projet'!$E$13+1,1))-AVERAGE(OFFSET($H$3,0,0,'Données projet'!$E$13+1,1))</f>
        <v>376.68007030857598</v>
      </c>
      <c r="CZ167" s="62">
        <f t="shared" si="150"/>
        <v>532.90758914457626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>
        <f>EXP(-LN(2)/35)*DF166+(1-EXP(-LN(2)/35))/(LN(2)/35)*DB167*DC167*VLOOKUP('Données projet'!$B$13,Paramètres!$A$1:$I$89,3,0)*0.475*44/12</f>
        <v>8.8689777586416181</v>
      </c>
      <c r="DG167" s="23">
        <f>EXP(-LN(2)/25)*DG166+(1-EXP(-LN(2)/25))/(LN(2)/25)*Calculateur!DB167*Calculateur!DD167*VLOOKUP('Données projet'!$B$13,Paramètres!$A$1:$I$89,3,0)*0.475*44/12</f>
        <v>0.31897662970533647</v>
      </c>
      <c r="DH167" s="23">
        <f>EXP(-LN(2)/2)*DH166+(1-EXP(-LN(2)/2))/(LN(2)/2)*DB167*DE167*VLOOKUP('Données projet'!$B$13,Paramètres!$A$1:$I$89,3,0)*0.475*44/12</f>
        <v>0</v>
      </c>
      <c r="DI167" s="24">
        <f t="shared" si="175"/>
        <v>9.1879543883469541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5.6843418860808015E-14</v>
      </c>
      <c r="DP167" s="18">
        <f>DO167*VLOOKUP('Données projet'!$B$14,Paramètres!$A$1:$I$89,3,0)*VLOOKUP('Données projet'!$B$14,Paramètres!$A$1:$I$89,5,0)</f>
        <v>5.4092197387944907E-14</v>
      </c>
      <c r="DQ167" s="14">
        <f t="shared" si="176"/>
        <v>8.7287050538073676E-13</v>
      </c>
      <c r="DR167" s="22">
        <f t="shared" si="177"/>
        <v>1.6144600406554537E-12</v>
      </c>
      <c r="DS167" s="62">
        <f t="shared" si="125"/>
        <v>288.13593173018228</v>
      </c>
      <c r="DT167" s="62">
        <f ca="1">AVERAGE(OFFSET($DS$3,0,0,'Données projet'!$E$14+1,1))-AVERAGE(OFFSET($H$3,0,0,'Données projet'!$E$14+1,1))</f>
        <v>364.63161066507769</v>
      </c>
      <c r="DU167" s="62">
        <f t="shared" si="152"/>
        <v>355.44729904860708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>
        <f>EXP(-LN(2)/35)*EA166+(1-EXP(-LN(2)/35))/(LN(2)/35)*DW167*DX167*VLOOKUP('Données projet'!$B$14,Paramètres!$A$1:$I$89,3,0)*0.475*44/12</f>
        <v>25.14472429314489</v>
      </c>
      <c r="EB167" s="23">
        <f>EXP(-LN(2)/25)*EB166+(1-EXP(-LN(2)/25))/(LN(2)/25)*Calculateur!DW167*Calculateur!DY167*VLOOKUP('Données projet'!$B$14,Paramètres!$A$1:$I$89,3,0)*0.475*44/12</f>
        <v>0</v>
      </c>
      <c r="EC167" s="23">
        <f>EXP(-LN(2)/2)*EC166+(1-EXP(-LN(2)/2))/(LN(2)/2)*DW167*DZ167*VLOOKUP('Données projet'!$B$14,Paramètres!$A$1:$I$89,3,0)*0.475*44/12</f>
        <v>0</v>
      </c>
      <c r="ED167" s="24">
        <f t="shared" si="178"/>
        <v>25.14472429314489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5.6843418860808015E-14</v>
      </c>
      <c r="EK167" s="18">
        <f>EJ167*VLOOKUP('Données projet'!$B$15,Paramètres!$A$1:$I$89,3,0)*VLOOKUP('Données projet'!$B$15,Paramètres!$A$1:$I$89,5,0)</f>
        <v>4.1677594708744434E-14</v>
      </c>
      <c r="EL167" s="14">
        <f t="shared" si="179"/>
        <v>6.9326303456159188E-13</v>
      </c>
      <c r="EM167" s="22">
        <f t="shared" si="180"/>
        <v>1.2800215959791691E-12</v>
      </c>
      <c r="EN167" s="62">
        <f t="shared" si="128"/>
        <v>288.13593173018199</v>
      </c>
      <c r="EO167" s="62">
        <f ca="1">AVERAGE(OFFSET($EN$3,0,0,'Données projet'!$E$15+1,1))-AVERAGE(OFFSET($H$3,0,0,'Données projet'!$E$15+1,1))</f>
        <v>293.59366973965774</v>
      </c>
      <c r="EP167" s="62">
        <f t="shared" si="154"/>
        <v>288.13804536120426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>
        <f>EXP(-LN(2)/35)*EV166+(1-EXP(-LN(2)/35))/(LN(2)/35)*ER167*ES167*VLOOKUP('Données projet'!$B$15,Paramètres!$A$1:$I$89,3,0)*0.475*44/12</f>
        <v>19.373803963570644</v>
      </c>
      <c r="EW167" s="23">
        <f>EXP(-LN(2)/25)*EW166+(1-EXP(-LN(2)/25))/(LN(2)/25)*Calculateur!ER167*Calculateur!ET167*VLOOKUP('Données projet'!$B$15,Paramètres!$A$1:$I$89,3,0)*0.475*44/12</f>
        <v>0</v>
      </c>
      <c r="EX167" s="23">
        <f>EXP(-LN(2)/2)*EX166+(1-EXP(-LN(2)/2))/(LN(2)/2)*ER167*EU167*VLOOKUP('Données projet'!$B$15,Paramètres!$A$1:$I$89,3,0)*0.475*44/12</f>
        <v>0</v>
      </c>
      <c r="EY167" s="24">
        <f t="shared" si="181"/>
        <v>19.373803963570644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5.6843418860808015E-14</v>
      </c>
      <c r="FF167" s="18">
        <f>FE167*VLOOKUP('Données projet'!$B$16,Paramètres!$A$1:$I$89,3,0)*VLOOKUP('Données projet'!$B$16,Paramètres!$A$1:$I$89,5,0)</f>
        <v>5.4978954722173515E-14</v>
      </c>
      <c r="FG167" s="14">
        <f t="shared" si="182"/>
        <v>8.8550225887742724E-13</v>
      </c>
      <c r="FH167" s="22">
        <f t="shared" si="183"/>
        <v>1.6380047803526383E-12</v>
      </c>
      <c r="FI167" s="62">
        <f t="shared" si="131"/>
        <v>288.13593173018234</v>
      </c>
      <c r="FJ167" s="62">
        <f ca="1">AVERAGE(OFFSET($FI$3,0,0,'Données projet'!$E$16+1,1))-AVERAGE(OFFSET($H$3,0,0,'Données projet'!$E$16+1,1))</f>
        <v>369.69145521630799</v>
      </c>
      <c r="FK167" s="62">
        <f t="shared" si="156"/>
        <v>360.24112103688719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>
        <f>EXP(-LN(2)/35)*FQ166+(1-EXP(-LN(2)/35))/(LN(2)/35)*FM167*FN167*VLOOKUP('Données projet'!$B$16,Paramètres!$A$1:$I$89,3,0)*0.475*44/12</f>
        <v>25.556932888114471</v>
      </c>
      <c r="FR167" s="23">
        <f>EXP(-LN(2)/25)*FR166+(1-EXP(-LN(2)/25))/(LN(2)/25)*Calculateur!FM167*Calculateur!FO167*VLOOKUP('Données projet'!$B$16,Paramètres!$A$1:$I$89,3,0)*0.475*44/12</f>
        <v>0</v>
      </c>
      <c r="FS167" s="23">
        <f>EXP(-LN(2)/2)*FS166+(1-EXP(-LN(2)/2))/(LN(2)/2)*FM167*FP167*VLOOKUP('Données projet'!$B$16,Paramètres!$A$1:$I$89,3,0)*0.475*44/12</f>
        <v>0</v>
      </c>
      <c r="FT167" s="24">
        <f t="shared" si="184"/>
        <v>25.556932888114471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5.6843418860808015E-14</v>
      </c>
      <c r="GA167" s="18">
        <f>FZ167*VLOOKUP('Données projet'!$B$17,Paramètres!$A$1:$I$89,3,0)*VLOOKUP('Données projet'!$B$17,Paramètres!$A$1:$I$89,5,0)</f>
        <v>6.1186256061773749E-14</v>
      </c>
      <c r="GB167" s="14">
        <f t="shared" si="185"/>
        <v>9.7328366192051127E-13</v>
      </c>
      <c r="GC167" s="22">
        <f t="shared" si="186"/>
        <v>1.8017017738191463E-12</v>
      </c>
      <c r="GD167" s="62">
        <f t="shared" si="134"/>
        <v>288.13593173018251</v>
      </c>
      <c r="GE167" s="62">
        <f ca="1">AVERAGE(OFFSET($GD$3,0,0,'Données projet'!$E$17+1,1))-AVERAGE(OFFSET($H$3,0,0,'Données projet'!$E$17+1,1))</f>
        <v>405.06394904053946</v>
      </c>
      <c r="GF167" s="62">
        <f t="shared" si="158"/>
        <v>393.75247087518198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>
        <f>EXP(-LN(2)/35)*GL166+(1-EXP(-LN(2)/35))/(LN(2)/35)*GH167*GI167*VLOOKUP('Données projet'!$B$17,Paramètres!$A$1:$I$89,3,0)*0.475*44/12</f>
        <v>28.442393052901572</v>
      </c>
      <c r="GM167" s="23">
        <f>EXP(-LN(2)/25)*GM166+(1-EXP(-LN(2)/25))/(LN(2)/25)*Calculateur!GH167*Calculateur!GJ167*VLOOKUP('Données projet'!$B$17,Paramètres!$A$1:$I$89,3,0)*0.475*44/12</f>
        <v>0</v>
      </c>
      <c r="GN167" s="23">
        <f>EXP(-LN(2)/2)*GN166+(1-EXP(-LN(2)/2))/(LN(2)/2)*GH167*GK167*VLOOKUP('Données projet'!$B$17,Paramètres!$A$1:$I$89,3,0)*0.475*44/12</f>
        <v>0</v>
      </c>
      <c r="GO167" s="23">
        <f t="shared" si="187"/>
        <v>28.442393052901572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5.6843418860808015E-14</v>
      </c>
      <c r="GV167" s="18">
        <f>GU167*VLOOKUP('Données projet'!$B$18,Paramètres!$A$1:$I$89,3,0)*VLOOKUP('Données projet'!$B$18,Paramètres!$A$1:$I$89,5,0)</f>
        <v>3.813056537183002E-14</v>
      </c>
      <c r="GW167" s="14">
        <f t="shared" si="188"/>
        <v>6.4086286045526829E-13</v>
      </c>
      <c r="GX167" s="22">
        <f t="shared" si="189"/>
        <v>1.1825802166488628E-12</v>
      </c>
      <c r="GY167" s="62">
        <f t="shared" si="137"/>
        <v>288.13593173018188</v>
      </c>
      <c r="GZ167" s="62">
        <f ca="1">AVERAGE(OFFSET($GY$3,0,0,'Données projet'!$E$18+1,1))-AVERAGE(OFFSET($H$3,0,0,'Données projet'!$E$18+1,1))</f>
        <v>273.21861937609918</v>
      </c>
      <c r="HA167" s="62">
        <f t="shared" si="160"/>
        <v>268.83004886965318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>
        <f>EXP(-LN(2)/35)*HG166+(1-EXP(-LN(2)/35))/(LN(2)/35)*HC167*HD167*VLOOKUP('Données projet'!$B$18,Paramètres!$A$1:$I$89,3,0)*0.475*44/12</f>
        <v>21.847055533388168</v>
      </c>
      <c r="HH167" s="23">
        <f>EXP(-LN(2)/25)*HH166+(1-EXP(-LN(2)/25))/(LN(2)/25)*Calculateur!HC167*Calculateur!HE167*VLOOKUP('Données projet'!$B$18,Paramètres!$A$1:$I$89,3,0)*0.475*44/12</f>
        <v>0</v>
      </c>
      <c r="HI167" s="23">
        <f>EXP(-LN(2)/2)*HI166+(1-EXP(-LN(2)/2))/(LN(2)/2)*HC167*HF167*VLOOKUP('Données projet'!$B$18,Paramètres!$A$1:$I$89,3,0)*0.475*44/12</f>
        <v>0</v>
      </c>
      <c r="HJ167" s="24">
        <f t="shared" si="190"/>
        <v>21.847055533388168</v>
      </c>
    </row>
    <row r="168" spans="1:218" x14ac:dyDescent="0.4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-3.4705882352941178</v>
      </c>
      <c r="N168" s="14">
        <f>IF('Données projet'!$A$36&gt;35,N167+M168-V167,IF(A168&lt;'Données projet'!$A$36,$K$205^A168,IF(A168='Données projet'!$A$36,'Données projet'!$B$36,N167+M168-V167)))</f>
        <v>233.9999999999998</v>
      </c>
      <c r="O168" s="14">
        <f>N168*VLOOKUP('Données projet'!$B$9,Paramètres!$A$1:$I$89,3,0)*VLOOKUP('Données projet'!$B$9,Paramètres!$A$1:$I$89,5,0)</f>
        <v>211.72319999999982</v>
      </c>
      <c r="P168" s="14">
        <f t="shared" si="141"/>
        <v>52.311968964212028</v>
      </c>
      <c r="Q168" s="22">
        <f t="shared" si="162"/>
        <v>459.86125261266892</v>
      </c>
      <c r="R168" s="62">
        <f t="shared" si="109"/>
        <v>748.08734764101507</v>
      </c>
      <c r="S168" s="62">
        <f ca="1">AVERAGE(OFFSET($R$3,0,0,'Données projet'!$E$9+1,1))-AVERAGE(OFFSET($H$3,0,0,'Données projet'!$E$9+1,1))</f>
        <v>432.80275651765203</v>
      </c>
      <c r="T168" s="62">
        <f t="shared" si="142"/>
        <v>203.89279893419919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27.127135161570347</v>
      </c>
      <c r="AA168" s="23">
        <f>EXP(-LN(2)/25)*AA167+(1-EXP(-LN(2)/25))/(LN(2)/25)*Calculateur!V168*Calculateur!X168*VLOOKUP('Données projet'!$B$9,Paramètres!$A$1:$I$89,3,0)*0.475*44/12</f>
        <v>15.651390757294291</v>
      </c>
      <c r="AB168" s="23">
        <f>EXP(-LN(2)/2)*AB167+(1-EXP(-LN(2)/2))/(LN(2)/2)*V168*Y168*VLOOKUP('Données projet'!$B$9,Paramètres!$A$1:$I$89,3,0)*0.475*44/12</f>
        <v>0</v>
      </c>
      <c r="AC168" s="24">
        <f t="shared" si="163"/>
        <v>42.778525918864638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54.000000000000341</v>
      </c>
      <c r="AJ168" s="14">
        <f>AI168*VLOOKUP('Données projet'!$B$10,Paramètres!$A$1:$I$89,3,0)*VLOOKUP('Données projet'!$B$10,Paramètres!$A$1:$I$89,5,0)</f>
        <v>23.868000000000151</v>
      </c>
      <c r="AK168" s="14">
        <f t="shared" si="164"/>
        <v>7.6030930962115804</v>
      </c>
      <c r="AL168" s="22">
        <f t="shared" si="165"/>
        <v>54.812153809235433</v>
      </c>
      <c r="AM168" s="62">
        <f t="shared" si="113"/>
        <v>343.03824883758159</v>
      </c>
      <c r="AN168" s="62">
        <f ca="1">AVERAGE(OFFSET($AM$3,0,0,'Données projet'!$E$10+1,1))-AVERAGE(OFFSET($H$3,0,0,'Données projet'!$E$10+1,1))</f>
        <v>413.08876898406481</v>
      </c>
      <c r="AO168" s="62">
        <f t="shared" si="144"/>
        <v>520.31320932826566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34.344265455215265</v>
      </c>
      <c r="AV168" s="23">
        <f>EXP(-LN(2)/25)*AV167+(1-EXP(-LN(2)/25))/(LN(2)/25)*Calculateur!AQ168*Calculateur!AS168*VLOOKUP('Données projet'!$B$10,Paramètres!$A$1:$I$89,3,0)*0.475*44/12</f>
        <v>1.0978819992130358</v>
      </c>
      <c r="AW168" s="23">
        <f>EXP(-LN(2)/2)*AW167+(1-EXP(-LN(2)/2))/(LN(2)/2)*AQ168*AT168*VLOOKUP('Données projet'!$B$10,Paramètres!$A$1:$I$89,3,0)*0.475*44/12</f>
        <v>3.4938367932633315E-18</v>
      </c>
      <c r="AX168" s="23">
        <f t="shared" si="166"/>
        <v>35.442147454428302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54.000000000000341</v>
      </c>
      <c r="BE168" s="14">
        <f>BD168*VLOOKUP('Données projet'!$B$11,Paramètres!$A$1:$I$89,3,0)*VLOOKUP('Données projet'!$B$11,Paramètres!$A$1:$I$89,5,0)</f>
        <v>30.186000000000188</v>
      </c>
      <c r="BF168" s="14">
        <f t="shared" si="167"/>
        <v>9.3563888882899153</v>
      </c>
      <c r="BG168" s="22">
        <f t="shared" si="168"/>
        <v>68.869660647105263</v>
      </c>
      <c r="BH168" s="62">
        <f t="shared" si="116"/>
        <v>357.09575567545141</v>
      </c>
      <c r="BI168" s="62">
        <f ca="1">AVERAGE(OFFSET($BH$3,0,0,'Données projet'!$E$11+1,1))-AVERAGE(OFFSET($H$3,0,0,'Données projet'!$E$11+1,1))</f>
        <v>507.66185230065889</v>
      </c>
      <c r="BJ168" s="62">
        <f t="shared" si="146"/>
        <v>640.14375617778342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43.435394546301602</v>
      </c>
      <c r="BQ168" s="23">
        <f>EXP(-LN(2)/25)*BQ167+(1-EXP(-LN(2)/25))/(LN(2)/25)*Calculateur!BL168*Calculateur!BN168*VLOOKUP('Données projet'!$B$11,Paramètres!$A$1:$I$89,3,0)*0.475*44/12</f>
        <v>1.3884978225341345</v>
      </c>
      <c r="BR168" s="23">
        <f>EXP(-LN(2)/2)*BR167+(1-EXP(-LN(2)/2))/(LN(2)/2)*BL168*BO168*VLOOKUP('Données projet'!$B$11,Paramètres!$A$1:$I$89,3,0)*0.475*44/12</f>
        <v>4.4186759444212752E-18</v>
      </c>
      <c r="BS168" s="24">
        <f t="shared" si="169"/>
        <v>44.823892368835736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417.04879970000007</v>
      </c>
      <c r="BZ168" s="14">
        <f>BY168*VLOOKUP('Données projet'!$B$12,Paramètres!$A$1:$I$89,3,0)*VLOOKUP('Données projet'!$B$12,Paramètres!$A$1:$I$89,5,0)</f>
        <v>195.17883825960004</v>
      </c>
      <c r="CA168" s="14">
        <f t="shared" si="170"/>
        <v>48.683122291673484</v>
      </c>
      <c r="CB168" s="22">
        <f t="shared" si="171"/>
        <v>424.72624796013469</v>
      </c>
      <c r="CC168" s="62">
        <f t="shared" si="119"/>
        <v>712.95234298848084</v>
      </c>
      <c r="CD168" s="62">
        <f ca="1">AVERAGE(OFFSET($CC$3,0,0,'Données projet'!$E$12+1,1))-AVERAGE(OFFSET($H$3,0,0,'Données projet'!$E$12+1,1))</f>
        <v>289.21044803824958</v>
      </c>
      <c r="CE168" s="62">
        <f t="shared" si="148"/>
        <v>196.11836398299445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>
        <f>EXP(-LN(2)/35)*CK167+(1-EXP(-LN(2)/35))/(LN(2)/35)*CG168*CH168*VLOOKUP('Données projet'!$B$12,Paramètres!$A$1:$I$89,3,0)*0.475*44/12</f>
        <v>19.010345811916778</v>
      </c>
      <c r="CL168" s="23">
        <f>EXP(-LN(2)/25)*CL167+(1-EXP(-LN(2)/25))/(LN(2)/25)*Calculateur!CG168*Calculateur!CI168*VLOOKUP('Données projet'!$B$12,Paramètres!$A$1:$I$89,3,0)*0.475*44/12</f>
        <v>5.287776170366854</v>
      </c>
      <c r="CM168" s="23">
        <f>EXP(-LN(2)/2)*CM167+(1-EXP(-LN(2)/2))/(LN(2)/2)*CG168*CJ168*VLOOKUP('Données projet'!$B$12,Paramètres!$A$1:$I$89,3,0)*0.475*44/12</f>
        <v>0</v>
      </c>
      <c r="CN168" s="24">
        <f t="shared" si="172"/>
        <v>24.298121982283632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-5.6843418860808015E-14</v>
      </c>
      <c r="CU168" s="18">
        <f>CT168*VLOOKUP('Données projet'!$B$13,Paramètres!$A$1:$I$89,3,0)*VLOOKUP('Données projet'!$B$13,Paramètres!$A$1:$I$89,5,0)</f>
        <v>-5.1431925385259088E-14</v>
      </c>
      <c r="CV168" s="14" t="e">
        <f t="shared" si="173"/>
        <v>#NUM!</v>
      </c>
      <c r="CW168" s="22" t="e">
        <f t="shared" si="174"/>
        <v>#NUM!</v>
      </c>
      <c r="CX168" s="62" t="e">
        <f t="shared" si="122"/>
        <v>#NUM!</v>
      </c>
      <c r="CY168" s="62">
        <f ca="1">AVERAGE(OFFSET($CX$3,0,0,'Données projet'!$E$13+1,1))-AVERAGE(OFFSET($H$3,0,0,'Données projet'!$E$13+1,1))</f>
        <v>376.68007030857598</v>
      </c>
      <c r="CZ168" s="62">
        <f t="shared" si="150"/>
        <v>532.90758914457626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>
        <f>EXP(-LN(2)/35)*DF167+(1-EXP(-LN(2)/35))/(LN(2)/35)*DB168*DC168*VLOOKUP('Données projet'!$B$13,Paramètres!$A$1:$I$89,3,0)*0.475*44/12</f>
        <v>8.6950625143369411</v>
      </c>
      <c r="DG168" s="23">
        <f>EXP(-LN(2)/25)*DG167+(1-EXP(-LN(2)/25))/(LN(2)/25)*Calculateur!DB168*Calculateur!DD168*VLOOKUP('Données projet'!$B$13,Paramètres!$A$1:$I$89,3,0)*0.475*44/12</f>
        <v>0.31025419699179213</v>
      </c>
      <c r="DH168" s="23">
        <f>EXP(-LN(2)/2)*DH167+(1-EXP(-LN(2)/2))/(LN(2)/2)*DB168*DE168*VLOOKUP('Données projet'!$B$13,Paramètres!$A$1:$I$89,3,0)*0.475*44/12</f>
        <v>0</v>
      </c>
      <c r="DI168" s="24">
        <f t="shared" si="175"/>
        <v>9.0053167113287333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5.6843418860808015E-14</v>
      </c>
      <c r="DP168" s="18">
        <f>DO168*VLOOKUP('Données projet'!$B$14,Paramètres!$A$1:$I$89,3,0)*VLOOKUP('Données projet'!$B$14,Paramètres!$A$1:$I$89,5,0)</f>
        <v>5.4092197387944907E-14</v>
      </c>
      <c r="DQ168" s="14">
        <f t="shared" si="176"/>
        <v>8.7287050538073676E-13</v>
      </c>
      <c r="DR168" s="22">
        <f t="shared" si="177"/>
        <v>1.6144600406554537E-12</v>
      </c>
      <c r="DS168" s="62">
        <f t="shared" si="125"/>
        <v>288.22609502834774</v>
      </c>
      <c r="DT168" s="62">
        <f ca="1">AVERAGE(OFFSET($DS$3,0,0,'Données projet'!$E$14+1,1))-AVERAGE(OFFSET($H$3,0,0,'Données projet'!$E$14+1,1))</f>
        <v>364.63161066507769</v>
      </c>
      <c r="DU168" s="62">
        <f t="shared" si="152"/>
        <v>355.44729904860708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>
        <f>EXP(-LN(2)/35)*EA167+(1-EXP(-LN(2)/35))/(LN(2)/35)*DW168*DX168*VLOOKUP('Données projet'!$B$14,Paramètres!$A$1:$I$89,3,0)*0.475*44/12</f>
        <v>24.651651586523759</v>
      </c>
      <c r="EB168" s="23">
        <f>EXP(-LN(2)/25)*EB167+(1-EXP(-LN(2)/25))/(LN(2)/25)*Calculateur!DW168*Calculateur!DY168*VLOOKUP('Données projet'!$B$14,Paramètres!$A$1:$I$89,3,0)*0.475*44/12</f>
        <v>0</v>
      </c>
      <c r="EC168" s="23">
        <f>EXP(-LN(2)/2)*EC167+(1-EXP(-LN(2)/2))/(LN(2)/2)*DW168*DZ168*VLOOKUP('Données projet'!$B$14,Paramètres!$A$1:$I$89,3,0)*0.475*44/12</f>
        <v>0</v>
      </c>
      <c r="ED168" s="24">
        <f t="shared" si="178"/>
        <v>24.651651586523759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5.6843418860808015E-14</v>
      </c>
      <c r="EK168" s="18">
        <f>EJ168*VLOOKUP('Données projet'!$B$15,Paramètres!$A$1:$I$89,3,0)*VLOOKUP('Données projet'!$B$15,Paramètres!$A$1:$I$89,5,0)</f>
        <v>4.1677594708744434E-14</v>
      </c>
      <c r="EL168" s="14">
        <f t="shared" si="179"/>
        <v>6.9326303456159188E-13</v>
      </c>
      <c r="EM168" s="22">
        <f t="shared" si="180"/>
        <v>1.2800215959791691E-12</v>
      </c>
      <c r="EN168" s="62">
        <f t="shared" si="128"/>
        <v>288.22609502834746</v>
      </c>
      <c r="EO168" s="62">
        <f ca="1">AVERAGE(OFFSET($EN$3,0,0,'Données projet'!$E$15+1,1))-AVERAGE(OFFSET($H$3,0,0,'Données projet'!$E$15+1,1))</f>
        <v>293.59366973965774</v>
      </c>
      <c r="EP168" s="62">
        <f t="shared" si="154"/>
        <v>288.13804536120426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>
        <f>EXP(-LN(2)/35)*EV167+(1-EXP(-LN(2)/35))/(LN(2)/35)*ER168*ES168*VLOOKUP('Données projet'!$B$15,Paramètres!$A$1:$I$89,3,0)*0.475*44/12</f>
        <v>18.993895484698623</v>
      </c>
      <c r="EW168" s="23">
        <f>EXP(-LN(2)/25)*EW167+(1-EXP(-LN(2)/25))/(LN(2)/25)*Calculateur!ER168*Calculateur!ET168*VLOOKUP('Données projet'!$B$15,Paramètres!$A$1:$I$89,3,0)*0.475*44/12</f>
        <v>0</v>
      </c>
      <c r="EX168" s="23">
        <f>EXP(-LN(2)/2)*EX167+(1-EXP(-LN(2)/2))/(LN(2)/2)*ER168*EU168*VLOOKUP('Données projet'!$B$15,Paramètres!$A$1:$I$89,3,0)*0.475*44/12</f>
        <v>0</v>
      </c>
      <c r="EY168" s="24">
        <f t="shared" si="181"/>
        <v>18.993895484698623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5.6843418860808015E-14</v>
      </c>
      <c r="FF168" s="18">
        <f>FE168*VLOOKUP('Données projet'!$B$16,Paramètres!$A$1:$I$89,3,0)*VLOOKUP('Données projet'!$B$16,Paramètres!$A$1:$I$89,5,0)</f>
        <v>5.4978954722173515E-14</v>
      </c>
      <c r="FG168" s="14">
        <f t="shared" si="182"/>
        <v>8.8550225887742724E-13</v>
      </c>
      <c r="FH168" s="22">
        <f t="shared" si="183"/>
        <v>1.6380047803526383E-12</v>
      </c>
      <c r="FI168" s="62">
        <f t="shared" si="131"/>
        <v>288.2260950283478</v>
      </c>
      <c r="FJ168" s="62">
        <f ca="1">AVERAGE(OFFSET($FI$3,0,0,'Données projet'!$E$16+1,1))-AVERAGE(OFFSET($H$3,0,0,'Données projet'!$E$16+1,1))</f>
        <v>369.69145521630799</v>
      </c>
      <c r="FK168" s="62">
        <f t="shared" si="156"/>
        <v>360.24112103688719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>
        <f>EXP(-LN(2)/35)*FQ167+(1-EXP(-LN(2)/35))/(LN(2)/35)*FM168*FN168*VLOOKUP('Données projet'!$B$16,Paramètres!$A$1:$I$89,3,0)*0.475*44/12</f>
        <v>25.055777022368403</v>
      </c>
      <c r="FR168" s="23">
        <f>EXP(-LN(2)/25)*FR167+(1-EXP(-LN(2)/25))/(LN(2)/25)*Calculateur!FM168*Calculateur!FO168*VLOOKUP('Données projet'!$B$16,Paramètres!$A$1:$I$89,3,0)*0.475*44/12</f>
        <v>0</v>
      </c>
      <c r="FS168" s="23">
        <f>EXP(-LN(2)/2)*FS167+(1-EXP(-LN(2)/2))/(LN(2)/2)*FM168*FP168*VLOOKUP('Données projet'!$B$16,Paramètres!$A$1:$I$89,3,0)*0.475*44/12</f>
        <v>0</v>
      </c>
      <c r="FT168" s="24">
        <f t="shared" si="184"/>
        <v>25.055777022368403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5.6843418860808015E-14</v>
      </c>
      <c r="GA168" s="18">
        <f>FZ168*VLOOKUP('Données projet'!$B$17,Paramètres!$A$1:$I$89,3,0)*VLOOKUP('Données projet'!$B$17,Paramètres!$A$1:$I$89,5,0)</f>
        <v>6.1186256061773749E-14</v>
      </c>
      <c r="GB168" s="14">
        <f t="shared" si="185"/>
        <v>9.7328366192051127E-13</v>
      </c>
      <c r="GC168" s="22">
        <f t="shared" si="186"/>
        <v>1.8017017738191463E-12</v>
      </c>
      <c r="GD168" s="62">
        <f t="shared" si="134"/>
        <v>288.22609502834797</v>
      </c>
      <c r="GE168" s="62">
        <f ca="1">AVERAGE(OFFSET($GD$3,0,0,'Données projet'!$E$17+1,1))-AVERAGE(OFFSET($H$3,0,0,'Données projet'!$E$17+1,1))</f>
        <v>405.06394904053946</v>
      </c>
      <c r="GF168" s="62">
        <f t="shared" si="158"/>
        <v>393.75247087518198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>
        <f>EXP(-LN(2)/35)*GL167+(1-EXP(-LN(2)/35))/(LN(2)/35)*GH168*GI168*VLOOKUP('Données projet'!$B$17,Paramètres!$A$1:$I$89,3,0)*0.475*44/12</f>
        <v>27.884655073280946</v>
      </c>
      <c r="GM168" s="23">
        <f>EXP(-LN(2)/25)*GM167+(1-EXP(-LN(2)/25))/(LN(2)/25)*Calculateur!GH168*Calculateur!GJ168*VLOOKUP('Données projet'!$B$17,Paramètres!$A$1:$I$89,3,0)*0.475*44/12</f>
        <v>0</v>
      </c>
      <c r="GN168" s="23">
        <f>EXP(-LN(2)/2)*GN167+(1-EXP(-LN(2)/2))/(LN(2)/2)*GH168*GK168*VLOOKUP('Données projet'!$B$17,Paramètres!$A$1:$I$89,3,0)*0.475*44/12</f>
        <v>0</v>
      </c>
      <c r="GO168" s="23">
        <f t="shared" si="187"/>
        <v>27.884655073280946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5.6843418860808015E-14</v>
      </c>
      <c r="GV168" s="18">
        <f>GU168*VLOOKUP('Données projet'!$B$18,Paramètres!$A$1:$I$89,3,0)*VLOOKUP('Données projet'!$B$18,Paramètres!$A$1:$I$89,5,0)</f>
        <v>3.813056537183002E-14</v>
      </c>
      <c r="GW168" s="14">
        <f t="shared" si="188"/>
        <v>6.4086286045526829E-13</v>
      </c>
      <c r="GX168" s="22">
        <f t="shared" si="189"/>
        <v>1.1825802166488628E-12</v>
      </c>
      <c r="GY168" s="62">
        <f t="shared" si="137"/>
        <v>288.22609502834734</v>
      </c>
      <c r="GZ168" s="62">
        <f ca="1">AVERAGE(OFFSET($GY$3,0,0,'Données projet'!$E$18+1,1))-AVERAGE(OFFSET($H$3,0,0,'Données projet'!$E$18+1,1))</f>
        <v>273.21861937609918</v>
      </c>
      <c r="HA168" s="62">
        <f t="shared" si="160"/>
        <v>268.83004886965318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>
        <f>EXP(-LN(2)/35)*HG167+(1-EXP(-LN(2)/35))/(LN(2)/35)*HC168*HD168*VLOOKUP('Données projet'!$B$18,Paramètres!$A$1:$I$89,3,0)*0.475*44/12</f>
        <v>21.418648099766529</v>
      </c>
      <c r="HH168" s="23">
        <f>EXP(-LN(2)/25)*HH167+(1-EXP(-LN(2)/25))/(LN(2)/25)*Calculateur!HC168*Calculateur!HE168*VLOOKUP('Données projet'!$B$18,Paramètres!$A$1:$I$89,3,0)*0.475*44/12</f>
        <v>0</v>
      </c>
      <c r="HI168" s="23">
        <f>EXP(-LN(2)/2)*HI167+(1-EXP(-LN(2)/2))/(LN(2)/2)*HC168*HF168*VLOOKUP('Données projet'!$B$18,Paramètres!$A$1:$I$89,3,0)*0.475*44/12</f>
        <v>0</v>
      </c>
      <c r="HJ168" s="24">
        <f t="shared" si="190"/>
        <v>21.418648099766529</v>
      </c>
    </row>
    <row r="169" spans="1:218" x14ac:dyDescent="0.4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-3.4705882352941178</v>
      </c>
      <c r="N169" s="14">
        <f>IF('Données projet'!$A$36&gt;35,N168+M169-V168,IF(A169&lt;'Données projet'!$A$36,$K$205^A169,IF(A169='Données projet'!$A$36,'Données projet'!$B$36,N168+M169-V168)))</f>
        <v>230.52941176470569</v>
      </c>
      <c r="O169" s="14">
        <f>N169*VLOOKUP('Données projet'!$B$9,Paramètres!$A$1:$I$89,3,0)*VLOOKUP('Données projet'!$B$9,Paramètres!$A$1:$I$89,5,0)</f>
        <v>208.58301176470567</v>
      </c>
      <c r="P169" s="14">
        <f t="shared" si="141"/>
        <v>51.625816210416218</v>
      </c>
      <c r="Q169" s="22">
        <f t="shared" si="162"/>
        <v>453.19704205667063</v>
      </c>
      <c r="R169" s="62">
        <f t="shared" si="109"/>
        <v>741.5117362515341</v>
      </c>
      <c r="S169" s="62">
        <f ca="1">AVERAGE(OFFSET($R$3,0,0,'Données projet'!$E$9+1,1))-AVERAGE(OFFSET($H$3,0,0,'Données projet'!$E$9+1,1))</f>
        <v>432.80275651765203</v>
      </c>
      <c r="T169" s="62">
        <f t="shared" si="142"/>
        <v>203.89279893419919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26.595188586970629</v>
      </c>
      <c r="AA169" s="23">
        <f>EXP(-LN(2)/25)*AA168+(1-EXP(-LN(2)/25))/(LN(2)/25)*Calculateur!V169*Calculateur!X169*VLOOKUP('Données projet'!$B$9,Paramètres!$A$1:$I$89,3,0)*0.475*44/12</f>
        <v>15.223402653965209</v>
      </c>
      <c r="AB169" s="23">
        <f>EXP(-LN(2)/2)*AB168+(1-EXP(-LN(2)/2))/(LN(2)/2)*V169*Y169*VLOOKUP('Données projet'!$B$9,Paramètres!$A$1:$I$89,3,0)*0.475*44/12</f>
        <v>0</v>
      </c>
      <c r="AC169" s="24">
        <f t="shared" si="163"/>
        <v>41.818591240935838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54.000000000000341</v>
      </c>
      <c r="AJ169" s="14">
        <f>AI169*VLOOKUP('Données projet'!$B$10,Paramètres!$A$1:$I$89,3,0)*VLOOKUP('Données projet'!$B$10,Paramètres!$A$1:$I$89,5,0)</f>
        <v>23.868000000000151</v>
      </c>
      <c r="AK169" s="14">
        <f t="shared" si="164"/>
        <v>7.6030930962115804</v>
      </c>
      <c r="AL169" s="22">
        <f t="shared" si="165"/>
        <v>54.812153809235433</v>
      </c>
      <c r="AM169" s="62">
        <f t="shared" si="113"/>
        <v>343.12684800409886</v>
      </c>
      <c r="AN169" s="62">
        <f ca="1">AVERAGE(OFFSET($AM$3,0,0,'Données projet'!$E$10+1,1))-AVERAGE(OFFSET($H$3,0,0,'Données projet'!$E$10+1,1))</f>
        <v>413.08876898406481</v>
      </c>
      <c r="AO169" s="62">
        <f t="shared" si="144"/>
        <v>520.31320932826566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33.670795357571983</v>
      </c>
      <c r="AV169" s="23">
        <f>EXP(-LN(2)/25)*AV168+(1-EXP(-LN(2)/25))/(LN(2)/25)*Calculateur!AQ169*Calculateur!AS169*VLOOKUP('Données projet'!$B$10,Paramètres!$A$1:$I$89,3,0)*0.475*44/12</f>
        <v>1.0678603582094501</v>
      </c>
      <c r="AW169" s="23">
        <f>EXP(-LN(2)/2)*AW168+(1-EXP(-LN(2)/2))/(LN(2)/2)*AQ169*AT169*VLOOKUP('Données projet'!$B$10,Paramètres!$A$1:$I$89,3,0)*0.475*44/12</f>
        <v>2.4705156888755635E-18</v>
      </c>
      <c r="AX169" s="23">
        <f t="shared" si="166"/>
        <v>34.738655715781434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54.000000000000341</v>
      </c>
      <c r="BE169" s="14">
        <f>BD169*VLOOKUP('Données projet'!$B$11,Paramètres!$A$1:$I$89,3,0)*VLOOKUP('Données projet'!$B$11,Paramètres!$A$1:$I$89,5,0)</f>
        <v>30.186000000000188</v>
      </c>
      <c r="BF169" s="14">
        <f t="shared" si="167"/>
        <v>9.3563888882899153</v>
      </c>
      <c r="BG169" s="22">
        <f t="shared" si="168"/>
        <v>68.869660647105263</v>
      </c>
      <c r="BH169" s="62">
        <f t="shared" si="116"/>
        <v>357.18435484196868</v>
      </c>
      <c r="BI169" s="62">
        <f ca="1">AVERAGE(OFFSET($BH$3,0,0,'Données projet'!$E$11+1,1))-AVERAGE(OFFSET($H$3,0,0,'Données projet'!$E$11+1,1))</f>
        <v>507.66185230065889</v>
      </c>
      <c r="BJ169" s="62">
        <f t="shared" si="146"/>
        <v>640.14375617778342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42.583652952223339</v>
      </c>
      <c r="BQ169" s="23">
        <f>EXP(-LN(2)/25)*BQ168+(1-EXP(-LN(2)/25))/(LN(2)/25)*Calculateur!BL169*Calculateur!BN169*VLOOKUP('Données projet'!$B$11,Paramètres!$A$1:$I$89,3,0)*0.475*44/12</f>
        <v>1.3505292765590116</v>
      </c>
      <c r="BR169" s="23">
        <f>EXP(-LN(2)/2)*BR168+(1-EXP(-LN(2)/2))/(LN(2)/2)*BL169*BO169*VLOOKUP('Données projet'!$B$11,Paramètres!$A$1:$I$89,3,0)*0.475*44/12</f>
        <v>3.1244757241661559E-18</v>
      </c>
      <c r="BS169" s="24">
        <f t="shared" si="169"/>
        <v>43.934182228782348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417.04879970000007</v>
      </c>
      <c r="BZ169" s="14">
        <f>BY169*VLOOKUP('Données projet'!$B$12,Paramètres!$A$1:$I$89,3,0)*VLOOKUP('Données projet'!$B$12,Paramètres!$A$1:$I$89,5,0)</f>
        <v>195.17883825960004</v>
      </c>
      <c r="CA169" s="14">
        <f t="shared" si="170"/>
        <v>48.683122291673484</v>
      </c>
      <c r="CB169" s="22">
        <f t="shared" si="171"/>
        <v>424.72624796013469</v>
      </c>
      <c r="CC169" s="62">
        <f t="shared" si="119"/>
        <v>713.04094215499811</v>
      </c>
      <c r="CD169" s="62">
        <f ca="1">AVERAGE(OFFSET($CC$3,0,0,'Données projet'!$E$12+1,1))-AVERAGE(OFFSET($H$3,0,0,'Données projet'!$E$12+1,1))</f>
        <v>289.21044803824958</v>
      </c>
      <c r="CE169" s="62">
        <f t="shared" si="148"/>
        <v>196.11836398299445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>
        <f>EXP(-LN(2)/35)*CK168+(1-EXP(-LN(2)/35))/(LN(2)/35)*CG169*CH169*VLOOKUP('Données projet'!$B$12,Paramètres!$A$1:$I$89,3,0)*0.475*44/12</f>
        <v>18.63756452571111</v>
      </c>
      <c r="CL169" s="23">
        <f>EXP(-LN(2)/25)*CL168+(1-EXP(-LN(2)/25))/(LN(2)/25)*Calculateur!CG169*Calculateur!CI169*VLOOKUP('Données projet'!$B$12,Paramètres!$A$1:$I$89,3,0)*0.475*44/12</f>
        <v>5.143181652916109</v>
      </c>
      <c r="CM169" s="23">
        <f>EXP(-LN(2)/2)*CM168+(1-EXP(-LN(2)/2))/(LN(2)/2)*CG169*CJ169*VLOOKUP('Données projet'!$B$12,Paramètres!$A$1:$I$89,3,0)*0.475*44/12</f>
        <v>0</v>
      </c>
      <c r="CN169" s="24">
        <f t="shared" si="172"/>
        <v>23.780746178627219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-5.6843418860808015E-14</v>
      </c>
      <c r="CU169" s="18">
        <f>CT169*VLOOKUP('Données projet'!$B$13,Paramètres!$A$1:$I$89,3,0)*VLOOKUP('Données projet'!$B$13,Paramètres!$A$1:$I$89,5,0)</f>
        <v>-5.1431925385259088E-14</v>
      </c>
      <c r="CV169" s="14" t="e">
        <f t="shared" si="173"/>
        <v>#NUM!</v>
      </c>
      <c r="CW169" s="22" t="e">
        <f t="shared" si="174"/>
        <v>#NUM!</v>
      </c>
      <c r="CX169" s="62" t="e">
        <f t="shared" si="122"/>
        <v>#NUM!</v>
      </c>
      <c r="CY169" s="62">
        <f ca="1">AVERAGE(OFFSET($CX$3,0,0,'Données projet'!$E$13+1,1))-AVERAGE(OFFSET($H$3,0,0,'Données projet'!$E$13+1,1))</f>
        <v>376.68007030857598</v>
      </c>
      <c r="CZ169" s="62">
        <f t="shared" si="150"/>
        <v>532.90758914457626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>
        <f>EXP(-LN(2)/35)*DF168+(1-EXP(-LN(2)/35))/(LN(2)/35)*DB169*DC169*VLOOKUP('Données projet'!$B$13,Paramètres!$A$1:$I$89,3,0)*0.475*44/12</f>
        <v>8.5245576418952531</v>
      </c>
      <c r="DG169" s="23">
        <f>EXP(-LN(2)/25)*DG168+(1-EXP(-LN(2)/25))/(LN(2)/25)*Calculateur!DB169*Calculateur!DD169*VLOOKUP('Données projet'!$B$13,Paramètres!$A$1:$I$89,3,0)*0.475*44/12</f>
        <v>0.30177027965949244</v>
      </c>
      <c r="DH169" s="23">
        <f>EXP(-LN(2)/2)*DH168+(1-EXP(-LN(2)/2))/(LN(2)/2)*DB169*DE169*VLOOKUP('Données projet'!$B$13,Paramètres!$A$1:$I$89,3,0)*0.475*44/12</f>
        <v>0</v>
      </c>
      <c r="DI169" s="24">
        <f t="shared" si="175"/>
        <v>8.8263279215547463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5.6843418860808015E-14</v>
      </c>
      <c r="DP169" s="18">
        <f>DO169*VLOOKUP('Données projet'!$B$14,Paramètres!$A$1:$I$89,3,0)*VLOOKUP('Données projet'!$B$14,Paramètres!$A$1:$I$89,5,0)</f>
        <v>5.4092197387944907E-14</v>
      </c>
      <c r="DQ169" s="14">
        <f t="shared" si="176"/>
        <v>8.7287050538073676E-13</v>
      </c>
      <c r="DR169" s="22">
        <f t="shared" si="177"/>
        <v>1.6144600406554537E-12</v>
      </c>
      <c r="DS169" s="62">
        <f t="shared" si="125"/>
        <v>288.31469419486501</v>
      </c>
      <c r="DT169" s="62">
        <f ca="1">AVERAGE(OFFSET($DS$3,0,0,'Données projet'!$E$14+1,1))-AVERAGE(OFFSET($H$3,0,0,'Données projet'!$E$14+1,1))</f>
        <v>364.63161066507769</v>
      </c>
      <c r="DU169" s="62">
        <f t="shared" si="152"/>
        <v>355.44729904860708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>
        <f>EXP(-LN(2)/35)*EA168+(1-EXP(-LN(2)/35))/(LN(2)/35)*DW169*DX169*VLOOKUP('Données projet'!$B$14,Paramètres!$A$1:$I$89,3,0)*0.475*44/12</f>
        <v>24.168247734934813</v>
      </c>
      <c r="EB169" s="23">
        <f>EXP(-LN(2)/25)*EB168+(1-EXP(-LN(2)/25))/(LN(2)/25)*Calculateur!DW169*Calculateur!DY169*VLOOKUP('Données projet'!$B$14,Paramètres!$A$1:$I$89,3,0)*0.475*44/12</f>
        <v>0</v>
      </c>
      <c r="EC169" s="23">
        <f>EXP(-LN(2)/2)*EC168+(1-EXP(-LN(2)/2))/(LN(2)/2)*DW169*DZ169*VLOOKUP('Données projet'!$B$14,Paramètres!$A$1:$I$89,3,0)*0.475*44/12</f>
        <v>0</v>
      </c>
      <c r="ED169" s="24">
        <f t="shared" si="178"/>
        <v>24.168247734934813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5.6843418860808015E-14</v>
      </c>
      <c r="EK169" s="18">
        <f>EJ169*VLOOKUP('Données projet'!$B$15,Paramètres!$A$1:$I$89,3,0)*VLOOKUP('Données projet'!$B$15,Paramètres!$A$1:$I$89,5,0)</f>
        <v>4.1677594708744434E-14</v>
      </c>
      <c r="EL169" s="14">
        <f t="shared" si="179"/>
        <v>6.9326303456159188E-13</v>
      </c>
      <c r="EM169" s="22">
        <f t="shared" si="180"/>
        <v>1.2800215959791691E-12</v>
      </c>
      <c r="EN169" s="62">
        <f t="shared" si="128"/>
        <v>288.31469419486473</v>
      </c>
      <c r="EO169" s="62">
        <f ca="1">AVERAGE(OFFSET($EN$3,0,0,'Données projet'!$E$15+1,1))-AVERAGE(OFFSET($H$3,0,0,'Données projet'!$E$15+1,1))</f>
        <v>293.59366973965774</v>
      </c>
      <c r="EP169" s="62">
        <f t="shared" si="154"/>
        <v>288.13804536120426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>
        <f>EXP(-LN(2)/35)*EV168+(1-EXP(-LN(2)/35))/(LN(2)/35)*ER169*ES169*VLOOKUP('Données projet'!$B$15,Paramètres!$A$1:$I$89,3,0)*0.475*44/12</f>
        <v>18.621436779375991</v>
      </c>
      <c r="EW169" s="23">
        <f>EXP(-LN(2)/25)*EW168+(1-EXP(-LN(2)/25))/(LN(2)/25)*Calculateur!ER169*Calculateur!ET169*VLOOKUP('Données projet'!$B$15,Paramètres!$A$1:$I$89,3,0)*0.475*44/12</f>
        <v>0</v>
      </c>
      <c r="EX169" s="23">
        <f>EXP(-LN(2)/2)*EX168+(1-EXP(-LN(2)/2))/(LN(2)/2)*ER169*EU169*VLOOKUP('Données projet'!$B$15,Paramètres!$A$1:$I$89,3,0)*0.475*44/12</f>
        <v>0</v>
      </c>
      <c r="EY169" s="24">
        <f t="shared" si="181"/>
        <v>18.621436779375991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5.6843418860808015E-14</v>
      </c>
      <c r="FF169" s="18">
        <f>FE169*VLOOKUP('Données projet'!$B$16,Paramètres!$A$1:$I$89,3,0)*VLOOKUP('Données projet'!$B$16,Paramètres!$A$1:$I$89,5,0)</f>
        <v>5.4978954722173515E-14</v>
      </c>
      <c r="FG169" s="14">
        <f t="shared" si="182"/>
        <v>8.8550225887742724E-13</v>
      </c>
      <c r="FH169" s="22">
        <f t="shared" si="183"/>
        <v>1.6380047803526383E-12</v>
      </c>
      <c r="FI169" s="62">
        <f t="shared" si="131"/>
        <v>288.31469419486507</v>
      </c>
      <c r="FJ169" s="62">
        <f ca="1">AVERAGE(OFFSET($FI$3,0,0,'Données projet'!$E$16+1,1))-AVERAGE(OFFSET($H$3,0,0,'Données projet'!$E$16+1,1))</f>
        <v>369.69145521630799</v>
      </c>
      <c r="FK169" s="62">
        <f t="shared" si="156"/>
        <v>360.24112103688719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>
        <f>EXP(-LN(2)/35)*FQ168+(1-EXP(-LN(2)/35))/(LN(2)/35)*FM169*FN169*VLOOKUP('Données projet'!$B$16,Paramètres!$A$1:$I$89,3,0)*0.475*44/12</f>
        <v>24.56444851747472</v>
      </c>
      <c r="FR169" s="23">
        <f>EXP(-LN(2)/25)*FR168+(1-EXP(-LN(2)/25))/(LN(2)/25)*Calculateur!FM169*Calculateur!FO169*VLOOKUP('Données projet'!$B$16,Paramètres!$A$1:$I$89,3,0)*0.475*44/12</f>
        <v>0</v>
      </c>
      <c r="FS169" s="23">
        <f>EXP(-LN(2)/2)*FS168+(1-EXP(-LN(2)/2))/(LN(2)/2)*FM169*FP169*VLOOKUP('Données projet'!$B$16,Paramètres!$A$1:$I$89,3,0)*0.475*44/12</f>
        <v>0</v>
      </c>
      <c r="FT169" s="24">
        <f t="shared" si="184"/>
        <v>24.56444851747472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5.6843418860808015E-14</v>
      </c>
      <c r="GA169" s="18">
        <f>FZ169*VLOOKUP('Données projet'!$B$17,Paramètres!$A$1:$I$89,3,0)*VLOOKUP('Données projet'!$B$17,Paramètres!$A$1:$I$89,5,0)</f>
        <v>6.1186256061773749E-14</v>
      </c>
      <c r="GB169" s="14">
        <f t="shared" si="185"/>
        <v>9.7328366192051127E-13</v>
      </c>
      <c r="GC169" s="22">
        <f t="shared" si="186"/>
        <v>1.8017017738191463E-12</v>
      </c>
      <c r="GD169" s="62">
        <f t="shared" si="134"/>
        <v>288.31469419486524</v>
      </c>
      <c r="GE169" s="62">
        <f ca="1">AVERAGE(OFFSET($GD$3,0,0,'Données projet'!$E$17+1,1))-AVERAGE(OFFSET($H$3,0,0,'Données projet'!$E$17+1,1))</f>
        <v>405.06394904053946</v>
      </c>
      <c r="GF169" s="62">
        <f t="shared" si="158"/>
        <v>393.75247087518198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>
        <f>EXP(-LN(2)/35)*GL168+(1-EXP(-LN(2)/35))/(LN(2)/35)*GH169*GI169*VLOOKUP('Données projet'!$B$17,Paramètres!$A$1:$I$89,3,0)*0.475*44/12</f>
        <v>27.337853995254104</v>
      </c>
      <c r="GM169" s="23">
        <f>EXP(-LN(2)/25)*GM168+(1-EXP(-LN(2)/25))/(LN(2)/25)*Calculateur!GH169*Calculateur!GJ169*VLOOKUP('Données projet'!$B$17,Paramètres!$A$1:$I$89,3,0)*0.475*44/12</f>
        <v>0</v>
      </c>
      <c r="GN169" s="23">
        <f>EXP(-LN(2)/2)*GN168+(1-EXP(-LN(2)/2))/(LN(2)/2)*GH169*GK169*VLOOKUP('Données projet'!$B$17,Paramètres!$A$1:$I$89,3,0)*0.475*44/12</f>
        <v>0</v>
      </c>
      <c r="GO169" s="23">
        <f t="shared" si="187"/>
        <v>27.337853995254104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5.6843418860808015E-14</v>
      </c>
      <c r="GV169" s="18">
        <f>GU169*VLOOKUP('Données projet'!$B$18,Paramètres!$A$1:$I$89,3,0)*VLOOKUP('Données projet'!$B$18,Paramètres!$A$1:$I$89,5,0)</f>
        <v>3.813056537183002E-14</v>
      </c>
      <c r="GW169" s="14">
        <f t="shared" si="188"/>
        <v>6.4086286045526829E-13</v>
      </c>
      <c r="GX169" s="22">
        <f t="shared" si="189"/>
        <v>1.1825802166488628E-12</v>
      </c>
      <c r="GY169" s="62">
        <f t="shared" si="137"/>
        <v>288.31469419486461</v>
      </c>
      <c r="GZ169" s="62">
        <f ca="1">AVERAGE(OFFSET($GY$3,0,0,'Données projet'!$E$18+1,1))-AVERAGE(OFFSET($H$3,0,0,'Données projet'!$E$18+1,1))</f>
        <v>273.21861937609918</v>
      </c>
      <c r="HA169" s="62">
        <f t="shared" si="160"/>
        <v>268.83004886965318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>
        <f>EXP(-LN(2)/35)*HG168+(1-EXP(-LN(2)/35))/(LN(2)/35)*HC169*HD169*VLOOKUP('Données projet'!$B$18,Paramètres!$A$1:$I$89,3,0)*0.475*44/12</f>
        <v>20.998641474615475</v>
      </c>
      <c r="HH169" s="23">
        <f>EXP(-LN(2)/25)*HH168+(1-EXP(-LN(2)/25))/(LN(2)/25)*Calculateur!HC169*Calculateur!HE169*VLOOKUP('Données projet'!$B$18,Paramètres!$A$1:$I$89,3,0)*0.475*44/12</f>
        <v>0</v>
      </c>
      <c r="HI169" s="23">
        <f>EXP(-LN(2)/2)*HI168+(1-EXP(-LN(2)/2))/(LN(2)/2)*HC169*HF169*VLOOKUP('Données projet'!$B$18,Paramètres!$A$1:$I$89,3,0)*0.475*44/12</f>
        <v>0</v>
      </c>
      <c r="HJ169" s="24">
        <f t="shared" si="190"/>
        <v>20.998641474615475</v>
      </c>
    </row>
    <row r="170" spans="1:218" x14ac:dyDescent="0.4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-3.4705882352941178</v>
      </c>
      <c r="N170" s="14">
        <f>IF('Données projet'!$A$36&gt;35,N169+M170-V169,IF(A170&lt;'Données projet'!$A$36,$K$205^A170,IF(A170='Données projet'!$A$36,'Données projet'!$B$36,N169+M170-V169)))</f>
        <v>227.05882352941157</v>
      </c>
      <c r="O170" s="14">
        <f>N170*VLOOKUP('Données projet'!$B$9,Paramètres!$A$1:$I$89,3,0)*VLOOKUP('Données projet'!$B$9,Paramètres!$A$1:$I$89,5,0)</f>
        <v>205.44282352941158</v>
      </c>
      <c r="P170" s="14">
        <f t="shared" si="141"/>
        <v>50.938459949962592</v>
      </c>
      <c r="Q170" s="22">
        <f t="shared" si="162"/>
        <v>446.53073539324333</v>
      </c>
      <c r="R170" s="62">
        <f t="shared" si="109"/>
        <v>734.93249175716301</v>
      </c>
      <c r="S170" s="62">
        <f ca="1">AVERAGE(OFFSET($R$3,0,0,'Données projet'!$E$9+1,1))-AVERAGE(OFFSET($H$3,0,0,'Données projet'!$E$9+1,1))</f>
        <v>432.80275651765203</v>
      </c>
      <c r="T170" s="62">
        <f t="shared" si="142"/>
        <v>203.89279893419919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26.073673160243438</v>
      </c>
      <c r="AA170" s="23">
        <f>EXP(-LN(2)/25)*AA169+(1-EXP(-LN(2)/25))/(LN(2)/25)*Calculateur!V170*Calculateur!X170*VLOOKUP('Données projet'!$B$9,Paramètres!$A$1:$I$89,3,0)*0.475*44/12</f>
        <v>14.807117907828578</v>
      </c>
      <c r="AB170" s="23">
        <f>EXP(-LN(2)/2)*AB169+(1-EXP(-LN(2)/2))/(LN(2)/2)*V170*Y170*VLOOKUP('Données projet'!$B$9,Paramètres!$A$1:$I$89,3,0)*0.475*44/12</f>
        <v>0</v>
      </c>
      <c r="AC170" s="24">
        <f t="shared" si="163"/>
        <v>40.880791068072014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54.000000000000341</v>
      </c>
      <c r="AJ170" s="14">
        <f>AI170*VLOOKUP('Données projet'!$B$10,Paramètres!$A$1:$I$89,3,0)*VLOOKUP('Données projet'!$B$10,Paramètres!$A$1:$I$89,5,0)</f>
        <v>23.868000000000151</v>
      </c>
      <c r="AK170" s="14">
        <f t="shared" si="164"/>
        <v>7.6030930962115804</v>
      </c>
      <c r="AL170" s="22">
        <f t="shared" si="165"/>
        <v>54.812153809235433</v>
      </c>
      <c r="AM170" s="62">
        <f t="shared" si="113"/>
        <v>343.21391017315506</v>
      </c>
      <c r="AN170" s="62">
        <f ca="1">AVERAGE(OFFSET($AM$3,0,0,'Données projet'!$E$10+1,1))-AVERAGE(OFFSET($H$3,0,0,'Données projet'!$E$10+1,1))</f>
        <v>413.08876898406481</v>
      </c>
      <c r="AO170" s="62">
        <f t="shared" si="144"/>
        <v>520.31320932826566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33.01053159776729</v>
      </c>
      <c r="AV170" s="23">
        <f>EXP(-LN(2)/25)*AV169+(1-EXP(-LN(2)/25))/(LN(2)/25)*Calculateur!AQ170*Calculateur!AS170*VLOOKUP('Données projet'!$B$10,Paramètres!$A$1:$I$89,3,0)*0.475*44/12</f>
        <v>1.0386596605578771</v>
      </c>
      <c r="AW170" s="23">
        <f>EXP(-LN(2)/2)*AW169+(1-EXP(-LN(2)/2))/(LN(2)/2)*AQ170*AT170*VLOOKUP('Données projet'!$B$10,Paramètres!$A$1:$I$89,3,0)*0.475*44/12</f>
        <v>1.7469183966316657E-18</v>
      </c>
      <c r="AX170" s="23">
        <f t="shared" si="166"/>
        <v>34.049191258325166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54.000000000000341</v>
      </c>
      <c r="BE170" s="14">
        <f>BD170*VLOOKUP('Données projet'!$B$11,Paramètres!$A$1:$I$89,3,0)*VLOOKUP('Données projet'!$B$11,Paramètres!$A$1:$I$89,5,0)</f>
        <v>30.186000000000188</v>
      </c>
      <c r="BF170" s="14">
        <f t="shared" si="167"/>
        <v>9.3563888882899153</v>
      </c>
      <c r="BG170" s="22">
        <f t="shared" si="168"/>
        <v>68.869660647105263</v>
      </c>
      <c r="BH170" s="62">
        <f t="shared" si="116"/>
        <v>357.27141701102488</v>
      </c>
      <c r="BI170" s="62">
        <f ca="1">AVERAGE(OFFSET($BH$3,0,0,'Données projet'!$E$11+1,1))-AVERAGE(OFFSET($H$3,0,0,'Données projet'!$E$11+1,1))</f>
        <v>507.66185230065889</v>
      </c>
      <c r="BJ170" s="62">
        <f t="shared" si="146"/>
        <v>640.14375617778342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41.748613491293874</v>
      </c>
      <c r="BQ170" s="23">
        <f>EXP(-LN(2)/25)*BQ169+(1-EXP(-LN(2)/25))/(LN(2)/25)*Calculateur!BL170*Calculateur!BN170*VLOOKUP('Données projet'!$B$11,Paramètres!$A$1:$I$89,3,0)*0.475*44/12</f>
        <v>1.3135989824702574</v>
      </c>
      <c r="BR170" s="23">
        <f>EXP(-LN(2)/2)*BR169+(1-EXP(-LN(2)/2))/(LN(2)/2)*BL170*BO170*VLOOKUP('Données projet'!$B$11,Paramètres!$A$1:$I$89,3,0)*0.475*44/12</f>
        <v>2.2093379722106376E-18</v>
      </c>
      <c r="BS170" s="24">
        <f t="shared" si="169"/>
        <v>43.062212473764134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417.04879970000007</v>
      </c>
      <c r="BZ170" s="14">
        <f>BY170*VLOOKUP('Données projet'!$B$12,Paramètres!$A$1:$I$89,3,0)*VLOOKUP('Données projet'!$B$12,Paramètres!$A$1:$I$89,5,0)</f>
        <v>195.17883825960004</v>
      </c>
      <c r="CA170" s="14">
        <f t="shared" si="170"/>
        <v>48.683122291673484</v>
      </c>
      <c r="CB170" s="22">
        <f t="shared" si="171"/>
        <v>424.72624796013469</v>
      </c>
      <c r="CC170" s="62">
        <f t="shared" si="119"/>
        <v>713.12800432405425</v>
      </c>
      <c r="CD170" s="62">
        <f ca="1">AVERAGE(OFFSET($CC$3,0,0,'Données projet'!$E$12+1,1))-AVERAGE(OFFSET($H$3,0,0,'Données projet'!$E$12+1,1))</f>
        <v>289.21044803824958</v>
      </c>
      <c r="CE170" s="62">
        <f t="shared" si="148"/>
        <v>196.11836398299445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>
        <f>EXP(-LN(2)/35)*CK169+(1-EXP(-LN(2)/35))/(LN(2)/35)*CG170*CH170*VLOOKUP('Données projet'!$B$12,Paramètres!$A$1:$I$89,3,0)*0.475*44/12</f>
        <v>18.272093253153798</v>
      </c>
      <c r="CL170" s="23">
        <f>EXP(-LN(2)/25)*CL169+(1-EXP(-LN(2)/25))/(LN(2)/25)*Calculateur!CG170*Calculateur!CI170*VLOOKUP('Données projet'!$B$12,Paramètres!$A$1:$I$89,3,0)*0.475*44/12</f>
        <v>5.0025410801489496</v>
      </c>
      <c r="CM170" s="23">
        <f>EXP(-LN(2)/2)*CM169+(1-EXP(-LN(2)/2))/(LN(2)/2)*CG170*CJ170*VLOOKUP('Données projet'!$B$12,Paramètres!$A$1:$I$89,3,0)*0.475*44/12</f>
        <v>0</v>
      </c>
      <c r="CN170" s="24">
        <f t="shared" si="172"/>
        <v>23.27463433330275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-5.6843418860808015E-14</v>
      </c>
      <c r="CU170" s="18">
        <f>CT170*VLOOKUP('Données projet'!$B$13,Paramètres!$A$1:$I$89,3,0)*VLOOKUP('Données projet'!$B$13,Paramètres!$A$1:$I$89,5,0)</f>
        <v>-5.1431925385259088E-14</v>
      </c>
      <c r="CV170" s="14" t="e">
        <f t="shared" si="173"/>
        <v>#NUM!</v>
      </c>
      <c r="CW170" s="22" t="e">
        <f t="shared" si="174"/>
        <v>#NUM!</v>
      </c>
      <c r="CX170" s="62" t="e">
        <f t="shared" si="122"/>
        <v>#NUM!</v>
      </c>
      <c r="CY170" s="62">
        <f ca="1">AVERAGE(OFFSET($CX$3,0,0,'Données projet'!$E$13+1,1))-AVERAGE(OFFSET($H$3,0,0,'Données projet'!$E$13+1,1))</f>
        <v>376.68007030857598</v>
      </c>
      <c r="CZ170" s="62">
        <f t="shared" si="150"/>
        <v>532.90758914457626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>
        <f>EXP(-LN(2)/35)*DF169+(1-EXP(-LN(2)/35))/(LN(2)/35)*DB170*DC170*VLOOKUP('Données projet'!$B$13,Paramètres!$A$1:$I$89,3,0)*0.475*44/12</f>
        <v>8.3573962660044447</v>
      </c>
      <c r="DG170" s="23">
        <f>EXP(-LN(2)/25)*DG169+(1-EXP(-LN(2)/25))/(LN(2)/25)*Calculateur!DB170*Calculateur!DD170*VLOOKUP('Données projet'!$B$13,Paramètres!$A$1:$I$89,3,0)*0.475*44/12</f>
        <v>0.29351835549279431</v>
      </c>
      <c r="DH170" s="23">
        <f>EXP(-LN(2)/2)*DH169+(1-EXP(-LN(2)/2))/(LN(2)/2)*DB170*DE170*VLOOKUP('Données projet'!$B$13,Paramètres!$A$1:$I$89,3,0)*0.475*44/12</f>
        <v>0</v>
      </c>
      <c r="DI170" s="24">
        <f t="shared" si="175"/>
        <v>8.6509146214972397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5.6843418860808015E-14</v>
      </c>
      <c r="DP170" s="18">
        <f>DO170*VLOOKUP('Données projet'!$B$14,Paramètres!$A$1:$I$89,3,0)*VLOOKUP('Données projet'!$B$14,Paramètres!$A$1:$I$89,5,0)</f>
        <v>5.4092197387944907E-14</v>
      </c>
      <c r="DQ170" s="14">
        <f t="shared" si="176"/>
        <v>8.7287050538073676E-13</v>
      </c>
      <c r="DR170" s="22">
        <f t="shared" si="177"/>
        <v>1.6144600406554537E-12</v>
      </c>
      <c r="DS170" s="62">
        <f t="shared" si="125"/>
        <v>288.40175636392121</v>
      </c>
      <c r="DT170" s="62">
        <f ca="1">AVERAGE(OFFSET($DS$3,0,0,'Données projet'!$E$14+1,1))-AVERAGE(OFFSET($H$3,0,0,'Données projet'!$E$14+1,1))</f>
        <v>364.63161066507769</v>
      </c>
      <c r="DU170" s="62">
        <f t="shared" si="152"/>
        <v>355.44729904860708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>
        <f>EXP(-LN(2)/35)*EA169+(1-EXP(-LN(2)/35))/(LN(2)/35)*DW170*DX170*VLOOKUP('Données projet'!$B$14,Paramètres!$A$1:$I$89,3,0)*0.475*44/12</f>
        <v>23.694323138028288</v>
      </c>
      <c r="EB170" s="23">
        <f>EXP(-LN(2)/25)*EB169+(1-EXP(-LN(2)/25))/(LN(2)/25)*Calculateur!DW170*Calculateur!DY170*VLOOKUP('Données projet'!$B$14,Paramètres!$A$1:$I$89,3,0)*0.475*44/12</f>
        <v>0</v>
      </c>
      <c r="EC170" s="23">
        <f>EXP(-LN(2)/2)*EC169+(1-EXP(-LN(2)/2))/(LN(2)/2)*DW170*DZ170*VLOOKUP('Données projet'!$B$14,Paramètres!$A$1:$I$89,3,0)*0.475*44/12</f>
        <v>0</v>
      </c>
      <c r="ED170" s="24">
        <f t="shared" si="178"/>
        <v>23.694323138028288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5.6843418860808015E-14</v>
      </c>
      <c r="EK170" s="18">
        <f>EJ170*VLOOKUP('Données projet'!$B$15,Paramètres!$A$1:$I$89,3,0)*VLOOKUP('Données projet'!$B$15,Paramètres!$A$1:$I$89,5,0)</f>
        <v>4.1677594708744434E-14</v>
      </c>
      <c r="EL170" s="14">
        <f t="shared" si="179"/>
        <v>6.9326303456159188E-13</v>
      </c>
      <c r="EM170" s="22">
        <f t="shared" si="180"/>
        <v>1.2800215959791691E-12</v>
      </c>
      <c r="EN170" s="62">
        <f t="shared" si="128"/>
        <v>288.40175636392092</v>
      </c>
      <c r="EO170" s="62">
        <f ca="1">AVERAGE(OFFSET($EN$3,0,0,'Données projet'!$E$15+1,1))-AVERAGE(OFFSET($H$3,0,0,'Données projet'!$E$15+1,1))</f>
        <v>293.59366973965774</v>
      </c>
      <c r="EP170" s="62">
        <f t="shared" si="154"/>
        <v>288.13804536120426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>
        <f>EXP(-LN(2)/35)*EV169+(1-EXP(-LN(2)/35))/(LN(2)/35)*ER170*ES170*VLOOKUP('Données projet'!$B$15,Paramètres!$A$1:$I$89,3,0)*0.475*44/12</f>
        <v>18.256281762087358</v>
      </c>
      <c r="EW170" s="23">
        <f>EXP(-LN(2)/25)*EW169+(1-EXP(-LN(2)/25))/(LN(2)/25)*Calculateur!ER170*Calculateur!ET170*VLOOKUP('Données projet'!$B$15,Paramètres!$A$1:$I$89,3,0)*0.475*44/12</f>
        <v>0</v>
      </c>
      <c r="EX170" s="23">
        <f>EXP(-LN(2)/2)*EX169+(1-EXP(-LN(2)/2))/(LN(2)/2)*ER170*EU170*VLOOKUP('Données projet'!$B$15,Paramètres!$A$1:$I$89,3,0)*0.475*44/12</f>
        <v>0</v>
      </c>
      <c r="EY170" s="24">
        <f t="shared" si="181"/>
        <v>18.256281762087358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5.6843418860808015E-14</v>
      </c>
      <c r="FF170" s="18">
        <f>FE170*VLOOKUP('Données projet'!$B$16,Paramètres!$A$1:$I$89,3,0)*VLOOKUP('Données projet'!$B$16,Paramètres!$A$1:$I$89,5,0)</f>
        <v>5.4978954722173515E-14</v>
      </c>
      <c r="FG170" s="14">
        <f t="shared" si="182"/>
        <v>8.8550225887742724E-13</v>
      </c>
      <c r="FH170" s="22">
        <f t="shared" si="183"/>
        <v>1.6380047803526383E-12</v>
      </c>
      <c r="FI170" s="62">
        <f t="shared" si="131"/>
        <v>288.40175636392127</v>
      </c>
      <c r="FJ170" s="62">
        <f ca="1">AVERAGE(OFFSET($FI$3,0,0,'Données projet'!$E$16+1,1))-AVERAGE(OFFSET($H$3,0,0,'Données projet'!$E$16+1,1))</f>
        <v>369.69145521630799</v>
      </c>
      <c r="FK170" s="62">
        <f t="shared" si="156"/>
        <v>360.24112103688719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>
        <f>EXP(-LN(2)/35)*FQ169+(1-EXP(-LN(2)/35))/(LN(2)/35)*FM170*FN170*VLOOKUP('Données projet'!$B$16,Paramètres!$A$1:$I$89,3,0)*0.475*44/12</f>
        <v>24.082754664881204</v>
      </c>
      <c r="FR170" s="23">
        <f>EXP(-LN(2)/25)*FR169+(1-EXP(-LN(2)/25))/(LN(2)/25)*Calculateur!FM170*Calculateur!FO170*VLOOKUP('Données projet'!$B$16,Paramètres!$A$1:$I$89,3,0)*0.475*44/12</f>
        <v>0</v>
      </c>
      <c r="FS170" s="23">
        <f>EXP(-LN(2)/2)*FS169+(1-EXP(-LN(2)/2))/(LN(2)/2)*FM170*FP170*VLOOKUP('Données projet'!$B$16,Paramètres!$A$1:$I$89,3,0)*0.475*44/12</f>
        <v>0</v>
      </c>
      <c r="FT170" s="24">
        <f t="shared" si="184"/>
        <v>24.082754664881204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5.6843418860808015E-14</v>
      </c>
      <c r="GA170" s="18">
        <f>FZ170*VLOOKUP('Données projet'!$B$17,Paramètres!$A$1:$I$89,3,0)*VLOOKUP('Données projet'!$B$17,Paramètres!$A$1:$I$89,5,0)</f>
        <v>6.1186256061773749E-14</v>
      </c>
      <c r="GB170" s="14">
        <f t="shared" si="185"/>
        <v>9.7328366192051127E-13</v>
      </c>
      <c r="GC170" s="22">
        <f t="shared" si="186"/>
        <v>1.8017017738191463E-12</v>
      </c>
      <c r="GD170" s="62">
        <f t="shared" si="134"/>
        <v>288.40175636392144</v>
      </c>
      <c r="GE170" s="62">
        <f ca="1">AVERAGE(OFFSET($GD$3,0,0,'Données projet'!$E$17+1,1))-AVERAGE(OFFSET($H$3,0,0,'Données projet'!$E$17+1,1))</f>
        <v>405.06394904053946</v>
      </c>
      <c r="GF170" s="62">
        <f t="shared" si="158"/>
        <v>393.75247087518198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>
        <f>EXP(-LN(2)/35)*GL169+(1-EXP(-LN(2)/35))/(LN(2)/35)*GH170*GI170*VLOOKUP('Données projet'!$B$17,Paramètres!$A$1:$I$89,3,0)*0.475*44/12</f>
        <v>26.801775352851642</v>
      </c>
      <c r="GM170" s="23">
        <f>EXP(-LN(2)/25)*GM169+(1-EXP(-LN(2)/25))/(LN(2)/25)*Calculateur!GH170*Calculateur!GJ170*VLOOKUP('Données projet'!$B$17,Paramètres!$A$1:$I$89,3,0)*0.475*44/12</f>
        <v>0</v>
      </c>
      <c r="GN170" s="23">
        <f>EXP(-LN(2)/2)*GN169+(1-EXP(-LN(2)/2))/(LN(2)/2)*GH170*GK170*VLOOKUP('Données projet'!$B$17,Paramètres!$A$1:$I$89,3,0)*0.475*44/12</f>
        <v>0</v>
      </c>
      <c r="GO170" s="23">
        <f t="shared" si="187"/>
        <v>26.801775352851642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5.6843418860808015E-14</v>
      </c>
      <c r="GV170" s="18">
        <f>GU170*VLOOKUP('Données projet'!$B$18,Paramètres!$A$1:$I$89,3,0)*VLOOKUP('Données projet'!$B$18,Paramètres!$A$1:$I$89,5,0)</f>
        <v>3.813056537183002E-14</v>
      </c>
      <c r="GW170" s="14">
        <f t="shared" si="188"/>
        <v>6.4086286045526829E-13</v>
      </c>
      <c r="GX170" s="22">
        <f t="shared" si="189"/>
        <v>1.1825802166488628E-12</v>
      </c>
      <c r="GY170" s="62">
        <f t="shared" si="137"/>
        <v>288.40175636392081</v>
      </c>
      <c r="GZ170" s="62">
        <f ca="1">AVERAGE(OFFSET($GY$3,0,0,'Données projet'!$E$18+1,1))-AVERAGE(OFFSET($H$3,0,0,'Données projet'!$E$18+1,1))</f>
        <v>273.21861937609918</v>
      </c>
      <c r="HA170" s="62">
        <f t="shared" si="160"/>
        <v>268.83004886965318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>
        <f>EXP(-LN(2)/35)*HG169+(1-EXP(-LN(2)/35))/(LN(2)/35)*HC170*HD170*VLOOKUP('Données projet'!$B$18,Paramètres!$A$1:$I$89,3,0)*0.475*44/12</f>
        <v>20.586870923204888</v>
      </c>
      <c r="HH170" s="23">
        <f>EXP(-LN(2)/25)*HH169+(1-EXP(-LN(2)/25))/(LN(2)/25)*Calculateur!HC170*Calculateur!HE170*VLOOKUP('Données projet'!$B$18,Paramètres!$A$1:$I$89,3,0)*0.475*44/12</f>
        <v>0</v>
      </c>
      <c r="HI170" s="23">
        <f>EXP(-LN(2)/2)*HI169+(1-EXP(-LN(2)/2))/(LN(2)/2)*HC170*HF170*VLOOKUP('Données projet'!$B$18,Paramètres!$A$1:$I$89,3,0)*0.475*44/12</f>
        <v>0</v>
      </c>
      <c r="HJ170" s="24">
        <f t="shared" si="190"/>
        <v>20.586870923204888</v>
      </c>
    </row>
    <row r="171" spans="1:218" x14ac:dyDescent="0.4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>
        <f>VLOOKUP(A171,'Données projet'!$A$35:$I$55,2,0)</f>
        <v>369</v>
      </c>
      <c r="L171" s="13">
        <f>VLOOKUP(A171,'Données projet'!$A$35:$I$55,9,0)</f>
        <v>-3.4705882352941178</v>
      </c>
      <c r="M171" s="13">
        <f t="array" ref="M171">INDEX(L:L,MIN(IF(ISNUMBER(L171:L367),ROW(L171:L367),"")))</f>
        <v>-3.4705882352941178</v>
      </c>
      <c r="N171" s="14">
        <f>IF('Données projet'!$A$36&gt;35,N170+M171-V170,IF(A171&lt;'Données projet'!$A$36,$K$205^A171,IF(A171='Données projet'!$A$36,'Données projet'!$B$36,N170+M171-V170)))</f>
        <v>223.58823529411745</v>
      </c>
      <c r="O171" s="14">
        <f>N171*VLOOKUP('Données projet'!$B$9,Paramètres!$A$1:$I$89,3,0)*VLOOKUP('Données projet'!$B$9,Paramètres!$A$1:$I$89,5,0)</f>
        <v>202.30263529411749</v>
      </c>
      <c r="P171" s="14">
        <f t="shared" si="141"/>
        <v>50.249879626168386</v>
      </c>
      <c r="Q171" s="22">
        <f t="shared" si="162"/>
        <v>439.86229681949789</v>
      </c>
      <c r="R171" s="62">
        <f t="shared" si="109"/>
        <v>728.34960501848241</v>
      </c>
      <c r="S171" s="62">
        <f ca="1">AVERAGE(OFFSET($R$3,0,0,'Données projet'!$E$9+1,1))-AVERAGE(OFFSET($H$3,0,0,'Données projet'!$E$9+1,1))</f>
        <v>432.80275651765203</v>
      </c>
      <c r="T171" s="62">
        <f t="shared" si="142"/>
        <v>203.89279893419919</v>
      </c>
      <c r="U171" s="16">
        <f>IF(ISNA(VLOOKUP(A171,'Données projet'!$A$35:$I$55,3,0)),0,VLOOKUP(A171,'Données projet'!$A$35:$I$55,3,0))</f>
        <v>13</v>
      </c>
      <c r="V171" s="16">
        <f>IF(ISNA(VLOOKUP(A171,'Données projet'!$A$35:$I$55,4,0)),0,VLOOKUP(A171,'Données projet'!$A$35:$I$55,4,0))</f>
        <v>41</v>
      </c>
      <c r="W171" s="17">
        <f>IF(ISNA(VLOOKUP(A171,'Données projet'!$A$35:$I$55,5,0)),0%,VLOOKUP(A171,'Données projet'!$A$35:$I$55,5,0)*VLOOKUP('Données projet'!$B$9,Paramètres!$A$1:$I$89,7,0))</f>
        <v>0.215</v>
      </c>
      <c r="X171" s="17">
        <f>IF(ISNA(VLOOKUP(A171,'Données projet'!$A$35:$I$55,6,0)),0%,VLOOKUP(A171,'Données projet'!$A$35:$I$55,6,0)*VLOOKUP('Données projet'!$B$9,Paramètres!$A$1:$I$89,7,0))</f>
        <v>0.17200000000000001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34.37940825166482</v>
      </c>
      <c r="AA171" s="23">
        <f>EXP(-LN(2)/25)*AA170+(1-EXP(-LN(2)/25))/(LN(2)/25)*Calculateur!V171*Calculateur!X171*VLOOKUP('Données projet'!$B$9,Paramètres!$A$1:$I$89,3,0)*0.475*44/12</f>
        <v>21.428062838771275</v>
      </c>
      <c r="AB171" s="23">
        <f>EXP(-LN(2)/2)*AB170+(1-EXP(-LN(2)/2))/(LN(2)/2)*V171*Y171*VLOOKUP('Données projet'!$B$9,Paramètres!$A$1:$I$89,3,0)*0.475*44/12</f>
        <v>0</v>
      </c>
      <c r="AC171" s="24">
        <f t="shared" si="163"/>
        <v>55.807471090436096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54.000000000000341</v>
      </c>
      <c r="AJ171" s="14">
        <f>AI171*VLOOKUP('Données projet'!$B$10,Paramètres!$A$1:$I$89,3,0)*VLOOKUP('Données projet'!$B$10,Paramètres!$A$1:$I$89,5,0)</f>
        <v>23.868000000000151</v>
      </c>
      <c r="AK171" s="14">
        <f t="shared" si="164"/>
        <v>7.6030930962115804</v>
      </c>
      <c r="AL171" s="22">
        <f t="shared" si="165"/>
        <v>54.812153809235433</v>
      </c>
      <c r="AM171" s="62">
        <f t="shared" si="113"/>
        <v>343.29946200821996</v>
      </c>
      <c r="AN171" s="62">
        <f ca="1">AVERAGE(OFFSET($AM$3,0,0,'Données projet'!$E$10+1,1))-AVERAGE(OFFSET($H$3,0,0,'Données projet'!$E$10+1,1))</f>
        <v>413.08876898406481</v>
      </c>
      <c r="AO171" s="62">
        <f t="shared" si="144"/>
        <v>520.31320932826566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32.363215207571237</v>
      </c>
      <c r="AV171" s="23">
        <f>EXP(-LN(2)/25)*AV170+(1-EXP(-LN(2)/25))/(LN(2)/25)*Calculateur!AQ171*Calculateur!AS171*VLOOKUP('Données projet'!$B$10,Paramètres!$A$1:$I$89,3,0)*0.475*44/12</f>
        <v>1.0102574575191843</v>
      </c>
      <c r="AW171" s="23">
        <f>EXP(-LN(2)/2)*AW170+(1-EXP(-LN(2)/2))/(LN(2)/2)*AQ171*AT171*VLOOKUP('Données projet'!$B$10,Paramètres!$A$1:$I$89,3,0)*0.475*44/12</f>
        <v>1.2352578444377818E-18</v>
      </c>
      <c r="AX171" s="23">
        <f t="shared" si="166"/>
        <v>33.373472665090418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54.000000000000341</v>
      </c>
      <c r="BE171" s="14">
        <f>BD171*VLOOKUP('Données projet'!$B$11,Paramètres!$A$1:$I$89,3,0)*VLOOKUP('Données projet'!$B$11,Paramètres!$A$1:$I$89,5,0)</f>
        <v>30.186000000000188</v>
      </c>
      <c r="BF171" s="14">
        <f t="shared" si="167"/>
        <v>9.3563888882899153</v>
      </c>
      <c r="BG171" s="22">
        <f t="shared" si="168"/>
        <v>68.869660647105263</v>
      </c>
      <c r="BH171" s="62">
        <f t="shared" si="116"/>
        <v>357.35696884608979</v>
      </c>
      <c r="BI171" s="62">
        <f ca="1">AVERAGE(OFFSET($BH$3,0,0,'Données projet'!$E$11+1,1))-AVERAGE(OFFSET($H$3,0,0,'Données projet'!$E$11+1,1))</f>
        <v>507.66185230065889</v>
      </c>
      <c r="BJ171" s="62">
        <f t="shared" si="146"/>
        <v>640.14375617778342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40.929948644869455</v>
      </c>
      <c r="BQ171" s="23">
        <f>EXP(-LN(2)/25)*BQ170+(1-EXP(-LN(2)/25))/(LN(2)/25)*Calculateur!BL171*Calculateur!BN171*VLOOKUP('Données projet'!$B$11,Paramètres!$A$1:$I$89,3,0)*0.475*44/12</f>
        <v>1.2776785492154401</v>
      </c>
      <c r="BR171" s="23">
        <f>EXP(-LN(2)/2)*BR170+(1-EXP(-LN(2)/2))/(LN(2)/2)*BL171*BO171*VLOOKUP('Données projet'!$B$11,Paramètres!$A$1:$I$89,3,0)*0.475*44/12</f>
        <v>1.562237862083078E-18</v>
      </c>
      <c r="BS171" s="24">
        <f t="shared" si="169"/>
        <v>42.207627194084893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417.04879970000007</v>
      </c>
      <c r="BZ171" s="14">
        <f>BY171*VLOOKUP('Données projet'!$B$12,Paramètres!$A$1:$I$89,3,0)*VLOOKUP('Données projet'!$B$12,Paramètres!$A$1:$I$89,5,0)</f>
        <v>195.17883825960004</v>
      </c>
      <c r="CA171" s="14">
        <f t="shared" si="170"/>
        <v>48.683122291673484</v>
      </c>
      <c r="CB171" s="22">
        <f t="shared" si="171"/>
        <v>424.72624796013469</v>
      </c>
      <c r="CC171" s="62">
        <f t="shared" si="119"/>
        <v>713.21355615911921</v>
      </c>
      <c r="CD171" s="62">
        <f ca="1">AVERAGE(OFFSET($CC$3,0,0,'Données projet'!$E$12+1,1))-AVERAGE(OFFSET($H$3,0,0,'Données projet'!$E$12+1,1))</f>
        <v>289.21044803824958</v>
      </c>
      <c r="CE171" s="62">
        <f t="shared" si="148"/>
        <v>196.11836398299445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>
        <f>EXP(-LN(2)/35)*CK170+(1-EXP(-LN(2)/35))/(LN(2)/35)*CG171*CH171*VLOOKUP('Données projet'!$B$12,Paramètres!$A$1:$I$89,3,0)*0.475*44/12</f>
        <v>17.913788649335871</v>
      </c>
      <c r="CL171" s="23">
        <f>EXP(-LN(2)/25)*CL170+(1-EXP(-LN(2)/25))/(LN(2)/25)*Calculateur!CG171*Calculateur!CI171*VLOOKUP('Données projet'!$B$12,Paramètres!$A$1:$I$89,3,0)*0.475*44/12</f>
        <v>4.8657463312400751</v>
      </c>
      <c r="CM171" s="23">
        <f>EXP(-LN(2)/2)*CM170+(1-EXP(-LN(2)/2))/(LN(2)/2)*CG171*CJ171*VLOOKUP('Données projet'!$B$12,Paramètres!$A$1:$I$89,3,0)*0.475*44/12</f>
        <v>0</v>
      </c>
      <c r="CN171" s="24">
        <f t="shared" si="172"/>
        <v>22.779534980575946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-5.6843418860808015E-14</v>
      </c>
      <c r="CU171" s="18">
        <f>CT171*VLOOKUP('Données projet'!$B$13,Paramètres!$A$1:$I$89,3,0)*VLOOKUP('Données projet'!$B$13,Paramètres!$A$1:$I$89,5,0)</f>
        <v>-5.1431925385259088E-14</v>
      </c>
      <c r="CV171" s="14" t="e">
        <f t="shared" si="173"/>
        <v>#NUM!</v>
      </c>
      <c r="CW171" s="22" t="e">
        <f t="shared" si="174"/>
        <v>#NUM!</v>
      </c>
      <c r="CX171" s="62" t="e">
        <f t="shared" si="122"/>
        <v>#NUM!</v>
      </c>
      <c r="CY171" s="62">
        <f ca="1">AVERAGE(OFFSET($CX$3,0,0,'Données projet'!$E$13+1,1))-AVERAGE(OFFSET($H$3,0,0,'Données projet'!$E$13+1,1))</f>
        <v>376.68007030857598</v>
      </c>
      <c r="CZ171" s="62">
        <f t="shared" si="150"/>
        <v>532.90758914457626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>
        <f>EXP(-LN(2)/35)*DF170+(1-EXP(-LN(2)/35))/(LN(2)/35)*DB171*DC171*VLOOKUP('Données projet'!$B$13,Paramètres!$A$1:$I$89,3,0)*0.475*44/12</f>
        <v>8.1935128227364835</v>
      </c>
      <c r="DG171" s="23">
        <f>EXP(-LN(2)/25)*DG170+(1-EXP(-LN(2)/25))/(LN(2)/25)*Calculateur!DB171*Calculateur!DD171*VLOOKUP('Données projet'!$B$13,Paramètres!$A$1:$I$89,3,0)*0.475*44/12</f>
        <v>0.28549208062638437</v>
      </c>
      <c r="DH171" s="23">
        <f>EXP(-LN(2)/2)*DH170+(1-EXP(-LN(2)/2))/(LN(2)/2)*DB171*DE171*VLOOKUP('Données projet'!$B$13,Paramètres!$A$1:$I$89,3,0)*0.475*44/12</f>
        <v>0</v>
      </c>
      <c r="DI171" s="24">
        <f t="shared" si="175"/>
        <v>8.4790049033628687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5.6843418860808015E-14</v>
      </c>
      <c r="DP171" s="18">
        <f>DO171*VLOOKUP('Données projet'!$B$14,Paramètres!$A$1:$I$89,3,0)*VLOOKUP('Données projet'!$B$14,Paramètres!$A$1:$I$89,5,0)</f>
        <v>5.4092197387944907E-14</v>
      </c>
      <c r="DQ171" s="14">
        <f t="shared" si="176"/>
        <v>8.7287050538073676E-13</v>
      </c>
      <c r="DR171" s="22">
        <f t="shared" si="177"/>
        <v>1.6144600406554537E-12</v>
      </c>
      <c r="DS171" s="62">
        <f t="shared" si="125"/>
        <v>288.48730819898611</v>
      </c>
      <c r="DT171" s="62">
        <f ca="1">AVERAGE(OFFSET($DS$3,0,0,'Données projet'!$E$14+1,1))-AVERAGE(OFFSET($H$3,0,0,'Données projet'!$E$14+1,1))</f>
        <v>364.63161066507769</v>
      </c>
      <c r="DU171" s="62">
        <f t="shared" si="152"/>
        <v>355.44729904860708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>
        <f>EXP(-LN(2)/35)*EA170+(1-EXP(-LN(2)/35))/(LN(2)/35)*DW171*DX171*VLOOKUP('Données projet'!$B$14,Paramètres!$A$1:$I$89,3,0)*0.475*44/12</f>
        <v>23.229691913401641</v>
      </c>
      <c r="EB171" s="23">
        <f>EXP(-LN(2)/25)*EB170+(1-EXP(-LN(2)/25))/(LN(2)/25)*Calculateur!DW171*Calculateur!DY171*VLOOKUP('Données projet'!$B$14,Paramètres!$A$1:$I$89,3,0)*0.475*44/12</f>
        <v>0</v>
      </c>
      <c r="EC171" s="23">
        <f>EXP(-LN(2)/2)*EC170+(1-EXP(-LN(2)/2))/(LN(2)/2)*DW171*DZ171*VLOOKUP('Données projet'!$B$14,Paramètres!$A$1:$I$89,3,0)*0.475*44/12</f>
        <v>0</v>
      </c>
      <c r="ED171" s="24">
        <f t="shared" si="178"/>
        <v>23.229691913401641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5.6843418860808015E-14</v>
      </c>
      <c r="EK171" s="18">
        <f>EJ171*VLOOKUP('Données projet'!$B$15,Paramètres!$A$1:$I$89,3,0)*VLOOKUP('Données projet'!$B$15,Paramètres!$A$1:$I$89,5,0)</f>
        <v>4.1677594708744434E-14</v>
      </c>
      <c r="EL171" s="14">
        <f t="shared" si="179"/>
        <v>6.9326303456159188E-13</v>
      </c>
      <c r="EM171" s="22">
        <f t="shared" si="180"/>
        <v>1.2800215959791691E-12</v>
      </c>
      <c r="EN171" s="62">
        <f t="shared" si="128"/>
        <v>288.48730819898583</v>
      </c>
      <c r="EO171" s="62">
        <f ca="1">AVERAGE(OFFSET($EN$3,0,0,'Données projet'!$E$15+1,1))-AVERAGE(OFFSET($H$3,0,0,'Données projet'!$E$15+1,1))</f>
        <v>293.59366973965774</v>
      </c>
      <c r="EP171" s="62">
        <f t="shared" si="154"/>
        <v>288.13804536120426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>
        <f>EXP(-LN(2)/35)*EV170+(1-EXP(-LN(2)/35))/(LN(2)/35)*ER171*ES171*VLOOKUP('Données projet'!$B$15,Paramètres!$A$1:$I$89,3,0)*0.475*44/12</f>
        <v>17.898287211965187</v>
      </c>
      <c r="EW171" s="23">
        <f>EXP(-LN(2)/25)*EW170+(1-EXP(-LN(2)/25))/(LN(2)/25)*Calculateur!ER171*Calculateur!ET171*VLOOKUP('Données projet'!$B$15,Paramètres!$A$1:$I$89,3,0)*0.475*44/12</f>
        <v>0</v>
      </c>
      <c r="EX171" s="23">
        <f>EXP(-LN(2)/2)*EX170+(1-EXP(-LN(2)/2))/(LN(2)/2)*ER171*EU171*VLOOKUP('Données projet'!$B$15,Paramètres!$A$1:$I$89,3,0)*0.475*44/12</f>
        <v>0</v>
      </c>
      <c r="EY171" s="24">
        <f t="shared" si="181"/>
        <v>17.898287211965187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5.6843418860808015E-14</v>
      </c>
      <c r="FF171" s="18">
        <f>FE171*VLOOKUP('Données projet'!$B$16,Paramètres!$A$1:$I$89,3,0)*VLOOKUP('Données projet'!$B$16,Paramètres!$A$1:$I$89,5,0)</f>
        <v>5.4978954722173515E-14</v>
      </c>
      <c r="FG171" s="14">
        <f t="shared" si="182"/>
        <v>8.8550225887742724E-13</v>
      </c>
      <c r="FH171" s="22">
        <f t="shared" si="183"/>
        <v>1.6380047803526383E-12</v>
      </c>
      <c r="FI171" s="62">
        <f t="shared" si="131"/>
        <v>288.48730819898617</v>
      </c>
      <c r="FJ171" s="62">
        <f ca="1">AVERAGE(OFFSET($FI$3,0,0,'Données projet'!$E$16+1,1))-AVERAGE(OFFSET($H$3,0,0,'Données projet'!$E$16+1,1))</f>
        <v>369.69145521630799</v>
      </c>
      <c r="FK171" s="62">
        <f t="shared" si="156"/>
        <v>360.24112103688719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>
        <f>EXP(-LN(2)/35)*FQ170+(1-EXP(-LN(2)/35))/(LN(2)/35)*FM171*FN171*VLOOKUP('Données projet'!$B$16,Paramètres!$A$1:$I$89,3,0)*0.475*44/12</f>
        <v>23.610506534932806</v>
      </c>
      <c r="FR171" s="23">
        <f>EXP(-LN(2)/25)*FR170+(1-EXP(-LN(2)/25))/(LN(2)/25)*Calculateur!FM171*Calculateur!FO171*VLOOKUP('Données projet'!$B$16,Paramètres!$A$1:$I$89,3,0)*0.475*44/12</f>
        <v>0</v>
      </c>
      <c r="FS171" s="23">
        <f>EXP(-LN(2)/2)*FS170+(1-EXP(-LN(2)/2))/(LN(2)/2)*FM171*FP171*VLOOKUP('Données projet'!$B$16,Paramètres!$A$1:$I$89,3,0)*0.475*44/12</f>
        <v>0</v>
      </c>
      <c r="FT171" s="24">
        <f t="shared" si="184"/>
        <v>23.610506534932806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5.6843418860808015E-14</v>
      </c>
      <c r="GA171" s="18">
        <f>FZ171*VLOOKUP('Données projet'!$B$17,Paramètres!$A$1:$I$89,3,0)*VLOOKUP('Données projet'!$B$17,Paramètres!$A$1:$I$89,5,0)</f>
        <v>6.1186256061773749E-14</v>
      </c>
      <c r="GB171" s="14">
        <f t="shared" si="185"/>
        <v>9.7328366192051127E-13</v>
      </c>
      <c r="GC171" s="22">
        <f t="shared" si="186"/>
        <v>1.8017017738191463E-12</v>
      </c>
      <c r="GD171" s="62">
        <f t="shared" si="134"/>
        <v>288.48730819898634</v>
      </c>
      <c r="GE171" s="62">
        <f ca="1">AVERAGE(OFFSET($GD$3,0,0,'Données projet'!$E$17+1,1))-AVERAGE(OFFSET($H$3,0,0,'Données projet'!$E$17+1,1))</f>
        <v>405.06394904053946</v>
      </c>
      <c r="GF171" s="62">
        <f t="shared" si="158"/>
        <v>393.75247087518198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>
        <f>EXP(-LN(2)/35)*GL170+(1-EXP(-LN(2)/35))/(LN(2)/35)*GH171*GI171*VLOOKUP('Données projet'!$B$17,Paramètres!$A$1:$I$89,3,0)*0.475*44/12</f>
        <v>26.276208885651009</v>
      </c>
      <c r="GM171" s="23">
        <f>EXP(-LN(2)/25)*GM170+(1-EXP(-LN(2)/25))/(LN(2)/25)*Calculateur!GH171*Calculateur!GJ171*VLOOKUP('Données projet'!$B$17,Paramètres!$A$1:$I$89,3,0)*0.475*44/12</f>
        <v>0</v>
      </c>
      <c r="GN171" s="23">
        <f>EXP(-LN(2)/2)*GN170+(1-EXP(-LN(2)/2))/(LN(2)/2)*GH171*GK171*VLOOKUP('Données projet'!$B$17,Paramètres!$A$1:$I$89,3,0)*0.475*44/12</f>
        <v>0</v>
      </c>
      <c r="GO171" s="23">
        <f t="shared" si="187"/>
        <v>26.276208885651009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5.6843418860808015E-14</v>
      </c>
      <c r="GV171" s="18">
        <f>GU171*VLOOKUP('Données projet'!$B$18,Paramètres!$A$1:$I$89,3,0)*VLOOKUP('Données projet'!$B$18,Paramètres!$A$1:$I$89,5,0)</f>
        <v>3.813056537183002E-14</v>
      </c>
      <c r="GW171" s="14">
        <f t="shared" si="188"/>
        <v>6.4086286045526829E-13</v>
      </c>
      <c r="GX171" s="22">
        <f t="shared" si="189"/>
        <v>1.1825802166488628E-12</v>
      </c>
      <c r="GY171" s="62">
        <f t="shared" si="137"/>
        <v>288.48730819898572</v>
      </c>
      <c r="GZ171" s="62">
        <f ca="1">AVERAGE(OFFSET($GY$3,0,0,'Données projet'!$E$18+1,1))-AVERAGE(OFFSET($H$3,0,0,'Données projet'!$E$18+1,1))</f>
        <v>273.21861937609918</v>
      </c>
      <c r="HA171" s="62">
        <f t="shared" si="160"/>
        <v>268.83004886965318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>
        <f>EXP(-LN(2)/35)*HG170+(1-EXP(-LN(2)/35))/(LN(2)/35)*HC171*HD171*VLOOKUP('Données projet'!$B$18,Paramètres!$A$1:$I$89,3,0)*0.475*44/12</f>
        <v>20.183174941152227</v>
      </c>
      <c r="HH171" s="23">
        <f>EXP(-LN(2)/25)*HH170+(1-EXP(-LN(2)/25))/(LN(2)/25)*Calculateur!HC171*Calculateur!HE171*VLOOKUP('Données projet'!$B$18,Paramètres!$A$1:$I$89,3,0)*0.475*44/12</f>
        <v>0</v>
      </c>
      <c r="HI171" s="23">
        <f>EXP(-LN(2)/2)*HI170+(1-EXP(-LN(2)/2))/(LN(2)/2)*HC171*HF171*VLOOKUP('Données projet'!$B$18,Paramètres!$A$1:$I$89,3,0)*0.475*44/12</f>
        <v>0</v>
      </c>
      <c r="HJ171" s="24">
        <f t="shared" si="190"/>
        <v>20.183174941152227</v>
      </c>
    </row>
    <row r="172" spans="1:218" x14ac:dyDescent="0.4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3.3333333333333335</v>
      </c>
      <c r="N172" s="14">
        <f>IF('Données projet'!$A$36&gt;35,N171+M172-V171,IF(A172&lt;'Données projet'!$A$36,$K$205^A172,IF(A172='Données projet'!$A$36,'Données projet'!$B$36,N171+M172-V171)))</f>
        <v>185.9215686274508</v>
      </c>
      <c r="O172" s="14">
        <f>N172*VLOOKUP('Données projet'!$B$9,Paramètres!$A$1:$I$89,3,0)*VLOOKUP('Données projet'!$B$9,Paramètres!$A$1:$I$89,5,0)</f>
        <v>168.22183529411745</v>
      </c>
      <c r="P172" s="14">
        <f t="shared" si="141"/>
        <v>42.69153045558064</v>
      </c>
      <c r="Q172" s="22">
        <f t="shared" si="162"/>
        <v>367.34077868072421</v>
      </c>
      <c r="R172" s="62">
        <f t="shared" si="109"/>
        <v>655.91215458170063</v>
      </c>
      <c r="S172" s="62">
        <f ca="1">AVERAGE(OFFSET($R$3,0,0,'Données projet'!$E$9+1,1))-AVERAGE(OFFSET($H$3,0,0,'Données projet'!$E$9+1,1))</f>
        <v>432.80275651765203</v>
      </c>
      <c r="T172" s="62">
        <f t="shared" si="142"/>
        <v>203.89279893419919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33.705249025218151</v>
      </c>
      <c r="AA172" s="23">
        <f>EXP(-LN(2)/25)*AA171+(1-EXP(-LN(2)/25))/(LN(2)/25)*Calculateur!V172*Calculateur!X172*VLOOKUP('Données projet'!$B$9,Paramètres!$A$1:$I$89,3,0)*0.475*44/12</f>
        <v>20.842111333592225</v>
      </c>
      <c r="AB172" s="23">
        <f>EXP(-LN(2)/2)*AB171+(1-EXP(-LN(2)/2))/(LN(2)/2)*V172*Y172*VLOOKUP('Données projet'!$B$9,Paramètres!$A$1:$I$89,3,0)*0.475*44/12</f>
        <v>0</v>
      </c>
      <c r="AC172" s="24">
        <f t="shared" si="163"/>
        <v>54.54736035881038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54.000000000000341</v>
      </c>
      <c r="AJ172" s="14">
        <f>AI172*VLOOKUP('Données projet'!$B$10,Paramètres!$A$1:$I$89,3,0)*VLOOKUP('Données projet'!$B$10,Paramètres!$A$1:$I$89,5,0)</f>
        <v>23.868000000000151</v>
      </c>
      <c r="AK172" s="14">
        <f t="shared" si="164"/>
        <v>7.6030930962115804</v>
      </c>
      <c r="AL172" s="22">
        <f t="shared" si="165"/>
        <v>54.812153809235433</v>
      </c>
      <c r="AM172" s="62">
        <f t="shared" si="113"/>
        <v>343.38352971021186</v>
      </c>
      <c r="AN172" s="62">
        <f ca="1">AVERAGE(OFFSET($AM$3,0,0,'Données projet'!$E$10+1,1))-AVERAGE(OFFSET($H$3,0,0,'Données projet'!$E$10+1,1))</f>
        <v>413.08876898406481</v>
      </c>
      <c r="AO172" s="62">
        <f t="shared" si="144"/>
        <v>520.31320932826566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31.728592296962915</v>
      </c>
      <c r="AV172" s="23">
        <f>EXP(-LN(2)/25)*AV171+(1-EXP(-LN(2)/25))/(LN(2)/25)*Calculateur!AQ172*Calculateur!AS172*VLOOKUP('Données projet'!$B$10,Paramètres!$A$1:$I$89,3,0)*0.475*44/12</f>
        <v>0.98263191421619145</v>
      </c>
      <c r="AW172" s="23">
        <f>EXP(-LN(2)/2)*AW171+(1-EXP(-LN(2)/2))/(LN(2)/2)*AQ172*AT172*VLOOKUP('Données projet'!$B$10,Paramètres!$A$1:$I$89,3,0)*0.475*44/12</f>
        <v>8.7345919831583287E-19</v>
      </c>
      <c r="AX172" s="23">
        <f t="shared" si="166"/>
        <v>32.711224211179108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54.000000000000341</v>
      </c>
      <c r="BE172" s="14">
        <f>BD172*VLOOKUP('Données projet'!$B$11,Paramètres!$A$1:$I$89,3,0)*VLOOKUP('Données projet'!$B$11,Paramètres!$A$1:$I$89,5,0)</f>
        <v>30.186000000000188</v>
      </c>
      <c r="BF172" s="14">
        <f t="shared" si="167"/>
        <v>9.3563888882899153</v>
      </c>
      <c r="BG172" s="22">
        <f t="shared" si="168"/>
        <v>68.869660647105263</v>
      </c>
      <c r="BH172" s="62">
        <f t="shared" si="116"/>
        <v>357.44103654808168</v>
      </c>
      <c r="BI172" s="62">
        <f ca="1">AVERAGE(OFFSET($BH$3,0,0,'Données projet'!$E$11+1,1))-AVERAGE(OFFSET($H$3,0,0,'Données projet'!$E$11+1,1))</f>
        <v>507.66185230065889</v>
      </c>
      <c r="BJ172" s="62">
        <f t="shared" si="146"/>
        <v>640.14375617778342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40.127337316747166</v>
      </c>
      <c r="BQ172" s="23">
        <f>EXP(-LN(2)/25)*BQ171+(1-EXP(-LN(2)/25))/(LN(2)/25)*Calculateur!BL172*Calculateur!BN172*VLOOKUP('Données projet'!$B$11,Paramètres!$A$1:$I$89,3,0)*0.475*44/12</f>
        <v>1.2427403620969493</v>
      </c>
      <c r="BR172" s="23">
        <f>EXP(-LN(2)/2)*BR171+(1-EXP(-LN(2)/2))/(LN(2)/2)*BL172*BO172*VLOOKUP('Données projet'!$B$11,Paramètres!$A$1:$I$89,3,0)*0.475*44/12</f>
        <v>1.1046689861053188E-18</v>
      </c>
      <c r="BS172" s="24">
        <f t="shared" si="169"/>
        <v>41.370077678844112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417.04879970000007</v>
      </c>
      <c r="BZ172" s="14">
        <f>BY172*VLOOKUP('Données projet'!$B$12,Paramètres!$A$1:$I$89,3,0)*VLOOKUP('Données projet'!$B$12,Paramètres!$A$1:$I$89,5,0)</f>
        <v>195.17883825960004</v>
      </c>
      <c r="CA172" s="14">
        <f t="shared" si="170"/>
        <v>48.683122291673484</v>
      </c>
      <c r="CB172" s="22">
        <f t="shared" si="171"/>
        <v>424.72624796013469</v>
      </c>
      <c r="CC172" s="62">
        <f t="shared" si="119"/>
        <v>713.29762386111111</v>
      </c>
      <c r="CD172" s="62">
        <f ca="1">AVERAGE(OFFSET($CC$3,0,0,'Données projet'!$E$12+1,1))-AVERAGE(OFFSET($H$3,0,0,'Données projet'!$E$12+1,1))</f>
        <v>289.21044803824958</v>
      </c>
      <c r="CE172" s="62">
        <f t="shared" si="148"/>
        <v>196.11836398299445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>
        <f>EXP(-LN(2)/35)*CK171+(1-EXP(-LN(2)/35))/(LN(2)/35)*CG172*CH172*VLOOKUP('Données projet'!$B$12,Paramètres!$A$1:$I$89,3,0)*0.475*44/12</f>
        <v>17.562510180254584</v>
      </c>
      <c r="CL172" s="23">
        <f>EXP(-LN(2)/25)*CL171+(1-EXP(-LN(2)/25))/(LN(2)/25)*Calculateur!CG172*Calculateur!CI172*VLOOKUP('Données projet'!$B$12,Paramètres!$A$1:$I$89,3,0)*0.475*44/12</f>
        <v>4.7326922419338366</v>
      </c>
      <c r="CM172" s="23">
        <f>EXP(-LN(2)/2)*CM171+(1-EXP(-LN(2)/2))/(LN(2)/2)*CG172*CJ172*VLOOKUP('Données projet'!$B$12,Paramètres!$A$1:$I$89,3,0)*0.475*44/12</f>
        <v>0</v>
      </c>
      <c r="CN172" s="24">
        <f t="shared" si="172"/>
        <v>22.295202422188421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-5.6843418860808015E-14</v>
      </c>
      <c r="CU172" s="18">
        <f>CT172*VLOOKUP('Données projet'!$B$13,Paramètres!$A$1:$I$89,3,0)*VLOOKUP('Données projet'!$B$13,Paramètres!$A$1:$I$89,5,0)</f>
        <v>-5.1431925385259088E-14</v>
      </c>
      <c r="CV172" s="14" t="e">
        <f t="shared" si="173"/>
        <v>#NUM!</v>
      </c>
      <c r="CW172" s="22" t="e">
        <f t="shared" si="174"/>
        <v>#NUM!</v>
      </c>
      <c r="CX172" s="62" t="e">
        <f t="shared" si="122"/>
        <v>#NUM!</v>
      </c>
      <c r="CY172" s="62">
        <f ca="1">AVERAGE(OFFSET($CX$3,0,0,'Données projet'!$E$13+1,1))-AVERAGE(OFFSET($H$3,0,0,'Données projet'!$E$13+1,1))</f>
        <v>376.68007030857598</v>
      </c>
      <c r="CZ172" s="62">
        <f t="shared" si="150"/>
        <v>532.90758914457626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>
        <f>EXP(-LN(2)/35)*DF171+(1-EXP(-LN(2)/35))/(LN(2)/35)*DB172*DC172*VLOOKUP('Données projet'!$B$13,Paramètres!$A$1:$I$89,3,0)*0.475*44/12</f>
        <v>8.0328430338319752</v>
      </c>
      <c r="DG172" s="23">
        <f>EXP(-LN(2)/25)*DG171+(1-EXP(-LN(2)/25))/(LN(2)/25)*Calculateur!DB172*Calculateur!DD172*VLOOKUP('Données projet'!$B$13,Paramètres!$A$1:$I$89,3,0)*0.475*44/12</f>
        <v>0.27768528466827985</v>
      </c>
      <c r="DH172" s="23">
        <f>EXP(-LN(2)/2)*DH171+(1-EXP(-LN(2)/2))/(LN(2)/2)*DB172*DE172*VLOOKUP('Données projet'!$B$13,Paramètres!$A$1:$I$89,3,0)*0.475*44/12</f>
        <v>0</v>
      </c>
      <c r="DI172" s="24">
        <f t="shared" si="175"/>
        <v>8.3105283185002552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5.6843418860808015E-14</v>
      </c>
      <c r="DP172" s="18">
        <f>DO172*VLOOKUP('Données projet'!$B$14,Paramètres!$A$1:$I$89,3,0)*VLOOKUP('Données projet'!$B$14,Paramètres!$A$1:$I$89,5,0)</f>
        <v>5.4092197387944907E-14</v>
      </c>
      <c r="DQ172" s="14">
        <f t="shared" si="176"/>
        <v>8.7287050538073676E-13</v>
      </c>
      <c r="DR172" s="22">
        <f t="shared" si="177"/>
        <v>1.6144600406554537E-12</v>
      </c>
      <c r="DS172" s="62">
        <f t="shared" si="125"/>
        <v>288.57137590097801</v>
      </c>
      <c r="DT172" s="62">
        <f ca="1">AVERAGE(OFFSET($DS$3,0,0,'Données projet'!$E$14+1,1))-AVERAGE(OFFSET($H$3,0,0,'Données projet'!$E$14+1,1))</f>
        <v>364.63161066507769</v>
      </c>
      <c r="DU172" s="62">
        <f t="shared" si="152"/>
        <v>355.44729904860708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>
        <f>EXP(-LN(2)/35)*EA171+(1-EXP(-LN(2)/35))/(LN(2)/35)*DW172*DX172*VLOOKUP('Données projet'!$B$14,Paramètres!$A$1:$I$89,3,0)*0.475*44/12</f>
        <v>22.774171823692857</v>
      </c>
      <c r="EB172" s="23">
        <f>EXP(-LN(2)/25)*EB171+(1-EXP(-LN(2)/25))/(LN(2)/25)*Calculateur!DW172*Calculateur!DY172*VLOOKUP('Données projet'!$B$14,Paramètres!$A$1:$I$89,3,0)*0.475*44/12</f>
        <v>0</v>
      </c>
      <c r="EC172" s="23">
        <f>EXP(-LN(2)/2)*EC171+(1-EXP(-LN(2)/2))/(LN(2)/2)*DW172*DZ172*VLOOKUP('Données projet'!$B$14,Paramètres!$A$1:$I$89,3,0)*0.475*44/12</f>
        <v>0</v>
      </c>
      <c r="ED172" s="24">
        <f t="shared" si="178"/>
        <v>22.774171823692857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5.6843418860808015E-14</v>
      </c>
      <c r="EK172" s="18">
        <f>EJ172*VLOOKUP('Données projet'!$B$15,Paramètres!$A$1:$I$89,3,0)*VLOOKUP('Données projet'!$B$15,Paramètres!$A$1:$I$89,5,0)</f>
        <v>4.1677594708744434E-14</v>
      </c>
      <c r="EL172" s="14">
        <f t="shared" si="179"/>
        <v>6.9326303456159188E-13</v>
      </c>
      <c r="EM172" s="22">
        <f t="shared" si="180"/>
        <v>1.2800215959791691E-12</v>
      </c>
      <c r="EN172" s="62">
        <f t="shared" si="128"/>
        <v>288.57137590097773</v>
      </c>
      <c r="EO172" s="62">
        <f ca="1">AVERAGE(OFFSET($EN$3,0,0,'Données projet'!$E$15+1,1))-AVERAGE(OFFSET($H$3,0,0,'Données projet'!$E$15+1,1))</f>
        <v>293.59366973965774</v>
      </c>
      <c r="EP172" s="62">
        <f t="shared" si="154"/>
        <v>288.13804536120426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>
        <f>EXP(-LN(2)/35)*EV171+(1-EXP(-LN(2)/35))/(LN(2)/35)*ER172*ES172*VLOOKUP('Données projet'!$B$15,Paramètres!$A$1:$I$89,3,0)*0.475*44/12</f>
        <v>17.547312716615796</v>
      </c>
      <c r="EW172" s="23">
        <f>EXP(-LN(2)/25)*EW171+(1-EXP(-LN(2)/25))/(LN(2)/25)*Calculateur!ER172*Calculateur!ET172*VLOOKUP('Données projet'!$B$15,Paramètres!$A$1:$I$89,3,0)*0.475*44/12</f>
        <v>0</v>
      </c>
      <c r="EX172" s="23">
        <f>EXP(-LN(2)/2)*EX171+(1-EXP(-LN(2)/2))/(LN(2)/2)*ER172*EU172*VLOOKUP('Données projet'!$B$15,Paramètres!$A$1:$I$89,3,0)*0.475*44/12</f>
        <v>0</v>
      </c>
      <c r="EY172" s="24">
        <f t="shared" si="181"/>
        <v>17.547312716615796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5.6843418860808015E-14</v>
      </c>
      <c r="FF172" s="18">
        <f>FE172*VLOOKUP('Données projet'!$B$16,Paramètres!$A$1:$I$89,3,0)*VLOOKUP('Données projet'!$B$16,Paramètres!$A$1:$I$89,5,0)</f>
        <v>5.4978954722173515E-14</v>
      </c>
      <c r="FG172" s="14">
        <f t="shared" si="182"/>
        <v>8.8550225887742724E-13</v>
      </c>
      <c r="FH172" s="22">
        <f t="shared" si="183"/>
        <v>1.6380047803526383E-12</v>
      </c>
      <c r="FI172" s="62">
        <f t="shared" si="131"/>
        <v>288.57137590097807</v>
      </c>
      <c r="FJ172" s="62">
        <f ca="1">AVERAGE(OFFSET($FI$3,0,0,'Données projet'!$E$16+1,1))-AVERAGE(OFFSET($H$3,0,0,'Données projet'!$E$16+1,1))</f>
        <v>369.69145521630799</v>
      </c>
      <c r="FK172" s="62">
        <f t="shared" si="156"/>
        <v>360.24112103688719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>
        <f>EXP(-LN(2)/35)*FQ171+(1-EXP(-LN(2)/35))/(LN(2)/35)*FM172*FN172*VLOOKUP('Données projet'!$B$16,Paramètres!$A$1:$I$89,3,0)*0.475*44/12</f>
        <v>23.147518902769782</v>
      </c>
      <c r="FR172" s="23">
        <f>EXP(-LN(2)/25)*FR171+(1-EXP(-LN(2)/25))/(LN(2)/25)*Calculateur!FM172*Calculateur!FO172*VLOOKUP('Données projet'!$B$16,Paramètres!$A$1:$I$89,3,0)*0.475*44/12</f>
        <v>0</v>
      </c>
      <c r="FS172" s="23">
        <f>EXP(-LN(2)/2)*FS171+(1-EXP(-LN(2)/2))/(LN(2)/2)*FM172*FP172*VLOOKUP('Données projet'!$B$16,Paramètres!$A$1:$I$89,3,0)*0.475*44/12</f>
        <v>0</v>
      </c>
      <c r="FT172" s="24">
        <f t="shared" si="184"/>
        <v>23.147518902769782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5.6843418860808015E-14</v>
      </c>
      <c r="GA172" s="18">
        <f>FZ172*VLOOKUP('Données projet'!$B$17,Paramètres!$A$1:$I$89,3,0)*VLOOKUP('Données projet'!$B$17,Paramètres!$A$1:$I$89,5,0)</f>
        <v>6.1186256061773749E-14</v>
      </c>
      <c r="GB172" s="14">
        <f t="shared" si="185"/>
        <v>9.7328366192051127E-13</v>
      </c>
      <c r="GC172" s="22">
        <f t="shared" si="186"/>
        <v>1.8017017738191463E-12</v>
      </c>
      <c r="GD172" s="62">
        <f t="shared" si="134"/>
        <v>288.57137590097824</v>
      </c>
      <c r="GE172" s="62">
        <f ca="1">AVERAGE(OFFSET($GD$3,0,0,'Données projet'!$E$17+1,1))-AVERAGE(OFFSET($H$3,0,0,'Données projet'!$E$17+1,1))</f>
        <v>405.06394904053946</v>
      </c>
      <c r="GF172" s="62">
        <f t="shared" si="158"/>
        <v>393.75247087518198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>
        <f>EXP(-LN(2)/35)*GL171+(1-EXP(-LN(2)/35))/(LN(2)/35)*GH172*GI172*VLOOKUP('Données projet'!$B$17,Paramètres!$A$1:$I$89,3,0)*0.475*44/12</f>
        <v>25.760948456308288</v>
      </c>
      <c r="GM172" s="23">
        <f>EXP(-LN(2)/25)*GM171+(1-EXP(-LN(2)/25))/(LN(2)/25)*Calculateur!GH172*Calculateur!GJ172*VLOOKUP('Données projet'!$B$17,Paramètres!$A$1:$I$89,3,0)*0.475*44/12</f>
        <v>0</v>
      </c>
      <c r="GN172" s="23">
        <f>EXP(-LN(2)/2)*GN171+(1-EXP(-LN(2)/2))/(LN(2)/2)*GH172*GK172*VLOOKUP('Données projet'!$B$17,Paramètres!$A$1:$I$89,3,0)*0.475*44/12</f>
        <v>0</v>
      </c>
      <c r="GO172" s="23">
        <f t="shared" si="187"/>
        <v>25.760948456308288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5.6843418860808015E-14</v>
      </c>
      <c r="GV172" s="18">
        <f>GU172*VLOOKUP('Données projet'!$B$18,Paramètres!$A$1:$I$89,3,0)*VLOOKUP('Données projet'!$B$18,Paramètres!$A$1:$I$89,5,0)</f>
        <v>3.813056537183002E-14</v>
      </c>
      <c r="GW172" s="14">
        <f t="shared" si="188"/>
        <v>6.4086286045526829E-13</v>
      </c>
      <c r="GX172" s="22">
        <f t="shared" si="189"/>
        <v>1.1825802166488628E-12</v>
      </c>
      <c r="GY172" s="62">
        <f t="shared" si="137"/>
        <v>288.57137590097761</v>
      </c>
      <c r="GZ172" s="62">
        <f ca="1">AVERAGE(OFFSET($GY$3,0,0,'Données projet'!$E$18+1,1))-AVERAGE(OFFSET($H$3,0,0,'Données projet'!$E$18+1,1))</f>
        <v>273.21861937609918</v>
      </c>
      <c r="HA172" s="62">
        <f t="shared" si="160"/>
        <v>268.83004886965318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>
        <f>EXP(-LN(2)/35)*HG171+(1-EXP(-LN(2)/35))/(LN(2)/35)*HC172*HD172*VLOOKUP('Données projet'!$B$18,Paramètres!$A$1:$I$89,3,0)*0.475*44/12</f>
        <v>19.787395191077383</v>
      </c>
      <c r="HH172" s="23">
        <f>EXP(-LN(2)/25)*HH171+(1-EXP(-LN(2)/25))/(LN(2)/25)*Calculateur!HC172*Calculateur!HE172*VLOOKUP('Données projet'!$B$18,Paramètres!$A$1:$I$89,3,0)*0.475*44/12</f>
        <v>0</v>
      </c>
      <c r="HI172" s="23">
        <f>EXP(-LN(2)/2)*HI171+(1-EXP(-LN(2)/2))/(LN(2)/2)*HC172*HF172*VLOOKUP('Données projet'!$B$18,Paramètres!$A$1:$I$89,3,0)*0.475*44/12</f>
        <v>0</v>
      </c>
      <c r="HJ172" s="24">
        <f t="shared" si="190"/>
        <v>19.787395191077383</v>
      </c>
    </row>
    <row r="173" spans="1:218" x14ac:dyDescent="0.4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3.3333333333333335</v>
      </c>
      <c r="N173" s="14">
        <f>IF('Données projet'!$A$36&gt;35,N172+M173-V172,IF(A173&lt;'Données projet'!$A$36,$K$205^A173,IF(A173='Données projet'!$A$36,'Données projet'!$B$36,N172+M173-V172)))</f>
        <v>189.25490196078414</v>
      </c>
      <c r="O173" s="14">
        <f>N173*VLOOKUP('Données projet'!$B$9,Paramètres!$A$1:$I$89,3,0)*VLOOKUP('Données projet'!$B$9,Paramètres!$A$1:$I$89,5,0)</f>
        <v>171.23783529411747</v>
      </c>
      <c r="P173" s="14">
        <f t="shared" si="141"/>
        <v>43.367140345686025</v>
      </c>
      <c r="Q173" s="22">
        <f t="shared" si="162"/>
        <v>373.77033257265776</v>
      </c>
      <c r="R173" s="62">
        <f t="shared" si="109"/>
        <v>662.42431778894365</v>
      </c>
      <c r="S173" s="62">
        <f ca="1">AVERAGE(OFFSET($R$3,0,0,'Données projet'!$E$9+1,1))-AVERAGE(OFFSET($H$3,0,0,'Données projet'!$E$9+1,1))</f>
        <v>432.80275651765203</v>
      </c>
      <c r="T173" s="62">
        <f t="shared" si="142"/>
        <v>203.89279893419919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33.04430965000558</v>
      </c>
      <c r="AA173" s="23">
        <f>EXP(-LN(2)/25)*AA172+(1-EXP(-LN(2)/25))/(LN(2)/25)*Calculateur!V173*Calculateur!X173*VLOOKUP('Données projet'!$B$9,Paramètres!$A$1:$I$89,3,0)*0.475*44/12</f>
        <v>20.272182703136146</v>
      </c>
      <c r="AB173" s="23">
        <f>EXP(-LN(2)/2)*AB172+(1-EXP(-LN(2)/2))/(LN(2)/2)*V173*Y173*VLOOKUP('Données projet'!$B$9,Paramètres!$A$1:$I$89,3,0)*0.475*44/12</f>
        <v>0</v>
      </c>
      <c r="AC173" s="24">
        <f t="shared" si="163"/>
        <v>53.316492353141726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54.000000000000341</v>
      </c>
      <c r="AJ173" s="14">
        <f>AI173*VLOOKUP('Données projet'!$B$10,Paramètres!$A$1:$I$89,3,0)*VLOOKUP('Données projet'!$B$10,Paramètres!$A$1:$I$89,5,0)</f>
        <v>23.868000000000151</v>
      </c>
      <c r="AK173" s="14">
        <f t="shared" si="164"/>
        <v>7.6030930962115804</v>
      </c>
      <c r="AL173" s="22">
        <f t="shared" si="165"/>
        <v>54.812153809235433</v>
      </c>
      <c r="AM173" s="62">
        <f t="shared" si="113"/>
        <v>343.46613902552133</v>
      </c>
      <c r="AN173" s="62">
        <f ca="1">AVERAGE(OFFSET($AM$3,0,0,'Données projet'!$E$10+1,1))-AVERAGE(OFFSET($H$3,0,0,'Données projet'!$E$10+1,1))</f>
        <v>413.08876898406481</v>
      </c>
      <c r="AO173" s="62">
        <f t="shared" si="144"/>
        <v>520.31320932826566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31.106413954549872</v>
      </c>
      <c r="AV173" s="23">
        <f>EXP(-LN(2)/25)*AV172+(1-EXP(-LN(2)/25))/(LN(2)/25)*Calculateur!AQ173*Calculateur!AS173*VLOOKUP('Données projet'!$B$10,Paramètres!$A$1:$I$89,3,0)*0.475*44/12</f>
        <v>0.95576179284758311</v>
      </c>
      <c r="AW173" s="23">
        <f>EXP(-LN(2)/2)*AW172+(1-EXP(-LN(2)/2))/(LN(2)/2)*AQ173*AT173*VLOOKUP('Données projet'!$B$10,Paramètres!$A$1:$I$89,3,0)*0.475*44/12</f>
        <v>6.1762892221889088E-19</v>
      </c>
      <c r="AX173" s="23">
        <f t="shared" si="166"/>
        <v>32.062175747397454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54.000000000000341</v>
      </c>
      <c r="BE173" s="14">
        <f>BD173*VLOOKUP('Données projet'!$B$11,Paramètres!$A$1:$I$89,3,0)*VLOOKUP('Données projet'!$B$11,Paramètres!$A$1:$I$89,5,0)</f>
        <v>30.186000000000188</v>
      </c>
      <c r="BF173" s="14">
        <f t="shared" si="167"/>
        <v>9.3563888882899153</v>
      </c>
      <c r="BG173" s="22">
        <f t="shared" si="168"/>
        <v>68.869660647105263</v>
      </c>
      <c r="BH173" s="62">
        <f t="shared" si="116"/>
        <v>357.52364586339115</v>
      </c>
      <c r="BI173" s="62">
        <f ca="1">AVERAGE(OFFSET($BH$3,0,0,'Données projet'!$E$11+1,1))-AVERAGE(OFFSET($H$3,0,0,'Données projet'!$E$11+1,1))</f>
        <v>507.66185230065889</v>
      </c>
      <c r="BJ173" s="62">
        <f t="shared" si="146"/>
        <v>640.14375617778342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39.34046470722479</v>
      </c>
      <c r="BQ173" s="23">
        <f>EXP(-LN(2)/25)*BQ172+(1-EXP(-LN(2)/25))/(LN(2)/25)*Calculateur!BL173*Calculateur!BN173*VLOOKUP('Données projet'!$B$11,Paramètres!$A$1:$I$89,3,0)*0.475*44/12</f>
        <v>1.2087575615425328</v>
      </c>
      <c r="BR173" s="23">
        <f>EXP(-LN(2)/2)*BR172+(1-EXP(-LN(2)/2))/(LN(2)/2)*BL173*BO173*VLOOKUP('Données projet'!$B$11,Paramètres!$A$1:$I$89,3,0)*0.475*44/12</f>
        <v>7.8111893104153898E-19</v>
      </c>
      <c r="BS173" s="24">
        <f t="shared" si="169"/>
        <v>40.549222268767323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417.04879970000007</v>
      </c>
      <c r="BZ173" s="14">
        <f>BY173*VLOOKUP('Données projet'!$B$12,Paramètres!$A$1:$I$89,3,0)*VLOOKUP('Données projet'!$B$12,Paramètres!$A$1:$I$89,5,0)</f>
        <v>195.17883825960004</v>
      </c>
      <c r="CA173" s="14">
        <f t="shared" si="170"/>
        <v>48.683122291673484</v>
      </c>
      <c r="CB173" s="22">
        <f t="shared" si="171"/>
        <v>424.72624796013469</v>
      </c>
      <c r="CC173" s="62">
        <f t="shared" si="119"/>
        <v>713.38023317642057</v>
      </c>
      <c r="CD173" s="62">
        <f ca="1">AVERAGE(OFFSET($CC$3,0,0,'Données projet'!$E$12+1,1))-AVERAGE(OFFSET($H$3,0,0,'Données projet'!$E$12+1,1))</f>
        <v>289.21044803824958</v>
      </c>
      <c r="CE173" s="62">
        <f t="shared" si="148"/>
        <v>196.11836398299445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>
        <f>EXP(-LN(2)/35)*CK172+(1-EXP(-LN(2)/35))/(LN(2)/35)*CG173*CH173*VLOOKUP('Données projet'!$B$12,Paramètres!$A$1:$I$89,3,0)*0.475*44/12</f>
        <v>17.218120067693274</v>
      </c>
      <c r="CL173" s="23">
        <f>EXP(-LN(2)/25)*CL172+(1-EXP(-LN(2)/25))/(LN(2)/25)*Calculateur!CG173*Calculateur!CI173*VLOOKUP('Données projet'!$B$12,Paramètres!$A$1:$I$89,3,0)*0.475*44/12</f>
        <v>4.6032765236966879</v>
      </c>
      <c r="CM173" s="23">
        <f>EXP(-LN(2)/2)*CM172+(1-EXP(-LN(2)/2))/(LN(2)/2)*CG173*CJ173*VLOOKUP('Données projet'!$B$12,Paramètres!$A$1:$I$89,3,0)*0.475*44/12</f>
        <v>0</v>
      </c>
      <c r="CN173" s="24">
        <f t="shared" si="172"/>
        <v>21.821396591389963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-5.6843418860808015E-14</v>
      </c>
      <c r="CU173" s="18">
        <f>CT173*VLOOKUP('Données projet'!$B$13,Paramètres!$A$1:$I$89,3,0)*VLOOKUP('Données projet'!$B$13,Paramètres!$A$1:$I$89,5,0)</f>
        <v>-5.1431925385259088E-14</v>
      </c>
      <c r="CV173" s="14" t="e">
        <f t="shared" si="173"/>
        <v>#NUM!</v>
      </c>
      <c r="CW173" s="22" t="e">
        <f t="shared" si="174"/>
        <v>#NUM!</v>
      </c>
      <c r="CX173" s="62" t="e">
        <f t="shared" si="122"/>
        <v>#NUM!</v>
      </c>
      <c r="CY173" s="62">
        <f ca="1">AVERAGE(OFFSET($CX$3,0,0,'Données projet'!$E$13+1,1))-AVERAGE(OFFSET($H$3,0,0,'Données projet'!$E$13+1,1))</f>
        <v>376.68007030857598</v>
      </c>
      <c r="CZ173" s="62">
        <f t="shared" si="150"/>
        <v>532.90758914457626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>
        <f>EXP(-LN(2)/35)*DF172+(1-EXP(-LN(2)/35))/(LN(2)/35)*DB173*DC173*VLOOKUP('Données projet'!$B$13,Paramètres!$A$1:$I$89,3,0)*0.475*44/12</f>
        <v>7.8753238814889901</v>
      </c>
      <c r="DG173" s="23">
        <f>EXP(-LN(2)/25)*DG172+(1-EXP(-LN(2)/25))/(LN(2)/25)*Calculateur!DB173*Calculateur!DD173*VLOOKUP('Données projet'!$B$13,Paramètres!$A$1:$I$89,3,0)*0.475*44/12</f>
        <v>0.27009196595619128</v>
      </c>
      <c r="DH173" s="23">
        <f>EXP(-LN(2)/2)*DH172+(1-EXP(-LN(2)/2))/(LN(2)/2)*DB173*DE173*VLOOKUP('Données projet'!$B$13,Paramètres!$A$1:$I$89,3,0)*0.475*44/12</f>
        <v>0</v>
      </c>
      <c r="DI173" s="24">
        <f t="shared" si="175"/>
        <v>8.1454158474451805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5.6843418860808015E-14</v>
      </c>
      <c r="DP173" s="18">
        <f>DO173*VLOOKUP('Données projet'!$B$14,Paramètres!$A$1:$I$89,3,0)*VLOOKUP('Données projet'!$B$14,Paramètres!$A$1:$I$89,5,0)</f>
        <v>5.4092197387944907E-14</v>
      </c>
      <c r="DQ173" s="14">
        <f t="shared" si="176"/>
        <v>8.7287050538073676E-13</v>
      </c>
      <c r="DR173" s="22">
        <f t="shared" si="177"/>
        <v>1.6144600406554537E-12</v>
      </c>
      <c r="DS173" s="62">
        <f t="shared" si="125"/>
        <v>288.65398521628748</v>
      </c>
      <c r="DT173" s="62">
        <f ca="1">AVERAGE(OFFSET($DS$3,0,0,'Données projet'!$E$14+1,1))-AVERAGE(OFFSET($H$3,0,0,'Données projet'!$E$14+1,1))</f>
        <v>364.63161066507769</v>
      </c>
      <c r="DU173" s="62">
        <f t="shared" si="152"/>
        <v>355.44729904860708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>
        <f>EXP(-LN(2)/35)*EA172+(1-EXP(-LN(2)/35))/(LN(2)/35)*DW173*DX173*VLOOKUP('Données projet'!$B$14,Paramètres!$A$1:$I$89,3,0)*0.475*44/12</f>
        <v>22.327584205103442</v>
      </c>
      <c r="EB173" s="23">
        <f>EXP(-LN(2)/25)*EB172+(1-EXP(-LN(2)/25))/(LN(2)/25)*Calculateur!DW173*Calculateur!DY173*VLOOKUP('Données projet'!$B$14,Paramètres!$A$1:$I$89,3,0)*0.475*44/12</f>
        <v>0</v>
      </c>
      <c r="EC173" s="23">
        <f>EXP(-LN(2)/2)*EC172+(1-EXP(-LN(2)/2))/(LN(2)/2)*DW173*DZ173*VLOOKUP('Données projet'!$B$14,Paramètres!$A$1:$I$89,3,0)*0.475*44/12</f>
        <v>0</v>
      </c>
      <c r="ED173" s="24">
        <f t="shared" si="178"/>
        <v>22.327584205103442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5.6843418860808015E-14</v>
      </c>
      <c r="EK173" s="18">
        <f>EJ173*VLOOKUP('Données projet'!$B$15,Paramètres!$A$1:$I$89,3,0)*VLOOKUP('Données projet'!$B$15,Paramètres!$A$1:$I$89,5,0)</f>
        <v>4.1677594708744434E-14</v>
      </c>
      <c r="EL173" s="14">
        <f t="shared" si="179"/>
        <v>6.9326303456159188E-13</v>
      </c>
      <c r="EM173" s="22">
        <f t="shared" si="180"/>
        <v>1.2800215959791691E-12</v>
      </c>
      <c r="EN173" s="62">
        <f t="shared" si="128"/>
        <v>288.6539852162872</v>
      </c>
      <c r="EO173" s="62">
        <f ca="1">AVERAGE(OFFSET($EN$3,0,0,'Données projet'!$E$15+1,1))-AVERAGE(OFFSET($H$3,0,0,'Données projet'!$E$15+1,1))</f>
        <v>293.59366973965774</v>
      </c>
      <c r="EP173" s="62">
        <f t="shared" si="154"/>
        <v>288.13804536120426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>
        <f>EXP(-LN(2)/35)*EV172+(1-EXP(-LN(2)/35))/(LN(2)/35)*ER173*ES173*VLOOKUP('Données projet'!$B$15,Paramètres!$A$1:$I$89,3,0)*0.475*44/12</f>
        <v>17.203220617046902</v>
      </c>
      <c r="EW173" s="23">
        <f>EXP(-LN(2)/25)*EW172+(1-EXP(-LN(2)/25))/(LN(2)/25)*Calculateur!ER173*Calculateur!ET173*VLOOKUP('Données projet'!$B$15,Paramètres!$A$1:$I$89,3,0)*0.475*44/12</f>
        <v>0</v>
      </c>
      <c r="EX173" s="23">
        <f>EXP(-LN(2)/2)*EX172+(1-EXP(-LN(2)/2))/(LN(2)/2)*ER173*EU173*VLOOKUP('Données projet'!$B$15,Paramètres!$A$1:$I$89,3,0)*0.475*44/12</f>
        <v>0</v>
      </c>
      <c r="EY173" s="24">
        <f t="shared" si="181"/>
        <v>17.203220617046902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5.6843418860808015E-14</v>
      </c>
      <c r="FF173" s="18">
        <f>FE173*VLOOKUP('Données projet'!$B$16,Paramètres!$A$1:$I$89,3,0)*VLOOKUP('Données projet'!$B$16,Paramètres!$A$1:$I$89,5,0)</f>
        <v>5.4978954722173515E-14</v>
      </c>
      <c r="FG173" s="14">
        <f t="shared" si="182"/>
        <v>8.8550225887742724E-13</v>
      </c>
      <c r="FH173" s="22">
        <f t="shared" si="183"/>
        <v>1.6380047803526383E-12</v>
      </c>
      <c r="FI173" s="62">
        <f t="shared" si="131"/>
        <v>288.65398521628754</v>
      </c>
      <c r="FJ173" s="62">
        <f ca="1">AVERAGE(OFFSET($FI$3,0,0,'Données projet'!$E$16+1,1))-AVERAGE(OFFSET($H$3,0,0,'Données projet'!$E$16+1,1))</f>
        <v>369.69145521630799</v>
      </c>
      <c r="FK173" s="62">
        <f t="shared" si="156"/>
        <v>360.24112103688719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>
        <f>EXP(-LN(2)/35)*FQ172+(1-EXP(-LN(2)/35))/(LN(2)/35)*FM173*FN173*VLOOKUP('Données projet'!$B$16,Paramètres!$A$1:$I$89,3,0)*0.475*44/12</f>
        <v>22.693610175678902</v>
      </c>
      <c r="FR173" s="23">
        <f>EXP(-LN(2)/25)*FR172+(1-EXP(-LN(2)/25))/(LN(2)/25)*Calculateur!FM173*Calculateur!FO173*VLOOKUP('Données projet'!$B$16,Paramètres!$A$1:$I$89,3,0)*0.475*44/12</f>
        <v>0</v>
      </c>
      <c r="FS173" s="23">
        <f>EXP(-LN(2)/2)*FS172+(1-EXP(-LN(2)/2))/(LN(2)/2)*FM173*FP173*VLOOKUP('Données projet'!$B$16,Paramètres!$A$1:$I$89,3,0)*0.475*44/12</f>
        <v>0</v>
      </c>
      <c r="FT173" s="24">
        <f t="shared" si="184"/>
        <v>22.693610175678902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5.6843418860808015E-14</v>
      </c>
      <c r="GA173" s="18">
        <f>FZ173*VLOOKUP('Données projet'!$B$17,Paramètres!$A$1:$I$89,3,0)*VLOOKUP('Données projet'!$B$17,Paramètres!$A$1:$I$89,5,0)</f>
        <v>6.1186256061773749E-14</v>
      </c>
      <c r="GB173" s="14">
        <f t="shared" si="185"/>
        <v>9.7328366192051127E-13</v>
      </c>
      <c r="GC173" s="22">
        <f t="shared" si="186"/>
        <v>1.8017017738191463E-12</v>
      </c>
      <c r="GD173" s="62">
        <f t="shared" si="134"/>
        <v>288.65398521628771</v>
      </c>
      <c r="GE173" s="62">
        <f ca="1">AVERAGE(OFFSET($GD$3,0,0,'Données projet'!$E$17+1,1))-AVERAGE(OFFSET($H$3,0,0,'Données projet'!$E$17+1,1))</f>
        <v>405.06394904053946</v>
      </c>
      <c r="GF173" s="62">
        <f t="shared" si="158"/>
        <v>393.75247087518198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>
        <f>EXP(-LN(2)/35)*GL172+(1-EXP(-LN(2)/35))/(LN(2)/35)*GH173*GI173*VLOOKUP('Données projet'!$B$17,Paramètres!$A$1:$I$89,3,0)*0.475*44/12</f>
        <v>25.255791969707147</v>
      </c>
      <c r="GM173" s="23">
        <f>EXP(-LN(2)/25)*GM172+(1-EXP(-LN(2)/25))/(LN(2)/25)*Calculateur!GH173*Calculateur!GJ173*VLOOKUP('Données projet'!$B$17,Paramètres!$A$1:$I$89,3,0)*0.475*44/12</f>
        <v>0</v>
      </c>
      <c r="GN173" s="23">
        <f>EXP(-LN(2)/2)*GN172+(1-EXP(-LN(2)/2))/(LN(2)/2)*GH173*GK173*VLOOKUP('Données projet'!$B$17,Paramètres!$A$1:$I$89,3,0)*0.475*44/12</f>
        <v>0</v>
      </c>
      <c r="GO173" s="23">
        <f t="shared" si="187"/>
        <v>25.255791969707147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5.6843418860808015E-14</v>
      </c>
      <c r="GV173" s="18">
        <f>GU173*VLOOKUP('Données projet'!$B$18,Paramètres!$A$1:$I$89,3,0)*VLOOKUP('Données projet'!$B$18,Paramètres!$A$1:$I$89,5,0)</f>
        <v>3.813056537183002E-14</v>
      </c>
      <c r="GW173" s="14">
        <f t="shared" si="188"/>
        <v>6.4086286045526829E-13</v>
      </c>
      <c r="GX173" s="22">
        <f t="shared" si="189"/>
        <v>1.1825802166488628E-12</v>
      </c>
      <c r="GY173" s="62">
        <f t="shared" si="137"/>
        <v>288.65398521628708</v>
      </c>
      <c r="GZ173" s="62">
        <f ca="1">AVERAGE(OFFSET($GY$3,0,0,'Données projet'!$E$18+1,1))-AVERAGE(OFFSET($H$3,0,0,'Données projet'!$E$18+1,1))</f>
        <v>273.21861937609918</v>
      </c>
      <c r="HA173" s="62">
        <f t="shared" si="160"/>
        <v>268.83004886965318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>
        <f>EXP(-LN(2)/35)*HG172+(1-EXP(-LN(2)/35))/(LN(2)/35)*HC173*HD173*VLOOKUP('Données projet'!$B$18,Paramètres!$A$1:$I$89,3,0)*0.475*44/12</f>
        <v>19.399376440499697</v>
      </c>
      <c r="HH173" s="23">
        <f>EXP(-LN(2)/25)*HH172+(1-EXP(-LN(2)/25))/(LN(2)/25)*Calculateur!HC173*Calculateur!HE173*VLOOKUP('Données projet'!$B$18,Paramètres!$A$1:$I$89,3,0)*0.475*44/12</f>
        <v>0</v>
      </c>
      <c r="HI173" s="23">
        <f>EXP(-LN(2)/2)*HI172+(1-EXP(-LN(2)/2))/(LN(2)/2)*HC173*HF173*VLOOKUP('Données projet'!$B$18,Paramètres!$A$1:$I$89,3,0)*0.475*44/12</f>
        <v>0</v>
      </c>
      <c r="HJ173" s="24">
        <f t="shared" si="190"/>
        <v>19.399376440499697</v>
      </c>
    </row>
    <row r="174" spans="1:218" x14ac:dyDescent="0.4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3.3333333333333335</v>
      </c>
      <c r="N174" s="14">
        <f>IF('Données projet'!$A$36&gt;35,N173+M174-V173,IF(A174&lt;'Données projet'!$A$36,$K$205^A174,IF(A174='Données projet'!$A$36,'Données projet'!$B$36,N173+M174-V173)))</f>
        <v>192.58823529411748</v>
      </c>
      <c r="O174" s="14">
        <f>N174*VLOOKUP('Données projet'!$B$9,Paramètres!$A$1:$I$89,3,0)*VLOOKUP('Données projet'!$B$9,Paramètres!$A$1:$I$89,5,0)</f>
        <v>174.25383529411749</v>
      </c>
      <c r="P174" s="14">
        <f t="shared" si="141"/>
        <v>44.041366480741807</v>
      </c>
      <c r="Q174" s="22">
        <f t="shared" si="162"/>
        <v>380.19747642454655</v>
      </c>
      <c r="R174" s="62">
        <f t="shared" si="109"/>
        <v>668.93263786920807</v>
      </c>
      <c r="S174" s="62">
        <f ca="1">AVERAGE(OFFSET($R$3,0,0,'Données projet'!$E$9+1,1))-AVERAGE(OFFSET($H$3,0,0,'Données projet'!$E$9+1,1))</f>
        <v>432.80275651765203</v>
      </c>
      <c r="T174" s="62">
        <f t="shared" si="142"/>
        <v>203.89279893419919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32.396330892807711</v>
      </c>
      <c r="AA174" s="23">
        <f>EXP(-LN(2)/25)*AA173+(1-EXP(-LN(2)/25))/(LN(2)/25)*Calculateur!V174*Calculateur!X174*VLOOKUP('Données projet'!$B$9,Paramètres!$A$1:$I$89,3,0)*0.475*44/12</f>
        <v>19.717838801051133</v>
      </c>
      <c r="AB174" s="23">
        <f>EXP(-LN(2)/2)*AB173+(1-EXP(-LN(2)/2))/(LN(2)/2)*V174*Y174*VLOOKUP('Données projet'!$B$9,Paramètres!$A$1:$I$89,3,0)*0.475*44/12</f>
        <v>0</v>
      </c>
      <c r="AC174" s="24">
        <f t="shared" si="163"/>
        <v>52.114169693858841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54.000000000000341</v>
      </c>
      <c r="AJ174" s="14">
        <f>AI174*VLOOKUP('Données projet'!$B$10,Paramètres!$A$1:$I$89,3,0)*VLOOKUP('Données projet'!$B$10,Paramètres!$A$1:$I$89,5,0)</f>
        <v>23.868000000000151</v>
      </c>
      <c r="AK174" s="14">
        <f t="shared" si="164"/>
        <v>7.6030930962115804</v>
      </c>
      <c r="AL174" s="22">
        <f t="shared" si="165"/>
        <v>54.812153809235433</v>
      </c>
      <c r="AM174" s="62">
        <f t="shared" si="113"/>
        <v>343.54731525389695</v>
      </c>
      <c r="AN174" s="62">
        <f ca="1">AVERAGE(OFFSET($AM$3,0,0,'Données projet'!$E$10+1,1))-AVERAGE(OFFSET($H$3,0,0,'Données projet'!$E$10+1,1))</f>
        <v>413.08876898406481</v>
      </c>
      <c r="AO174" s="62">
        <f t="shared" si="144"/>
        <v>520.31320932826566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30.49643614994023</v>
      </c>
      <c r="AV174" s="23">
        <f>EXP(-LN(2)/25)*AV173+(1-EXP(-LN(2)/25))/(LN(2)/25)*Calculateur!AQ174*Calculateur!AS174*VLOOKUP('Données projet'!$B$10,Paramètres!$A$1:$I$89,3,0)*0.475*44/12</f>
        <v>0.92962643636083764</v>
      </c>
      <c r="AW174" s="23">
        <f>EXP(-LN(2)/2)*AW173+(1-EXP(-LN(2)/2))/(LN(2)/2)*AQ174*AT174*VLOOKUP('Données projet'!$B$10,Paramètres!$A$1:$I$89,3,0)*0.475*44/12</f>
        <v>4.3672959915791643E-19</v>
      </c>
      <c r="AX174" s="23">
        <f t="shared" si="166"/>
        <v>31.426062586301068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54.000000000000341</v>
      </c>
      <c r="BE174" s="14">
        <f>BD174*VLOOKUP('Données projet'!$B$11,Paramètres!$A$1:$I$89,3,0)*VLOOKUP('Données projet'!$B$11,Paramètres!$A$1:$I$89,5,0)</f>
        <v>30.186000000000188</v>
      </c>
      <c r="BF174" s="14">
        <f t="shared" si="167"/>
        <v>9.3563888882899153</v>
      </c>
      <c r="BG174" s="22">
        <f t="shared" si="168"/>
        <v>68.869660647105263</v>
      </c>
      <c r="BH174" s="62">
        <f t="shared" si="116"/>
        <v>357.60482209176678</v>
      </c>
      <c r="BI174" s="62">
        <f ca="1">AVERAGE(OFFSET($BH$3,0,0,'Données projet'!$E$11+1,1))-AVERAGE(OFFSET($H$3,0,0,'Données projet'!$E$11+1,1))</f>
        <v>507.66185230065889</v>
      </c>
      <c r="BJ174" s="62">
        <f t="shared" si="146"/>
        <v>640.14375617778342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38.569022189630239</v>
      </c>
      <c r="BQ174" s="23">
        <f>EXP(-LN(2)/25)*BQ173+(1-EXP(-LN(2)/25))/(LN(2)/25)*Calculateur!BL174*Calculateur!BN174*VLOOKUP('Données projet'!$B$11,Paramètres!$A$1:$I$89,3,0)*0.475*44/12</f>
        <v>1.1757040224563546</v>
      </c>
      <c r="BR174" s="23">
        <f>EXP(-LN(2)/2)*BR173+(1-EXP(-LN(2)/2))/(LN(2)/2)*BL174*BO174*VLOOKUP('Données projet'!$B$11,Paramètres!$A$1:$I$89,3,0)*0.475*44/12</f>
        <v>5.523344930526594E-19</v>
      </c>
      <c r="BS174" s="24">
        <f t="shared" si="169"/>
        <v>39.74472621208659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417.04879970000007</v>
      </c>
      <c r="BZ174" s="14">
        <f>BY174*VLOOKUP('Données projet'!$B$12,Paramètres!$A$1:$I$89,3,0)*VLOOKUP('Données projet'!$B$12,Paramètres!$A$1:$I$89,5,0)</f>
        <v>195.17883825960004</v>
      </c>
      <c r="CA174" s="14">
        <f t="shared" si="170"/>
        <v>48.683122291673484</v>
      </c>
      <c r="CB174" s="22">
        <f t="shared" si="171"/>
        <v>424.72624796013469</v>
      </c>
      <c r="CC174" s="62">
        <f t="shared" si="119"/>
        <v>713.4614094047962</v>
      </c>
      <c r="CD174" s="62">
        <f ca="1">AVERAGE(OFFSET($CC$3,0,0,'Données projet'!$E$12+1,1))-AVERAGE(OFFSET($H$3,0,0,'Données projet'!$E$12+1,1))</f>
        <v>289.21044803824958</v>
      </c>
      <c r="CE174" s="62">
        <f t="shared" si="148"/>
        <v>196.11836398299445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>
        <f>EXP(-LN(2)/35)*CK173+(1-EXP(-LN(2)/35))/(LN(2)/35)*CG174*CH174*VLOOKUP('Données projet'!$B$12,Paramètres!$A$1:$I$89,3,0)*0.475*44/12</f>
        <v>16.880483235182062</v>
      </c>
      <c r="CL174" s="23">
        <f>EXP(-LN(2)/25)*CL173+(1-EXP(-LN(2)/25))/(LN(2)/25)*Calculateur!CG174*Calculateur!CI174*VLOOKUP('Données projet'!$B$12,Paramètres!$A$1:$I$89,3,0)*0.475*44/12</f>
        <v>4.4773996850804103</v>
      </c>
      <c r="CM174" s="23">
        <f>EXP(-LN(2)/2)*CM173+(1-EXP(-LN(2)/2))/(LN(2)/2)*CG174*CJ174*VLOOKUP('Données projet'!$B$12,Paramètres!$A$1:$I$89,3,0)*0.475*44/12</f>
        <v>0</v>
      </c>
      <c r="CN174" s="24">
        <f t="shared" si="172"/>
        <v>21.357882920262472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-5.6843418860808015E-14</v>
      </c>
      <c r="CU174" s="18">
        <f>CT174*VLOOKUP('Données projet'!$B$13,Paramètres!$A$1:$I$89,3,0)*VLOOKUP('Données projet'!$B$13,Paramètres!$A$1:$I$89,5,0)</f>
        <v>-5.1431925385259088E-14</v>
      </c>
      <c r="CV174" s="14" t="e">
        <f t="shared" si="173"/>
        <v>#NUM!</v>
      </c>
      <c r="CW174" s="22" t="e">
        <f t="shared" si="174"/>
        <v>#NUM!</v>
      </c>
      <c r="CX174" s="62" t="e">
        <f t="shared" si="122"/>
        <v>#NUM!</v>
      </c>
      <c r="CY174" s="62">
        <f ca="1">AVERAGE(OFFSET($CX$3,0,0,'Données projet'!$E$13+1,1))-AVERAGE(OFFSET($H$3,0,0,'Données projet'!$E$13+1,1))</f>
        <v>376.68007030857598</v>
      </c>
      <c r="CZ174" s="62">
        <f t="shared" si="150"/>
        <v>532.90758914457626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>
        <f>EXP(-LN(2)/35)*DF173+(1-EXP(-LN(2)/35))/(LN(2)/35)*DB174*DC174*VLOOKUP('Données projet'!$B$13,Paramètres!$A$1:$I$89,3,0)*0.475*44/12</f>
        <v>7.7208935836462551</v>
      </c>
      <c r="DG174" s="23">
        <f>EXP(-LN(2)/25)*DG173+(1-EXP(-LN(2)/25))/(LN(2)/25)*Calculateur!DB174*Calculateur!DD174*VLOOKUP('Données projet'!$B$13,Paramètres!$A$1:$I$89,3,0)*0.475*44/12</f>
        <v>0.26270628694360004</v>
      </c>
      <c r="DH174" s="23">
        <f>EXP(-LN(2)/2)*DH173+(1-EXP(-LN(2)/2))/(LN(2)/2)*DB174*DE174*VLOOKUP('Données projet'!$B$13,Paramètres!$A$1:$I$89,3,0)*0.475*44/12</f>
        <v>0</v>
      </c>
      <c r="DI174" s="24">
        <f t="shared" si="175"/>
        <v>7.9835998705898552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5.6843418860808015E-14</v>
      </c>
      <c r="DP174" s="18">
        <f>DO174*VLOOKUP('Données projet'!$B$14,Paramètres!$A$1:$I$89,3,0)*VLOOKUP('Données projet'!$B$14,Paramètres!$A$1:$I$89,5,0)</f>
        <v>5.4092197387944907E-14</v>
      </c>
      <c r="DQ174" s="14">
        <f t="shared" si="176"/>
        <v>8.7287050538073676E-13</v>
      </c>
      <c r="DR174" s="22">
        <f t="shared" si="177"/>
        <v>1.6144600406554537E-12</v>
      </c>
      <c r="DS174" s="62">
        <f t="shared" si="125"/>
        <v>288.73516144466311</v>
      </c>
      <c r="DT174" s="62">
        <f ca="1">AVERAGE(OFFSET($DS$3,0,0,'Données projet'!$E$14+1,1))-AVERAGE(OFFSET($H$3,0,0,'Données projet'!$E$14+1,1))</f>
        <v>364.63161066507769</v>
      </c>
      <c r="DU174" s="62">
        <f t="shared" si="152"/>
        <v>355.44729904860708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>
        <f>EXP(-LN(2)/35)*EA173+(1-EXP(-LN(2)/35))/(LN(2)/35)*DW174*DX174*VLOOKUP('Données projet'!$B$14,Paramètres!$A$1:$I$89,3,0)*0.475*44/12</f>
        <v>21.889753897323015</v>
      </c>
      <c r="EB174" s="23">
        <f>EXP(-LN(2)/25)*EB173+(1-EXP(-LN(2)/25))/(LN(2)/25)*Calculateur!DW174*Calculateur!DY174*VLOOKUP('Données projet'!$B$14,Paramètres!$A$1:$I$89,3,0)*0.475*44/12</f>
        <v>0</v>
      </c>
      <c r="EC174" s="23">
        <f>EXP(-LN(2)/2)*EC173+(1-EXP(-LN(2)/2))/(LN(2)/2)*DW174*DZ174*VLOOKUP('Données projet'!$B$14,Paramètres!$A$1:$I$89,3,0)*0.475*44/12</f>
        <v>0</v>
      </c>
      <c r="ED174" s="24">
        <f t="shared" si="178"/>
        <v>21.889753897323015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5.6843418860808015E-14</v>
      </c>
      <c r="EK174" s="18">
        <f>EJ174*VLOOKUP('Données projet'!$B$15,Paramètres!$A$1:$I$89,3,0)*VLOOKUP('Données projet'!$B$15,Paramètres!$A$1:$I$89,5,0)</f>
        <v>4.1677594708744434E-14</v>
      </c>
      <c r="EL174" s="14">
        <f t="shared" si="179"/>
        <v>6.9326303456159188E-13</v>
      </c>
      <c r="EM174" s="22">
        <f t="shared" si="180"/>
        <v>1.2800215959791691E-12</v>
      </c>
      <c r="EN174" s="62">
        <f t="shared" si="128"/>
        <v>288.73516144466282</v>
      </c>
      <c r="EO174" s="62">
        <f ca="1">AVERAGE(OFFSET($EN$3,0,0,'Données projet'!$E$15+1,1))-AVERAGE(OFFSET($H$3,0,0,'Données projet'!$E$15+1,1))</f>
        <v>293.59366973965774</v>
      </c>
      <c r="EP174" s="62">
        <f t="shared" si="154"/>
        <v>288.13804536120426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>
        <f>EXP(-LN(2)/35)*EV173+(1-EXP(-LN(2)/35))/(LN(2)/35)*ER174*ES174*VLOOKUP('Données projet'!$B$15,Paramètres!$A$1:$I$89,3,0)*0.475*44/12</f>
        <v>16.865875953675097</v>
      </c>
      <c r="EW174" s="23">
        <f>EXP(-LN(2)/25)*EW173+(1-EXP(-LN(2)/25))/(LN(2)/25)*Calculateur!ER174*Calculateur!ET174*VLOOKUP('Données projet'!$B$15,Paramètres!$A$1:$I$89,3,0)*0.475*44/12</f>
        <v>0</v>
      </c>
      <c r="EX174" s="23">
        <f>EXP(-LN(2)/2)*EX173+(1-EXP(-LN(2)/2))/(LN(2)/2)*ER174*EU174*VLOOKUP('Données projet'!$B$15,Paramètres!$A$1:$I$89,3,0)*0.475*44/12</f>
        <v>0</v>
      </c>
      <c r="EY174" s="24">
        <f t="shared" si="181"/>
        <v>16.865875953675097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5.6843418860808015E-14</v>
      </c>
      <c r="FF174" s="18">
        <f>FE174*VLOOKUP('Données projet'!$B$16,Paramètres!$A$1:$I$89,3,0)*VLOOKUP('Données projet'!$B$16,Paramètres!$A$1:$I$89,5,0)</f>
        <v>5.4978954722173515E-14</v>
      </c>
      <c r="FG174" s="14">
        <f t="shared" si="182"/>
        <v>8.8550225887742724E-13</v>
      </c>
      <c r="FH174" s="22">
        <f t="shared" si="183"/>
        <v>1.6380047803526383E-12</v>
      </c>
      <c r="FI174" s="62">
        <f t="shared" si="131"/>
        <v>288.73516144466316</v>
      </c>
      <c r="FJ174" s="62">
        <f ca="1">AVERAGE(OFFSET($FI$3,0,0,'Données projet'!$E$16+1,1))-AVERAGE(OFFSET($H$3,0,0,'Données projet'!$E$16+1,1))</f>
        <v>369.69145521630799</v>
      </c>
      <c r="FK174" s="62">
        <f t="shared" si="156"/>
        <v>360.24112103688719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>
        <f>EXP(-LN(2)/35)*FQ173+(1-EXP(-LN(2)/35))/(LN(2)/35)*FM174*FN174*VLOOKUP('Données projet'!$B$16,Paramètres!$A$1:$I$89,3,0)*0.475*44/12</f>
        <v>22.248602321869289</v>
      </c>
      <c r="FR174" s="23">
        <f>EXP(-LN(2)/25)*FR173+(1-EXP(-LN(2)/25))/(LN(2)/25)*Calculateur!FM174*Calculateur!FO174*VLOOKUP('Données projet'!$B$16,Paramètres!$A$1:$I$89,3,0)*0.475*44/12</f>
        <v>0</v>
      </c>
      <c r="FS174" s="23">
        <f>EXP(-LN(2)/2)*FS173+(1-EXP(-LN(2)/2))/(LN(2)/2)*FM174*FP174*VLOOKUP('Données projet'!$B$16,Paramètres!$A$1:$I$89,3,0)*0.475*44/12</f>
        <v>0</v>
      </c>
      <c r="FT174" s="24">
        <f t="shared" si="184"/>
        <v>22.248602321869289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5.6843418860808015E-14</v>
      </c>
      <c r="GA174" s="18">
        <f>FZ174*VLOOKUP('Données projet'!$B$17,Paramètres!$A$1:$I$89,3,0)*VLOOKUP('Données projet'!$B$17,Paramètres!$A$1:$I$89,5,0)</f>
        <v>6.1186256061773749E-14</v>
      </c>
      <c r="GB174" s="14">
        <f t="shared" si="185"/>
        <v>9.7328366192051127E-13</v>
      </c>
      <c r="GC174" s="22">
        <f t="shared" si="186"/>
        <v>1.8017017738191463E-12</v>
      </c>
      <c r="GD174" s="62">
        <f t="shared" si="134"/>
        <v>288.73516144466333</v>
      </c>
      <c r="GE174" s="62">
        <f ca="1">AVERAGE(OFFSET($GD$3,0,0,'Données projet'!$E$17+1,1))-AVERAGE(OFFSET($H$3,0,0,'Données projet'!$E$17+1,1))</f>
        <v>405.06394904053946</v>
      </c>
      <c r="GF174" s="62">
        <f t="shared" si="158"/>
        <v>393.75247087518198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>
        <f>EXP(-LN(2)/35)*GL173+(1-EXP(-LN(2)/35))/(LN(2)/35)*GH174*GI174*VLOOKUP('Données projet'!$B$17,Paramètres!$A$1:$I$89,3,0)*0.475*44/12</f>
        <v>24.760541293693223</v>
      </c>
      <c r="GM174" s="23">
        <f>EXP(-LN(2)/25)*GM173+(1-EXP(-LN(2)/25))/(LN(2)/25)*Calculateur!GH174*Calculateur!GJ174*VLOOKUP('Données projet'!$B$17,Paramètres!$A$1:$I$89,3,0)*0.475*44/12</f>
        <v>0</v>
      </c>
      <c r="GN174" s="23">
        <f>EXP(-LN(2)/2)*GN173+(1-EXP(-LN(2)/2))/(LN(2)/2)*GH174*GK174*VLOOKUP('Données projet'!$B$17,Paramètres!$A$1:$I$89,3,0)*0.475*44/12</f>
        <v>0</v>
      </c>
      <c r="GO174" s="23">
        <f t="shared" si="187"/>
        <v>24.760541293693223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5.6843418860808015E-14</v>
      </c>
      <c r="GV174" s="18">
        <f>GU174*VLOOKUP('Données projet'!$B$18,Paramètres!$A$1:$I$89,3,0)*VLOOKUP('Données projet'!$B$18,Paramètres!$A$1:$I$89,5,0)</f>
        <v>3.813056537183002E-14</v>
      </c>
      <c r="GW174" s="14">
        <f t="shared" si="188"/>
        <v>6.4086286045526829E-13</v>
      </c>
      <c r="GX174" s="22">
        <f t="shared" si="189"/>
        <v>1.1825802166488628E-12</v>
      </c>
      <c r="GY174" s="62">
        <f t="shared" si="137"/>
        <v>288.73516144466271</v>
      </c>
      <c r="GZ174" s="62">
        <f ca="1">AVERAGE(OFFSET($GY$3,0,0,'Données projet'!$E$18+1,1))-AVERAGE(OFFSET($H$3,0,0,'Données projet'!$E$18+1,1))</f>
        <v>273.21861937609918</v>
      </c>
      <c r="HA174" s="62">
        <f t="shared" si="160"/>
        <v>268.83004886965318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>
        <f>EXP(-LN(2)/35)*HG173+(1-EXP(-LN(2)/35))/(LN(2)/35)*HC174*HD174*VLOOKUP('Données projet'!$B$18,Paramètres!$A$1:$I$89,3,0)*0.475*44/12</f>
        <v>19.018966500952768</v>
      </c>
      <c r="HH174" s="23">
        <f>EXP(-LN(2)/25)*HH173+(1-EXP(-LN(2)/25))/(LN(2)/25)*Calculateur!HC174*Calculateur!HE174*VLOOKUP('Données projet'!$B$18,Paramètres!$A$1:$I$89,3,0)*0.475*44/12</f>
        <v>0</v>
      </c>
      <c r="HI174" s="23">
        <f>EXP(-LN(2)/2)*HI173+(1-EXP(-LN(2)/2))/(LN(2)/2)*HC174*HF174*VLOOKUP('Données projet'!$B$18,Paramètres!$A$1:$I$89,3,0)*0.475*44/12</f>
        <v>0</v>
      </c>
      <c r="HJ174" s="24">
        <f t="shared" si="190"/>
        <v>19.018966500952768</v>
      </c>
    </row>
    <row r="175" spans="1:218" x14ac:dyDescent="0.4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3.3333333333333335</v>
      </c>
      <c r="N175" s="14">
        <f>IF('Données projet'!$A$36&gt;35,N174+M175-V174,IF(A175&lt;'Données projet'!$A$36,$K$205^A175,IF(A175='Données projet'!$A$36,'Données projet'!$B$36,N174+M175-V174)))</f>
        <v>195.92156862745082</v>
      </c>
      <c r="O175" s="14">
        <f>N175*VLOOKUP('Données projet'!$B$9,Paramètres!$A$1:$I$89,3,0)*VLOOKUP('Données projet'!$B$9,Paramètres!$A$1:$I$89,5,0)</f>
        <v>177.26983529411751</v>
      </c>
      <c r="P175" s="14">
        <f t="shared" si="141"/>
        <v>44.714235574466507</v>
      </c>
      <c r="Q175" s="22">
        <f t="shared" si="162"/>
        <v>386.62225676278376</v>
      </c>
      <c r="R175" s="62">
        <f t="shared" si="109"/>
        <v>675.43718620974141</v>
      </c>
      <c r="S175" s="62">
        <f ca="1">AVERAGE(OFFSET($R$3,0,0,'Données projet'!$E$9+1,1))-AVERAGE(OFFSET($H$3,0,0,'Données projet'!$E$9+1,1))</f>
        <v>432.80275651765203</v>
      </c>
      <c r="T175" s="62">
        <f t="shared" si="142"/>
        <v>203.89279893419919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31.761058603810476</v>
      </c>
      <c r="AA175" s="23">
        <f>EXP(-LN(2)/25)*AA174+(1-EXP(-LN(2)/25))/(LN(2)/25)*Calculateur!V175*Calculateur!X175*VLOOKUP('Données projet'!$B$9,Paramètres!$A$1:$I$89,3,0)*0.475*44/12</f>
        <v>19.178653462120312</v>
      </c>
      <c r="AB175" s="23">
        <f>EXP(-LN(2)/2)*AB174+(1-EXP(-LN(2)/2))/(LN(2)/2)*V175*Y175*VLOOKUP('Données projet'!$B$9,Paramètres!$A$1:$I$89,3,0)*0.475*44/12</f>
        <v>0</v>
      </c>
      <c r="AC175" s="24">
        <f t="shared" si="163"/>
        <v>50.939712065930792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54.000000000000341</v>
      </c>
      <c r="AJ175" s="14">
        <f>AI175*VLOOKUP('Données projet'!$B$10,Paramètres!$A$1:$I$89,3,0)*VLOOKUP('Données projet'!$B$10,Paramètres!$A$1:$I$89,5,0)</f>
        <v>23.868000000000151</v>
      </c>
      <c r="AK175" s="14">
        <f t="shared" si="164"/>
        <v>7.6030930962115804</v>
      </c>
      <c r="AL175" s="22">
        <f t="shared" si="165"/>
        <v>54.812153809235433</v>
      </c>
      <c r="AM175" s="62">
        <f t="shared" si="113"/>
        <v>343.62708325619309</v>
      </c>
      <c r="AN175" s="62">
        <f ca="1">AVERAGE(OFFSET($AM$3,0,0,'Données projet'!$E$10+1,1))-AVERAGE(OFFSET($H$3,0,0,'Données projet'!$E$10+1,1))</f>
        <v>413.08876898406481</v>
      </c>
      <c r="AO175" s="62">
        <f t="shared" si="144"/>
        <v>520.31320932826566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29.89841963802926</v>
      </c>
      <c r="AV175" s="23">
        <f>EXP(-LN(2)/25)*AV174+(1-EXP(-LN(2)/25))/(LN(2)/25)*Calculateur!AQ175*Calculateur!AS175*VLOOKUP('Données projet'!$B$10,Paramètres!$A$1:$I$89,3,0)*0.475*44/12</f>
        <v>0.90420575257162095</v>
      </c>
      <c r="AW175" s="23">
        <f>EXP(-LN(2)/2)*AW174+(1-EXP(-LN(2)/2))/(LN(2)/2)*AQ175*AT175*VLOOKUP('Données projet'!$B$10,Paramètres!$A$1:$I$89,3,0)*0.475*44/12</f>
        <v>3.0881446110944544E-19</v>
      </c>
      <c r="AX175" s="23">
        <f t="shared" si="166"/>
        <v>30.80262539060088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54.000000000000341</v>
      </c>
      <c r="BE175" s="14">
        <f>BD175*VLOOKUP('Données projet'!$B$11,Paramètres!$A$1:$I$89,3,0)*VLOOKUP('Données projet'!$B$11,Paramètres!$A$1:$I$89,5,0)</f>
        <v>30.186000000000188</v>
      </c>
      <c r="BF175" s="14">
        <f t="shared" si="167"/>
        <v>9.3563888882899153</v>
      </c>
      <c r="BG175" s="22">
        <f t="shared" si="168"/>
        <v>68.869660647105263</v>
      </c>
      <c r="BH175" s="62">
        <f t="shared" si="116"/>
        <v>357.68459009406291</v>
      </c>
      <c r="BI175" s="62">
        <f ca="1">AVERAGE(OFFSET($BH$3,0,0,'Données projet'!$E$11+1,1))-AVERAGE(OFFSET($H$3,0,0,'Données projet'!$E$11+1,1))</f>
        <v>507.66185230065889</v>
      </c>
      <c r="BJ175" s="62">
        <f t="shared" si="146"/>
        <v>640.14375617778342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37.812707189272246</v>
      </c>
      <c r="BQ175" s="23">
        <f>EXP(-LN(2)/25)*BQ174+(1-EXP(-LN(2)/25))/(LN(2)/25)*Calculateur!BL175*Calculateur!BN175*VLOOKUP('Données projet'!$B$11,Paramètres!$A$1:$I$89,3,0)*0.475*44/12</f>
        <v>1.1435543341346981</v>
      </c>
      <c r="BR175" s="23">
        <f>EXP(-LN(2)/2)*BR174+(1-EXP(-LN(2)/2))/(LN(2)/2)*BL175*BO175*VLOOKUP('Données projet'!$B$11,Paramètres!$A$1:$I$89,3,0)*0.475*44/12</f>
        <v>3.9055946552076949E-19</v>
      </c>
      <c r="BS175" s="24">
        <f t="shared" si="169"/>
        <v>38.956261523406944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417.04879970000007</v>
      </c>
      <c r="BZ175" s="14">
        <f>BY175*VLOOKUP('Données projet'!$B$12,Paramètres!$A$1:$I$89,3,0)*VLOOKUP('Données projet'!$B$12,Paramètres!$A$1:$I$89,5,0)</f>
        <v>195.17883825960004</v>
      </c>
      <c r="CA175" s="14">
        <f t="shared" si="170"/>
        <v>48.683122291673484</v>
      </c>
      <c r="CB175" s="22">
        <f t="shared" si="171"/>
        <v>424.72624796013469</v>
      </c>
      <c r="CC175" s="62">
        <f t="shared" si="119"/>
        <v>713.54117740709239</v>
      </c>
      <c r="CD175" s="62">
        <f ca="1">AVERAGE(OFFSET($CC$3,0,0,'Données projet'!$E$12+1,1))-AVERAGE(OFFSET($H$3,0,0,'Données projet'!$E$12+1,1))</f>
        <v>289.21044803824958</v>
      </c>
      <c r="CE175" s="62">
        <f t="shared" si="148"/>
        <v>196.11836398299445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>
        <f>EXP(-LN(2)/35)*CK174+(1-EXP(-LN(2)/35))/(LN(2)/35)*CG175*CH175*VLOOKUP('Données projet'!$B$12,Paramètres!$A$1:$I$89,3,0)*0.475*44/12</f>
        <v>16.549467255018261</v>
      </c>
      <c r="CL175" s="23">
        <f>EXP(-LN(2)/25)*CL174+(1-EXP(-LN(2)/25))/(LN(2)/25)*Calculateur!CG175*Calculateur!CI175*VLOOKUP('Données projet'!$B$12,Paramètres!$A$1:$I$89,3,0)*0.475*44/12</f>
        <v>4.35496495523567</v>
      </c>
      <c r="CM175" s="23">
        <f>EXP(-LN(2)/2)*CM174+(1-EXP(-LN(2)/2))/(LN(2)/2)*CG175*CJ175*VLOOKUP('Données projet'!$B$12,Paramètres!$A$1:$I$89,3,0)*0.475*44/12</f>
        <v>0</v>
      </c>
      <c r="CN175" s="24">
        <f t="shared" si="172"/>
        <v>20.90443221025393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-5.6843418860808015E-14</v>
      </c>
      <c r="CU175" s="18">
        <f>CT175*VLOOKUP('Données projet'!$B$13,Paramètres!$A$1:$I$89,3,0)*VLOOKUP('Données projet'!$B$13,Paramètres!$A$1:$I$89,5,0)</f>
        <v>-5.1431925385259088E-14</v>
      </c>
      <c r="CV175" s="14" t="e">
        <f t="shared" si="173"/>
        <v>#NUM!</v>
      </c>
      <c r="CW175" s="22" t="e">
        <f t="shared" si="174"/>
        <v>#NUM!</v>
      </c>
      <c r="CX175" s="62" t="e">
        <f t="shared" si="122"/>
        <v>#NUM!</v>
      </c>
      <c r="CY175" s="62">
        <f ca="1">AVERAGE(OFFSET($CX$3,0,0,'Données projet'!$E$13+1,1))-AVERAGE(OFFSET($H$3,0,0,'Données projet'!$E$13+1,1))</f>
        <v>376.68007030857598</v>
      </c>
      <c r="CZ175" s="62">
        <f t="shared" si="150"/>
        <v>532.90758914457626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>
        <f>EXP(-LN(2)/35)*DF174+(1-EXP(-LN(2)/35))/(LN(2)/35)*DB175*DC175*VLOOKUP('Données projet'!$B$13,Paramètres!$A$1:$I$89,3,0)*0.475*44/12</f>
        <v>7.569491569751035</v>
      </c>
      <c r="DG175" s="23">
        <f>EXP(-LN(2)/25)*DG174+(1-EXP(-LN(2)/25))/(LN(2)/25)*Calculateur!DB175*Calculateur!DD175*VLOOKUP('Données projet'!$B$13,Paramètres!$A$1:$I$89,3,0)*0.475*44/12</f>
        <v>0.2555225697120041</v>
      </c>
      <c r="DH175" s="23">
        <f>EXP(-LN(2)/2)*DH174+(1-EXP(-LN(2)/2))/(LN(2)/2)*DB175*DE175*VLOOKUP('Données projet'!$B$13,Paramètres!$A$1:$I$89,3,0)*0.475*44/12</f>
        <v>0</v>
      </c>
      <c r="DI175" s="24">
        <f t="shared" si="175"/>
        <v>7.8250141394630388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5.6843418860808015E-14</v>
      </c>
      <c r="DP175" s="18">
        <f>DO175*VLOOKUP('Données projet'!$B$14,Paramètres!$A$1:$I$89,3,0)*VLOOKUP('Données projet'!$B$14,Paramètres!$A$1:$I$89,5,0)</f>
        <v>5.4092197387944907E-14</v>
      </c>
      <c r="DQ175" s="14">
        <f t="shared" si="176"/>
        <v>8.7287050538073676E-13</v>
      </c>
      <c r="DR175" s="22">
        <f t="shared" si="177"/>
        <v>1.6144600406554537E-12</v>
      </c>
      <c r="DS175" s="62">
        <f t="shared" si="125"/>
        <v>288.81492944695924</v>
      </c>
      <c r="DT175" s="62">
        <f ca="1">AVERAGE(OFFSET($DS$3,0,0,'Données projet'!$E$14+1,1))-AVERAGE(OFFSET($H$3,0,0,'Données projet'!$E$14+1,1))</f>
        <v>364.63161066507769</v>
      </c>
      <c r="DU175" s="62">
        <f t="shared" si="152"/>
        <v>355.44729904860708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>
        <f>EXP(-LN(2)/35)*EA174+(1-EXP(-LN(2)/35))/(LN(2)/35)*DW175*DX175*VLOOKUP('Données projet'!$B$14,Paramètres!$A$1:$I$89,3,0)*0.475*44/12</f>
        <v>21.460509174828044</v>
      </c>
      <c r="EB175" s="23">
        <f>EXP(-LN(2)/25)*EB174+(1-EXP(-LN(2)/25))/(LN(2)/25)*Calculateur!DW175*Calculateur!DY175*VLOOKUP('Données projet'!$B$14,Paramètres!$A$1:$I$89,3,0)*0.475*44/12</f>
        <v>0</v>
      </c>
      <c r="EC175" s="23">
        <f>EXP(-LN(2)/2)*EC174+(1-EXP(-LN(2)/2))/(LN(2)/2)*DW175*DZ175*VLOOKUP('Données projet'!$B$14,Paramètres!$A$1:$I$89,3,0)*0.475*44/12</f>
        <v>0</v>
      </c>
      <c r="ED175" s="24">
        <f t="shared" si="178"/>
        <v>21.460509174828044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5.6843418860808015E-14</v>
      </c>
      <c r="EK175" s="18">
        <f>EJ175*VLOOKUP('Données projet'!$B$15,Paramètres!$A$1:$I$89,3,0)*VLOOKUP('Données projet'!$B$15,Paramètres!$A$1:$I$89,5,0)</f>
        <v>4.1677594708744434E-14</v>
      </c>
      <c r="EL175" s="14">
        <f t="shared" si="179"/>
        <v>6.9326303456159188E-13</v>
      </c>
      <c r="EM175" s="22">
        <f t="shared" si="180"/>
        <v>1.2800215959791691E-12</v>
      </c>
      <c r="EN175" s="62">
        <f t="shared" si="128"/>
        <v>288.81492944695896</v>
      </c>
      <c r="EO175" s="62">
        <f ca="1">AVERAGE(OFFSET($EN$3,0,0,'Données projet'!$E$15+1,1))-AVERAGE(OFFSET($H$3,0,0,'Données projet'!$E$15+1,1))</f>
        <v>293.59366973965774</v>
      </c>
      <c r="EP175" s="62">
        <f t="shared" si="154"/>
        <v>288.13804536120426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>
        <f>EXP(-LN(2)/35)*EV174+(1-EXP(-LN(2)/35))/(LN(2)/35)*ER175*ES175*VLOOKUP('Données projet'!$B$15,Paramètres!$A$1:$I$89,3,0)*0.475*44/12</f>
        <v>16.535146413392088</v>
      </c>
      <c r="EW175" s="23">
        <f>EXP(-LN(2)/25)*EW174+(1-EXP(-LN(2)/25))/(LN(2)/25)*Calculateur!ER175*Calculateur!ET175*VLOOKUP('Données projet'!$B$15,Paramètres!$A$1:$I$89,3,0)*0.475*44/12</f>
        <v>0</v>
      </c>
      <c r="EX175" s="23">
        <f>EXP(-LN(2)/2)*EX174+(1-EXP(-LN(2)/2))/(LN(2)/2)*ER175*EU175*VLOOKUP('Données projet'!$B$15,Paramètres!$A$1:$I$89,3,0)*0.475*44/12</f>
        <v>0</v>
      </c>
      <c r="EY175" s="24">
        <f t="shared" si="181"/>
        <v>16.535146413392088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5.6843418860808015E-14</v>
      </c>
      <c r="FF175" s="18">
        <f>FE175*VLOOKUP('Données projet'!$B$16,Paramètres!$A$1:$I$89,3,0)*VLOOKUP('Données projet'!$B$16,Paramètres!$A$1:$I$89,5,0)</f>
        <v>5.4978954722173515E-14</v>
      </c>
      <c r="FG175" s="14">
        <f t="shared" si="182"/>
        <v>8.8550225887742724E-13</v>
      </c>
      <c r="FH175" s="22">
        <f t="shared" si="183"/>
        <v>1.6380047803526383E-12</v>
      </c>
      <c r="FI175" s="62">
        <f t="shared" si="131"/>
        <v>288.8149294469593</v>
      </c>
      <c r="FJ175" s="62">
        <f ca="1">AVERAGE(OFFSET($FI$3,0,0,'Données projet'!$E$16+1,1))-AVERAGE(OFFSET($H$3,0,0,'Données projet'!$E$16+1,1))</f>
        <v>369.69145521630799</v>
      </c>
      <c r="FK175" s="62">
        <f t="shared" si="156"/>
        <v>360.24112103688719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>
        <f>EXP(-LN(2)/35)*FQ174+(1-EXP(-LN(2)/35))/(LN(2)/35)*FM175*FN175*VLOOKUP('Données projet'!$B$16,Paramètres!$A$1:$I$89,3,0)*0.475*44/12</f>
        <v>21.812320800644891</v>
      </c>
      <c r="FR175" s="23">
        <f>EXP(-LN(2)/25)*FR174+(1-EXP(-LN(2)/25))/(LN(2)/25)*Calculateur!FM175*Calculateur!FO175*VLOOKUP('Données projet'!$B$16,Paramètres!$A$1:$I$89,3,0)*0.475*44/12</f>
        <v>0</v>
      </c>
      <c r="FS175" s="23">
        <f>EXP(-LN(2)/2)*FS174+(1-EXP(-LN(2)/2))/(LN(2)/2)*FM175*FP175*VLOOKUP('Données projet'!$B$16,Paramètres!$A$1:$I$89,3,0)*0.475*44/12</f>
        <v>0</v>
      </c>
      <c r="FT175" s="24">
        <f t="shared" si="184"/>
        <v>21.812320800644891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5.6843418860808015E-14</v>
      </c>
      <c r="GA175" s="18">
        <f>FZ175*VLOOKUP('Données projet'!$B$17,Paramètres!$A$1:$I$89,3,0)*VLOOKUP('Données projet'!$B$17,Paramètres!$A$1:$I$89,5,0)</f>
        <v>6.1186256061773749E-14</v>
      </c>
      <c r="GB175" s="14">
        <f t="shared" si="185"/>
        <v>9.7328366192051127E-13</v>
      </c>
      <c r="GC175" s="22">
        <f t="shared" si="186"/>
        <v>1.8017017738191463E-12</v>
      </c>
      <c r="GD175" s="62">
        <f t="shared" si="134"/>
        <v>288.81492944695947</v>
      </c>
      <c r="GE175" s="62">
        <f ca="1">AVERAGE(OFFSET($GD$3,0,0,'Données projet'!$E$17+1,1))-AVERAGE(OFFSET($H$3,0,0,'Données projet'!$E$17+1,1))</f>
        <v>405.06394904053946</v>
      </c>
      <c r="GF175" s="62">
        <f t="shared" si="158"/>
        <v>393.75247087518198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>
        <f>EXP(-LN(2)/35)*GL174+(1-EXP(-LN(2)/35))/(LN(2)/35)*GH175*GI175*VLOOKUP('Données projet'!$B$17,Paramètres!$A$1:$I$89,3,0)*0.475*44/12</f>
        <v>24.275002181362847</v>
      </c>
      <c r="GM175" s="23">
        <f>EXP(-LN(2)/25)*GM174+(1-EXP(-LN(2)/25))/(LN(2)/25)*Calculateur!GH175*Calculateur!GJ175*VLOOKUP('Données projet'!$B$17,Paramètres!$A$1:$I$89,3,0)*0.475*44/12</f>
        <v>0</v>
      </c>
      <c r="GN175" s="23">
        <f>EXP(-LN(2)/2)*GN174+(1-EXP(-LN(2)/2))/(LN(2)/2)*GH175*GK175*VLOOKUP('Données projet'!$B$17,Paramètres!$A$1:$I$89,3,0)*0.475*44/12</f>
        <v>0</v>
      </c>
      <c r="GO175" s="23">
        <f t="shared" si="187"/>
        <v>24.275002181362847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5.6843418860808015E-14</v>
      </c>
      <c r="GV175" s="18">
        <f>GU175*VLOOKUP('Données projet'!$B$18,Paramètres!$A$1:$I$89,3,0)*VLOOKUP('Données projet'!$B$18,Paramètres!$A$1:$I$89,5,0)</f>
        <v>3.813056537183002E-14</v>
      </c>
      <c r="GW175" s="14">
        <f t="shared" si="188"/>
        <v>6.4086286045526829E-13</v>
      </c>
      <c r="GX175" s="22">
        <f t="shared" si="189"/>
        <v>1.1825802166488628E-12</v>
      </c>
      <c r="GY175" s="62">
        <f t="shared" si="137"/>
        <v>288.81492944695884</v>
      </c>
      <c r="GZ175" s="62">
        <f ca="1">AVERAGE(OFFSET($GY$3,0,0,'Données projet'!$E$18+1,1))-AVERAGE(OFFSET($H$3,0,0,'Données projet'!$E$18+1,1))</f>
        <v>273.21861937609918</v>
      </c>
      <c r="HA175" s="62">
        <f t="shared" si="160"/>
        <v>268.83004886965318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>
        <f>EXP(-LN(2)/35)*HG174+(1-EXP(-LN(2)/35))/(LN(2)/35)*HC175*HD175*VLOOKUP('Données projet'!$B$18,Paramètres!$A$1:$I$89,3,0)*0.475*44/12</f>
        <v>18.646016168293205</v>
      </c>
      <c r="HH175" s="23">
        <f>EXP(-LN(2)/25)*HH174+(1-EXP(-LN(2)/25))/(LN(2)/25)*Calculateur!HC175*Calculateur!HE175*VLOOKUP('Données projet'!$B$18,Paramètres!$A$1:$I$89,3,0)*0.475*44/12</f>
        <v>0</v>
      </c>
      <c r="HI175" s="23">
        <f>EXP(-LN(2)/2)*HI174+(1-EXP(-LN(2)/2))/(LN(2)/2)*HC175*HF175*VLOOKUP('Données projet'!$B$18,Paramètres!$A$1:$I$89,3,0)*0.475*44/12</f>
        <v>0</v>
      </c>
      <c r="HJ175" s="24">
        <f t="shared" si="190"/>
        <v>18.646016168293205</v>
      </c>
    </row>
    <row r="176" spans="1:218" x14ac:dyDescent="0.4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3.3333333333333335</v>
      </c>
      <c r="N176" s="14">
        <f>IF('Données projet'!$A$36&gt;35,N175+M176-V175,IF(A176&lt;'Données projet'!$A$36,$K$205^A176,IF(A176='Données projet'!$A$36,'Données projet'!$B$36,N175+M176-V175)))</f>
        <v>199.25490196078417</v>
      </c>
      <c r="O176" s="14">
        <f>N176*VLOOKUP('Données projet'!$B$9,Paramètres!$A$1:$I$89,3,0)*VLOOKUP('Données projet'!$B$9,Paramètres!$A$1:$I$89,5,0)</f>
        <v>180.2858352941175</v>
      </c>
      <c r="P176" s="14">
        <f t="shared" si="141"/>
        <v>45.385773379494488</v>
      </c>
      <c r="Q176" s="22">
        <f t="shared" si="162"/>
        <v>393.0447184398742</v>
      </c>
      <c r="R176" s="62">
        <f t="shared" si="109"/>
        <v>681.93803209262273</v>
      </c>
      <c r="S176" s="62">
        <f ca="1">AVERAGE(OFFSET($R$3,0,0,'Données projet'!$E$9+1,1))-AVERAGE(OFFSET($H$3,0,0,'Données projet'!$E$9+1,1))</f>
        <v>432.80275651765203</v>
      </c>
      <c r="T176" s="62">
        <f t="shared" si="142"/>
        <v>203.89279893419919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31.13824361692264</v>
      </c>
      <c r="AA176" s="23">
        <f>EXP(-LN(2)/25)*AA175+(1-EXP(-LN(2)/25))/(LN(2)/25)*Calculateur!V176*Calculateur!X176*VLOOKUP('Données projet'!$B$9,Paramètres!$A$1:$I$89,3,0)*0.475*44/12</f>
        <v>18.654212174637081</v>
      </c>
      <c r="AB176" s="23">
        <f>EXP(-LN(2)/2)*AB175+(1-EXP(-LN(2)/2))/(LN(2)/2)*V176*Y176*VLOOKUP('Données projet'!$B$9,Paramètres!$A$1:$I$89,3,0)*0.475*44/12</f>
        <v>0</v>
      </c>
      <c r="AC176" s="24">
        <f t="shared" si="163"/>
        <v>49.792455791559718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54.000000000000341</v>
      </c>
      <c r="AJ176" s="14">
        <f>AI176*VLOOKUP('Données projet'!$B$10,Paramètres!$A$1:$I$89,3,0)*VLOOKUP('Données projet'!$B$10,Paramètres!$A$1:$I$89,5,0)</f>
        <v>23.868000000000151</v>
      </c>
      <c r="AK176" s="14">
        <f t="shared" si="164"/>
        <v>7.6030930962115804</v>
      </c>
      <c r="AL176" s="22">
        <f t="shared" si="165"/>
        <v>54.812153809235433</v>
      </c>
      <c r="AM176" s="62">
        <f t="shared" si="113"/>
        <v>343.70546746198391</v>
      </c>
      <c r="AN176" s="62">
        <f ca="1">AVERAGE(OFFSET($AM$3,0,0,'Données projet'!$E$10+1,1))-AVERAGE(OFFSET($H$3,0,0,'Données projet'!$E$10+1,1))</f>
        <v>413.08876898406481</v>
      </c>
      <c r="AO176" s="62">
        <f t="shared" si="144"/>
        <v>520.31320932826566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29.312129865162806</v>
      </c>
      <c r="AV176" s="23">
        <f>EXP(-LN(2)/25)*AV175+(1-EXP(-LN(2)/25))/(LN(2)/25)*Calculateur!AQ176*Calculateur!AS176*VLOOKUP('Données projet'!$B$10,Paramètres!$A$1:$I$89,3,0)*0.475*44/12</f>
        <v>0.87948019871743599</v>
      </c>
      <c r="AW176" s="23">
        <f>EXP(-LN(2)/2)*AW175+(1-EXP(-LN(2)/2))/(LN(2)/2)*AQ176*AT176*VLOOKUP('Données projet'!$B$10,Paramètres!$A$1:$I$89,3,0)*0.475*44/12</f>
        <v>2.1836479957895822E-19</v>
      </c>
      <c r="AX176" s="23">
        <f t="shared" si="166"/>
        <v>30.19161006388024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54.000000000000341</v>
      </c>
      <c r="BE176" s="14">
        <f>BD176*VLOOKUP('Données projet'!$B$11,Paramètres!$A$1:$I$89,3,0)*VLOOKUP('Données projet'!$B$11,Paramètres!$A$1:$I$89,5,0)</f>
        <v>30.186000000000188</v>
      </c>
      <c r="BF176" s="14">
        <f t="shared" si="167"/>
        <v>9.3563888882899153</v>
      </c>
      <c r="BG176" s="22">
        <f t="shared" si="168"/>
        <v>68.869660647105263</v>
      </c>
      <c r="BH176" s="62">
        <f t="shared" si="116"/>
        <v>357.76297429985374</v>
      </c>
      <c r="BI176" s="62">
        <f ca="1">AVERAGE(OFFSET($BH$3,0,0,'Données projet'!$E$11+1,1))-AVERAGE(OFFSET($H$3,0,0,'Données projet'!$E$11+1,1))</f>
        <v>507.66185230065889</v>
      </c>
      <c r="BJ176" s="62">
        <f t="shared" si="146"/>
        <v>640.14375617778342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37.071223064764673</v>
      </c>
      <c r="BQ176" s="23">
        <f>EXP(-LN(2)/25)*BQ175+(1-EXP(-LN(2)/25))/(LN(2)/25)*Calculateur!BL176*Calculateur!BN176*VLOOKUP('Données projet'!$B$11,Paramètres!$A$1:$I$89,3,0)*0.475*44/12</f>
        <v>1.1122837807308759</v>
      </c>
      <c r="BR176" s="23">
        <f>EXP(-LN(2)/2)*BR175+(1-EXP(-LN(2)/2))/(LN(2)/2)*BL176*BO176*VLOOKUP('Données projet'!$B$11,Paramètres!$A$1:$I$89,3,0)*0.475*44/12</f>
        <v>2.761672465263297E-19</v>
      </c>
      <c r="BS176" s="24">
        <f t="shared" si="169"/>
        <v>38.18350684549555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417.04879970000007</v>
      </c>
      <c r="BZ176" s="14">
        <f>BY176*VLOOKUP('Données projet'!$B$12,Paramètres!$A$1:$I$89,3,0)*VLOOKUP('Données projet'!$B$12,Paramètres!$A$1:$I$89,5,0)</f>
        <v>195.17883825960004</v>
      </c>
      <c r="CA176" s="14">
        <f t="shared" si="170"/>
        <v>48.683122291673484</v>
      </c>
      <c r="CB176" s="22">
        <f t="shared" si="171"/>
        <v>424.72624796013469</v>
      </c>
      <c r="CC176" s="62">
        <f t="shared" si="119"/>
        <v>713.61956161288322</v>
      </c>
      <c r="CD176" s="62">
        <f ca="1">AVERAGE(OFFSET($CC$3,0,0,'Données projet'!$E$12+1,1))-AVERAGE(OFFSET($H$3,0,0,'Données projet'!$E$12+1,1))</f>
        <v>289.21044803824958</v>
      </c>
      <c r="CE176" s="62">
        <f t="shared" si="148"/>
        <v>196.11836398299445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>
        <f>EXP(-LN(2)/35)*CK175+(1-EXP(-LN(2)/35))/(LN(2)/35)*CG176*CH176*VLOOKUP('Données projet'!$B$12,Paramètres!$A$1:$I$89,3,0)*0.475*44/12</f>
        <v>16.224942296325661</v>
      </c>
      <c r="CL176" s="23">
        <f>EXP(-LN(2)/25)*CL175+(1-EXP(-LN(2)/25))/(LN(2)/25)*Calculateur!CG176*Calculateur!CI176*VLOOKUP('Données projet'!$B$12,Paramètres!$A$1:$I$89,3,0)*0.475*44/12</f>
        <v>4.2358782095170966</v>
      </c>
      <c r="CM176" s="23">
        <f>EXP(-LN(2)/2)*CM175+(1-EXP(-LN(2)/2))/(LN(2)/2)*CG176*CJ176*VLOOKUP('Données projet'!$B$12,Paramètres!$A$1:$I$89,3,0)*0.475*44/12</f>
        <v>0</v>
      </c>
      <c r="CN176" s="24">
        <f t="shared" si="172"/>
        <v>20.460820505842758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-5.6843418860808015E-14</v>
      </c>
      <c r="CU176" s="18">
        <f>CT176*VLOOKUP('Données projet'!$B$13,Paramètres!$A$1:$I$89,3,0)*VLOOKUP('Données projet'!$B$13,Paramètres!$A$1:$I$89,5,0)</f>
        <v>-5.1431925385259088E-14</v>
      </c>
      <c r="CV176" s="14" t="e">
        <f t="shared" si="173"/>
        <v>#NUM!</v>
      </c>
      <c r="CW176" s="22" t="e">
        <f t="shared" si="174"/>
        <v>#NUM!</v>
      </c>
      <c r="CX176" s="62" t="e">
        <f t="shared" si="122"/>
        <v>#NUM!</v>
      </c>
      <c r="CY176" s="62">
        <f ca="1">AVERAGE(OFFSET($CX$3,0,0,'Données projet'!$E$13+1,1))-AVERAGE(OFFSET($H$3,0,0,'Données projet'!$E$13+1,1))</f>
        <v>376.68007030857598</v>
      </c>
      <c r="CZ176" s="62">
        <f t="shared" si="150"/>
        <v>532.90758914457626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>
        <f>EXP(-LN(2)/35)*DF175+(1-EXP(-LN(2)/35))/(LN(2)/35)*DB176*DC176*VLOOKUP('Données projet'!$B$13,Paramètres!$A$1:$I$89,3,0)*0.475*44/12</f>
        <v>7.4210584570021902</v>
      </c>
      <c r="DG176" s="23">
        <f>EXP(-LN(2)/25)*DG175+(1-EXP(-LN(2)/25))/(LN(2)/25)*Calculateur!DB176*Calculateur!DD176*VLOOKUP('Données projet'!$B$13,Paramètres!$A$1:$I$89,3,0)*0.475*44/12</f>
        <v>0.24853529160588142</v>
      </c>
      <c r="DH176" s="23">
        <f>EXP(-LN(2)/2)*DH175+(1-EXP(-LN(2)/2))/(LN(2)/2)*DB176*DE176*VLOOKUP('Données projet'!$B$13,Paramètres!$A$1:$I$89,3,0)*0.475*44/12</f>
        <v>0</v>
      </c>
      <c r="DI176" s="24">
        <f t="shared" si="175"/>
        <v>7.6695937486080714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5.6843418860808015E-14</v>
      </c>
      <c r="DP176" s="18">
        <f>DO176*VLOOKUP('Données projet'!$B$14,Paramètres!$A$1:$I$89,3,0)*VLOOKUP('Données projet'!$B$14,Paramètres!$A$1:$I$89,5,0)</f>
        <v>5.4092197387944907E-14</v>
      </c>
      <c r="DQ176" s="14">
        <f t="shared" si="176"/>
        <v>8.7287050538073676E-13</v>
      </c>
      <c r="DR176" s="22">
        <f t="shared" si="177"/>
        <v>1.6144600406554537E-12</v>
      </c>
      <c r="DS176" s="62">
        <f t="shared" si="125"/>
        <v>288.89331365275007</v>
      </c>
      <c r="DT176" s="62">
        <f ca="1">AVERAGE(OFFSET($DS$3,0,0,'Données projet'!$E$14+1,1))-AVERAGE(OFFSET($H$3,0,0,'Données projet'!$E$14+1,1))</f>
        <v>364.63161066507769</v>
      </c>
      <c r="DU176" s="62">
        <f t="shared" si="152"/>
        <v>355.44729904860708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>
        <f>EXP(-LN(2)/35)*EA175+(1-EXP(-LN(2)/35))/(LN(2)/35)*DW176*DX176*VLOOKUP('Données projet'!$B$14,Paramètres!$A$1:$I$89,3,0)*0.475*44/12</f>
        <v>21.039681679527771</v>
      </c>
      <c r="EB176" s="23">
        <f>EXP(-LN(2)/25)*EB175+(1-EXP(-LN(2)/25))/(LN(2)/25)*Calculateur!DW176*Calculateur!DY176*VLOOKUP('Données projet'!$B$14,Paramètres!$A$1:$I$89,3,0)*0.475*44/12</f>
        <v>0</v>
      </c>
      <c r="EC176" s="23">
        <f>EXP(-LN(2)/2)*EC175+(1-EXP(-LN(2)/2))/(LN(2)/2)*DW176*DZ176*VLOOKUP('Données projet'!$B$14,Paramètres!$A$1:$I$89,3,0)*0.475*44/12</f>
        <v>0</v>
      </c>
      <c r="ED176" s="24">
        <f t="shared" si="178"/>
        <v>21.039681679527771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5.6843418860808015E-14</v>
      </c>
      <c r="EK176" s="18">
        <f>EJ176*VLOOKUP('Données projet'!$B$15,Paramètres!$A$1:$I$89,3,0)*VLOOKUP('Données projet'!$B$15,Paramètres!$A$1:$I$89,5,0)</f>
        <v>4.1677594708744434E-14</v>
      </c>
      <c r="EL176" s="14">
        <f t="shared" si="179"/>
        <v>6.9326303456159188E-13</v>
      </c>
      <c r="EM176" s="22">
        <f t="shared" si="180"/>
        <v>1.2800215959791691E-12</v>
      </c>
      <c r="EN176" s="62">
        <f t="shared" si="128"/>
        <v>288.89331365274978</v>
      </c>
      <c r="EO176" s="62">
        <f ca="1">AVERAGE(OFFSET($EN$3,0,0,'Données projet'!$E$15+1,1))-AVERAGE(OFFSET($H$3,0,0,'Données projet'!$E$15+1,1))</f>
        <v>293.59366973965774</v>
      </c>
      <c r="EP176" s="62">
        <f t="shared" si="154"/>
        <v>288.13804536120426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>
        <f>EXP(-LN(2)/35)*EV175+(1-EXP(-LN(2)/35))/(LN(2)/35)*ER176*ES176*VLOOKUP('Données projet'!$B$15,Paramètres!$A$1:$I$89,3,0)*0.475*44/12</f>
        <v>16.210902277668925</v>
      </c>
      <c r="EW176" s="23">
        <f>EXP(-LN(2)/25)*EW175+(1-EXP(-LN(2)/25))/(LN(2)/25)*Calculateur!ER176*Calculateur!ET176*VLOOKUP('Données projet'!$B$15,Paramètres!$A$1:$I$89,3,0)*0.475*44/12</f>
        <v>0</v>
      </c>
      <c r="EX176" s="23">
        <f>EXP(-LN(2)/2)*EX175+(1-EXP(-LN(2)/2))/(LN(2)/2)*ER176*EU176*VLOOKUP('Données projet'!$B$15,Paramètres!$A$1:$I$89,3,0)*0.475*44/12</f>
        <v>0</v>
      </c>
      <c r="EY176" s="24">
        <f t="shared" si="181"/>
        <v>16.210902277668925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5.6843418860808015E-14</v>
      </c>
      <c r="FF176" s="18">
        <f>FE176*VLOOKUP('Données projet'!$B$16,Paramètres!$A$1:$I$89,3,0)*VLOOKUP('Données projet'!$B$16,Paramètres!$A$1:$I$89,5,0)</f>
        <v>5.4978954722173515E-14</v>
      </c>
      <c r="FG176" s="14">
        <f t="shared" si="182"/>
        <v>8.8550225887742724E-13</v>
      </c>
      <c r="FH176" s="22">
        <f t="shared" si="183"/>
        <v>1.6380047803526383E-12</v>
      </c>
      <c r="FI176" s="62">
        <f t="shared" si="131"/>
        <v>288.89331365275012</v>
      </c>
      <c r="FJ176" s="62">
        <f ca="1">AVERAGE(OFFSET($FI$3,0,0,'Données projet'!$E$16+1,1))-AVERAGE(OFFSET($H$3,0,0,'Données projet'!$E$16+1,1))</f>
        <v>369.69145521630799</v>
      </c>
      <c r="FK176" s="62">
        <f t="shared" si="156"/>
        <v>360.24112103688719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>
        <f>EXP(-LN(2)/35)*FQ175+(1-EXP(-LN(2)/35))/(LN(2)/35)*FM176*FN176*VLOOKUP('Données projet'!$B$16,Paramètres!$A$1:$I$89,3,0)*0.475*44/12</f>
        <v>21.384594493946253</v>
      </c>
      <c r="FR176" s="23">
        <f>EXP(-LN(2)/25)*FR175+(1-EXP(-LN(2)/25))/(LN(2)/25)*Calculateur!FM176*Calculateur!FO176*VLOOKUP('Données projet'!$B$16,Paramètres!$A$1:$I$89,3,0)*0.475*44/12</f>
        <v>0</v>
      </c>
      <c r="FS176" s="23">
        <f>EXP(-LN(2)/2)*FS175+(1-EXP(-LN(2)/2))/(LN(2)/2)*FM176*FP176*VLOOKUP('Données projet'!$B$16,Paramètres!$A$1:$I$89,3,0)*0.475*44/12</f>
        <v>0</v>
      </c>
      <c r="FT176" s="24">
        <f t="shared" si="184"/>
        <v>21.384594493946253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5.6843418860808015E-14</v>
      </c>
      <c r="GA176" s="18">
        <f>FZ176*VLOOKUP('Données projet'!$B$17,Paramètres!$A$1:$I$89,3,0)*VLOOKUP('Données projet'!$B$17,Paramètres!$A$1:$I$89,5,0)</f>
        <v>6.1186256061773749E-14</v>
      </c>
      <c r="GB176" s="14">
        <f t="shared" si="185"/>
        <v>9.7328366192051127E-13</v>
      </c>
      <c r="GC176" s="22">
        <f t="shared" si="186"/>
        <v>1.8017017738191463E-12</v>
      </c>
      <c r="GD176" s="62">
        <f t="shared" si="134"/>
        <v>288.89331365275029</v>
      </c>
      <c r="GE176" s="62">
        <f ca="1">AVERAGE(OFFSET($GD$3,0,0,'Données projet'!$E$17+1,1))-AVERAGE(OFFSET($H$3,0,0,'Données projet'!$E$17+1,1))</f>
        <v>405.06394904053946</v>
      </c>
      <c r="GF176" s="62">
        <f t="shared" si="158"/>
        <v>393.75247087518198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>
        <f>EXP(-LN(2)/35)*GL175+(1-EXP(-LN(2)/35))/(LN(2)/35)*GH176*GI176*VLOOKUP('Données projet'!$B$17,Paramètres!$A$1:$I$89,3,0)*0.475*44/12</f>
        <v>23.798984194875654</v>
      </c>
      <c r="GM176" s="23">
        <f>EXP(-LN(2)/25)*GM175+(1-EXP(-LN(2)/25))/(LN(2)/25)*Calculateur!GH176*Calculateur!GJ176*VLOOKUP('Données projet'!$B$17,Paramètres!$A$1:$I$89,3,0)*0.475*44/12</f>
        <v>0</v>
      </c>
      <c r="GN176" s="23">
        <f>EXP(-LN(2)/2)*GN175+(1-EXP(-LN(2)/2))/(LN(2)/2)*GH176*GK176*VLOOKUP('Données projet'!$B$17,Paramètres!$A$1:$I$89,3,0)*0.475*44/12</f>
        <v>0</v>
      </c>
      <c r="GO176" s="23">
        <f t="shared" si="187"/>
        <v>23.798984194875654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5.6843418860808015E-14</v>
      </c>
      <c r="GV176" s="18">
        <f>GU176*VLOOKUP('Données projet'!$B$18,Paramètres!$A$1:$I$89,3,0)*VLOOKUP('Données projet'!$B$18,Paramètres!$A$1:$I$89,5,0)</f>
        <v>3.813056537183002E-14</v>
      </c>
      <c r="GW176" s="14">
        <f t="shared" si="188"/>
        <v>6.4086286045526829E-13</v>
      </c>
      <c r="GX176" s="22">
        <f t="shared" si="189"/>
        <v>1.1825802166488628E-12</v>
      </c>
      <c r="GY176" s="62">
        <f t="shared" si="137"/>
        <v>288.89331365274967</v>
      </c>
      <c r="GZ176" s="62">
        <f ca="1">AVERAGE(OFFSET($GY$3,0,0,'Données projet'!$E$18+1,1))-AVERAGE(OFFSET($H$3,0,0,'Données projet'!$E$18+1,1))</f>
        <v>273.21861937609918</v>
      </c>
      <c r="HA176" s="62">
        <f t="shared" si="160"/>
        <v>268.83004886965318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>
        <f>EXP(-LN(2)/35)*HG175+(1-EXP(-LN(2)/35))/(LN(2)/35)*HC176*HD176*VLOOKUP('Données projet'!$B$18,Paramètres!$A$1:$I$89,3,0)*0.475*44/12</f>
        <v>18.280379164179852</v>
      </c>
      <c r="HH176" s="23">
        <f>EXP(-LN(2)/25)*HH175+(1-EXP(-LN(2)/25))/(LN(2)/25)*Calculateur!HC176*Calculateur!HE176*VLOOKUP('Données projet'!$B$18,Paramètres!$A$1:$I$89,3,0)*0.475*44/12</f>
        <v>0</v>
      </c>
      <c r="HI176" s="23">
        <f>EXP(-LN(2)/2)*HI175+(1-EXP(-LN(2)/2))/(LN(2)/2)*HC176*HF176*VLOOKUP('Données projet'!$B$18,Paramètres!$A$1:$I$89,3,0)*0.475*44/12</f>
        <v>0</v>
      </c>
      <c r="HJ176" s="24">
        <f t="shared" si="190"/>
        <v>18.280379164179852</v>
      </c>
    </row>
    <row r="177" spans="1:218" x14ac:dyDescent="0.4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3.3333333333333335</v>
      </c>
      <c r="N177" s="14">
        <f>IF('Données projet'!$A$36&gt;35,N176+M177-V176,IF(A177&lt;'Données projet'!$A$36,$K$205^A177,IF(A177='Données projet'!$A$36,'Données projet'!$B$36,N176+M177-V176)))</f>
        <v>202.58823529411751</v>
      </c>
      <c r="O177" s="14">
        <f>N177*VLOOKUP('Données projet'!$B$9,Paramètres!$A$1:$I$89,3,0)*VLOOKUP('Données projet'!$B$9,Paramètres!$A$1:$I$89,5,0)</f>
        <v>183.30183529411752</v>
      </c>
      <c r="P177" s="14">
        <f t="shared" si="141"/>
        <v>46.056004737442407</v>
      </c>
      <c r="Q177" s="22">
        <f t="shared" si="162"/>
        <v>399.4649047216335</v>
      </c>
      <c r="R177" s="62">
        <f t="shared" si="109"/>
        <v>688.43524278944324</v>
      </c>
      <c r="S177" s="62">
        <f ca="1">AVERAGE(OFFSET($R$3,0,0,'Données projet'!$E$9+1,1))-AVERAGE(OFFSET($H$3,0,0,'Données projet'!$E$9+1,1))</f>
        <v>432.80275651765203</v>
      </c>
      <c r="T177" s="62">
        <f t="shared" si="142"/>
        <v>203.89279893419919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30.527641652048043</v>
      </c>
      <c r="AA177" s="23">
        <f>EXP(-LN(2)/25)*AA176+(1-EXP(-LN(2)/25))/(LN(2)/25)*Calculateur!V177*Calculateur!X177*VLOOKUP('Données projet'!$B$9,Paramètres!$A$1:$I$89,3,0)*0.475*44/12</f>
        <v>18.144111761739246</v>
      </c>
      <c r="AB177" s="23">
        <f>EXP(-LN(2)/2)*AB176+(1-EXP(-LN(2)/2))/(LN(2)/2)*V177*Y177*VLOOKUP('Données projet'!$B$9,Paramètres!$A$1:$I$89,3,0)*0.475*44/12</f>
        <v>0</v>
      </c>
      <c r="AC177" s="24">
        <f t="shared" si="163"/>
        <v>48.671753413787286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54.000000000000341</v>
      </c>
      <c r="AJ177" s="14">
        <f>AI177*VLOOKUP('Données projet'!$B$10,Paramètres!$A$1:$I$89,3,0)*VLOOKUP('Données projet'!$B$10,Paramètres!$A$1:$I$89,5,0)</f>
        <v>23.868000000000151</v>
      </c>
      <c r="AK177" s="14">
        <f t="shared" si="164"/>
        <v>7.6030930962115804</v>
      </c>
      <c r="AL177" s="22">
        <f t="shared" si="165"/>
        <v>54.812153809235433</v>
      </c>
      <c r="AM177" s="62">
        <f t="shared" si="113"/>
        <v>343.78249187704517</v>
      </c>
      <c r="AN177" s="62">
        <f ca="1">AVERAGE(OFFSET($AM$3,0,0,'Données projet'!$E$10+1,1))-AVERAGE(OFFSET($H$3,0,0,'Données projet'!$E$10+1,1))</f>
        <v>413.08876898406481</v>
      </c>
      <c r="AO177" s="62">
        <f t="shared" si="144"/>
        <v>520.31320932826566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28.737336877140812</v>
      </c>
      <c r="AV177" s="23">
        <f>EXP(-LN(2)/25)*AV176+(1-EXP(-LN(2)/25))/(LN(2)/25)*Calculateur!AQ177*Calculateur!AS177*VLOOKUP('Données projet'!$B$10,Paramètres!$A$1:$I$89,3,0)*0.475*44/12</f>
        <v>0.85543076643365412</v>
      </c>
      <c r="AW177" s="23">
        <f>EXP(-LN(2)/2)*AW176+(1-EXP(-LN(2)/2))/(LN(2)/2)*AQ177*AT177*VLOOKUP('Données projet'!$B$10,Paramètres!$A$1:$I$89,3,0)*0.475*44/12</f>
        <v>1.5440723055472272E-19</v>
      </c>
      <c r="AX177" s="23">
        <f t="shared" si="166"/>
        <v>29.592767643574465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54.000000000000341</v>
      </c>
      <c r="BE177" s="14">
        <f>BD177*VLOOKUP('Données projet'!$B$11,Paramètres!$A$1:$I$89,3,0)*VLOOKUP('Données projet'!$B$11,Paramètres!$A$1:$I$89,5,0)</f>
        <v>30.186000000000188</v>
      </c>
      <c r="BF177" s="14">
        <f t="shared" si="167"/>
        <v>9.3563888882899153</v>
      </c>
      <c r="BG177" s="22">
        <f t="shared" si="168"/>
        <v>68.869660647105263</v>
      </c>
      <c r="BH177" s="62">
        <f t="shared" si="116"/>
        <v>357.839998714915</v>
      </c>
      <c r="BI177" s="62">
        <f ca="1">AVERAGE(OFFSET($BH$3,0,0,'Données projet'!$E$11+1,1))-AVERAGE(OFFSET($H$3,0,0,'Données projet'!$E$11+1,1))</f>
        <v>507.66185230065889</v>
      </c>
      <c r="BJ177" s="62">
        <f t="shared" si="146"/>
        <v>640.14375617778342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36.344278991678038</v>
      </c>
      <c r="BQ177" s="23">
        <f>EXP(-LN(2)/25)*BQ176+(1-EXP(-LN(2)/25))/(LN(2)/25)*Calculateur!BL177*Calculateur!BN177*VLOOKUP('Données projet'!$B$11,Paramètres!$A$1:$I$89,3,0)*0.475*44/12</f>
        <v>1.0818683222543282</v>
      </c>
      <c r="BR177" s="23">
        <f>EXP(-LN(2)/2)*BR176+(1-EXP(-LN(2)/2))/(LN(2)/2)*BL177*BO177*VLOOKUP('Données projet'!$B$11,Paramètres!$A$1:$I$89,3,0)*0.475*44/12</f>
        <v>1.9527973276038475E-19</v>
      </c>
      <c r="BS177" s="24">
        <f t="shared" si="169"/>
        <v>37.426147313932368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417.04879970000007</v>
      </c>
      <c r="BZ177" s="14">
        <f>BY177*VLOOKUP('Données projet'!$B$12,Paramètres!$A$1:$I$89,3,0)*VLOOKUP('Données projet'!$B$12,Paramètres!$A$1:$I$89,5,0)</f>
        <v>195.17883825960004</v>
      </c>
      <c r="CA177" s="14">
        <f t="shared" si="170"/>
        <v>48.683122291673484</v>
      </c>
      <c r="CB177" s="22">
        <f t="shared" si="171"/>
        <v>424.72624796013469</v>
      </c>
      <c r="CC177" s="62">
        <f t="shared" si="119"/>
        <v>713.69658602794448</v>
      </c>
      <c r="CD177" s="62">
        <f ca="1">AVERAGE(OFFSET($CC$3,0,0,'Données projet'!$E$12+1,1))-AVERAGE(OFFSET($H$3,0,0,'Données projet'!$E$12+1,1))</f>
        <v>289.21044803824958</v>
      </c>
      <c r="CE177" s="62">
        <f t="shared" si="148"/>
        <v>196.11836398299445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>
        <f>EXP(-LN(2)/35)*CK176+(1-EXP(-LN(2)/35))/(LN(2)/35)*CG177*CH177*VLOOKUP('Données projet'!$B$12,Paramètres!$A$1:$I$89,3,0)*0.475*44/12</f>
        <v>15.906781074132343</v>
      </c>
      <c r="CL177" s="23">
        <f>EXP(-LN(2)/25)*CL176+(1-EXP(-LN(2)/25))/(LN(2)/25)*Calculateur!CG177*Calculateur!CI177*VLOOKUP('Données projet'!$B$12,Paramètres!$A$1:$I$89,3,0)*0.475*44/12</f>
        <v>4.1200478971226975</v>
      </c>
      <c r="CM177" s="23">
        <f>EXP(-LN(2)/2)*CM176+(1-EXP(-LN(2)/2))/(LN(2)/2)*CG177*CJ177*VLOOKUP('Données projet'!$B$12,Paramètres!$A$1:$I$89,3,0)*0.475*44/12</f>
        <v>0</v>
      </c>
      <c r="CN177" s="24">
        <f t="shared" si="172"/>
        <v>20.026828971255043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-5.6843418860808015E-14</v>
      </c>
      <c r="CU177" s="18">
        <f>CT177*VLOOKUP('Données projet'!$B$13,Paramètres!$A$1:$I$89,3,0)*VLOOKUP('Données projet'!$B$13,Paramètres!$A$1:$I$89,5,0)</f>
        <v>-5.1431925385259088E-14</v>
      </c>
      <c r="CV177" s="14" t="e">
        <f t="shared" si="173"/>
        <v>#NUM!</v>
      </c>
      <c r="CW177" s="22" t="e">
        <f t="shared" si="174"/>
        <v>#NUM!</v>
      </c>
      <c r="CX177" s="62" t="e">
        <f t="shared" si="122"/>
        <v>#NUM!</v>
      </c>
      <c r="CY177" s="62">
        <f ca="1">AVERAGE(OFFSET($CX$3,0,0,'Données projet'!$E$13+1,1))-AVERAGE(OFFSET($H$3,0,0,'Données projet'!$E$13+1,1))</f>
        <v>376.68007030857598</v>
      </c>
      <c r="CZ177" s="62">
        <f t="shared" si="150"/>
        <v>532.90758914457626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>
        <f>EXP(-LN(2)/35)*DF176+(1-EXP(-LN(2)/35))/(LN(2)/35)*DB177*DC177*VLOOKUP('Données projet'!$B$13,Paramètres!$A$1:$I$89,3,0)*0.475*44/12</f>
        <v>7.2755360270590916</v>
      </c>
      <c r="DG177" s="23">
        <f>EXP(-LN(2)/25)*DG176+(1-EXP(-LN(2)/25))/(LN(2)/25)*Calculateur!DB177*Calculateur!DD177*VLOOKUP('Données projet'!$B$13,Paramètres!$A$1:$I$89,3,0)*0.475*44/12</f>
        <v>0.24173908098701563</v>
      </c>
      <c r="DH177" s="23">
        <f>EXP(-LN(2)/2)*DH176+(1-EXP(-LN(2)/2))/(LN(2)/2)*DB177*DE177*VLOOKUP('Données projet'!$B$13,Paramètres!$A$1:$I$89,3,0)*0.475*44/12</f>
        <v>0</v>
      </c>
      <c r="DI177" s="24">
        <f t="shared" si="175"/>
        <v>7.5172751080461069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5.6843418860808015E-14</v>
      </c>
      <c r="DP177" s="18">
        <f>DO177*VLOOKUP('Données projet'!$B$14,Paramètres!$A$1:$I$89,3,0)*VLOOKUP('Données projet'!$B$14,Paramètres!$A$1:$I$89,5,0)</f>
        <v>5.4092197387944907E-14</v>
      </c>
      <c r="DQ177" s="14">
        <f t="shared" si="176"/>
        <v>8.7287050538073676E-13</v>
      </c>
      <c r="DR177" s="22">
        <f t="shared" si="177"/>
        <v>1.6144600406554537E-12</v>
      </c>
      <c r="DS177" s="62">
        <f t="shared" si="125"/>
        <v>288.97033806781133</v>
      </c>
      <c r="DT177" s="62">
        <f ca="1">AVERAGE(OFFSET($DS$3,0,0,'Données projet'!$E$14+1,1))-AVERAGE(OFFSET($H$3,0,0,'Données projet'!$E$14+1,1))</f>
        <v>364.63161066507769</v>
      </c>
      <c r="DU177" s="62">
        <f t="shared" si="152"/>
        <v>355.44729904860708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>
        <f>EXP(-LN(2)/35)*EA176+(1-EXP(-LN(2)/35))/(LN(2)/35)*DW177*DX177*VLOOKUP('Données projet'!$B$14,Paramètres!$A$1:$I$89,3,0)*0.475*44/12</f>
        <v>20.627106354730909</v>
      </c>
      <c r="EB177" s="23">
        <f>EXP(-LN(2)/25)*EB176+(1-EXP(-LN(2)/25))/(LN(2)/25)*Calculateur!DW177*Calculateur!DY177*VLOOKUP('Données projet'!$B$14,Paramètres!$A$1:$I$89,3,0)*0.475*44/12</f>
        <v>0</v>
      </c>
      <c r="EC177" s="23">
        <f>EXP(-LN(2)/2)*EC176+(1-EXP(-LN(2)/2))/(LN(2)/2)*DW177*DZ177*VLOOKUP('Données projet'!$B$14,Paramètres!$A$1:$I$89,3,0)*0.475*44/12</f>
        <v>0</v>
      </c>
      <c r="ED177" s="24">
        <f t="shared" si="178"/>
        <v>20.627106354730909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5.6843418860808015E-14</v>
      </c>
      <c r="EK177" s="18">
        <f>EJ177*VLOOKUP('Données projet'!$B$15,Paramètres!$A$1:$I$89,3,0)*VLOOKUP('Données projet'!$B$15,Paramètres!$A$1:$I$89,5,0)</f>
        <v>4.1677594708744434E-14</v>
      </c>
      <c r="EL177" s="14">
        <f t="shared" si="179"/>
        <v>6.9326303456159188E-13</v>
      </c>
      <c r="EM177" s="22">
        <f t="shared" si="180"/>
        <v>1.2800215959791691E-12</v>
      </c>
      <c r="EN177" s="62">
        <f t="shared" si="128"/>
        <v>288.97033806781104</v>
      </c>
      <c r="EO177" s="62">
        <f ca="1">AVERAGE(OFFSET($EN$3,0,0,'Données projet'!$E$15+1,1))-AVERAGE(OFFSET($H$3,0,0,'Données projet'!$E$15+1,1))</f>
        <v>293.59366973965774</v>
      </c>
      <c r="EP177" s="62">
        <f t="shared" si="154"/>
        <v>288.13804536120426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>
        <f>EXP(-LN(2)/35)*EV176+(1-EXP(-LN(2)/35))/(LN(2)/35)*ER177*ES177*VLOOKUP('Données projet'!$B$15,Paramètres!$A$1:$I$89,3,0)*0.475*44/12</f>
        <v>15.8930163716779</v>
      </c>
      <c r="EW177" s="23">
        <f>EXP(-LN(2)/25)*EW176+(1-EXP(-LN(2)/25))/(LN(2)/25)*Calculateur!ER177*Calculateur!ET177*VLOOKUP('Données projet'!$B$15,Paramètres!$A$1:$I$89,3,0)*0.475*44/12</f>
        <v>0</v>
      </c>
      <c r="EX177" s="23">
        <f>EXP(-LN(2)/2)*EX176+(1-EXP(-LN(2)/2))/(LN(2)/2)*ER177*EU177*VLOOKUP('Données projet'!$B$15,Paramètres!$A$1:$I$89,3,0)*0.475*44/12</f>
        <v>0</v>
      </c>
      <c r="EY177" s="24">
        <f t="shared" si="181"/>
        <v>15.8930163716779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5.6843418860808015E-14</v>
      </c>
      <c r="FF177" s="18">
        <f>FE177*VLOOKUP('Données projet'!$B$16,Paramètres!$A$1:$I$89,3,0)*VLOOKUP('Données projet'!$B$16,Paramètres!$A$1:$I$89,5,0)</f>
        <v>5.4978954722173515E-14</v>
      </c>
      <c r="FG177" s="14">
        <f t="shared" si="182"/>
        <v>8.8550225887742724E-13</v>
      </c>
      <c r="FH177" s="22">
        <f t="shared" si="183"/>
        <v>1.6380047803526383E-12</v>
      </c>
      <c r="FI177" s="62">
        <f t="shared" si="131"/>
        <v>288.97033806781138</v>
      </c>
      <c r="FJ177" s="62">
        <f ca="1">AVERAGE(OFFSET($FI$3,0,0,'Données projet'!$E$16+1,1))-AVERAGE(OFFSET($H$3,0,0,'Données projet'!$E$16+1,1))</f>
        <v>369.69145521630799</v>
      </c>
      <c r="FK177" s="62">
        <f t="shared" si="156"/>
        <v>360.24112103688719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>
        <f>EXP(-LN(2)/35)*FQ176+(1-EXP(-LN(2)/35))/(LN(2)/35)*FM177*FN177*VLOOKUP('Données projet'!$B$16,Paramètres!$A$1:$I$89,3,0)*0.475*44/12</f>
        <v>20.965255639234687</v>
      </c>
      <c r="FR177" s="23">
        <f>EXP(-LN(2)/25)*FR176+(1-EXP(-LN(2)/25))/(LN(2)/25)*Calculateur!FM177*Calculateur!FO177*VLOOKUP('Données projet'!$B$16,Paramètres!$A$1:$I$89,3,0)*0.475*44/12</f>
        <v>0</v>
      </c>
      <c r="FS177" s="23">
        <f>EXP(-LN(2)/2)*FS176+(1-EXP(-LN(2)/2))/(LN(2)/2)*FM177*FP177*VLOOKUP('Données projet'!$B$16,Paramètres!$A$1:$I$89,3,0)*0.475*44/12</f>
        <v>0</v>
      </c>
      <c r="FT177" s="24">
        <f t="shared" si="184"/>
        <v>20.965255639234687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5.6843418860808015E-14</v>
      </c>
      <c r="GA177" s="18">
        <f>FZ177*VLOOKUP('Données projet'!$B$17,Paramètres!$A$1:$I$89,3,0)*VLOOKUP('Données projet'!$B$17,Paramètres!$A$1:$I$89,5,0)</f>
        <v>6.1186256061773749E-14</v>
      </c>
      <c r="GB177" s="14">
        <f t="shared" si="185"/>
        <v>9.7328366192051127E-13</v>
      </c>
      <c r="GC177" s="22">
        <f t="shared" si="186"/>
        <v>1.8017017738191463E-12</v>
      </c>
      <c r="GD177" s="62">
        <f t="shared" si="134"/>
        <v>288.97033806781155</v>
      </c>
      <c r="GE177" s="62">
        <f ca="1">AVERAGE(OFFSET($GD$3,0,0,'Données projet'!$E$17+1,1))-AVERAGE(OFFSET($H$3,0,0,'Données projet'!$E$17+1,1))</f>
        <v>405.06394904053946</v>
      </c>
      <c r="GF177" s="62">
        <f t="shared" si="158"/>
        <v>393.75247087518198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>
        <f>EXP(-LN(2)/35)*GL176+(1-EXP(-LN(2)/35))/(LN(2)/35)*GH177*GI177*VLOOKUP('Données projet'!$B$17,Paramètres!$A$1:$I$89,3,0)*0.475*44/12</f>
        <v>23.332300630761171</v>
      </c>
      <c r="GM177" s="23">
        <f>EXP(-LN(2)/25)*GM176+(1-EXP(-LN(2)/25))/(LN(2)/25)*Calculateur!GH177*Calculateur!GJ177*VLOOKUP('Données projet'!$B$17,Paramètres!$A$1:$I$89,3,0)*0.475*44/12</f>
        <v>0</v>
      </c>
      <c r="GN177" s="23">
        <f>EXP(-LN(2)/2)*GN176+(1-EXP(-LN(2)/2))/(LN(2)/2)*GH177*GK177*VLOOKUP('Données projet'!$B$17,Paramètres!$A$1:$I$89,3,0)*0.475*44/12</f>
        <v>0</v>
      </c>
      <c r="GO177" s="23">
        <f t="shared" si="187"/>
        <v>23.332300630761171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5.6843418860808015E-14</v>
      </c>
      <c r="GV177" s="18">
        <f>GU177*VLOOKUP('Données projet'!$B$18,Paramètres!$A$1:$I$89,3,0)*VLOOKUP('Données projet'!$B$18,Paramètres!$A$1:$I$89,5,0)</f>
        <v>3.813056537183002E-14</v>
      </c>
      <c r="GW177" s="14">
        <f t="shared" si="188"/>
        <v>6.4086286045526829E-13</v>
      </c>
      <c r="GX177" s="22">
        <f t="shared" si="189"/>
        <v>1.1825802166488628E-12</v>
      </c>
      <c r="GY177" s="62">
        <f t="shared" si="137"/>
        <v>288.97033806781093</v>
      </c>
      <c r="GZ177" s="62">
        <f ca="1">AVERAGE(OFFSET($GY$3,0,0,'Données projet'!$E$18+1,1))-AVERAGE(OFFSET($H$3,0,0,'Données projet'!$E$18+1,1))</f>
        <v>273.21861937609918</v>
      </c>
      <c r="HA177" s="62">
        <f t="shared" si="160"/>
        <v>268.83004886965318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>
        <f>EXP(-LN(2)/35)*HG176+(1-EXP(-LN(2)/35))/(LN(2)/35)*HC177*HD177*VLOOKUP('Données projet'!$B$18,Paramètres!$A$1:$I$89,3,0)*0.475*44/12</f>
        <v>17.921912078700611</v>
      </c>
      <c r="HH177" s="23">
        <f>EXP(-LN(2)/25)*HH176+(1-EXP(-LN(2)/25))/(LN(2)/25)*Calculateur!HC177*Calculateur!HE177*VLOOKUP('Données projet'!$B$18,Paramètres!$A$1:$I$89,3,0)*0.475*44/12</f>
        <v>0</v>
      </c>
      <c r="HI177" s="23">
        <f>EXP(-LN(2)/2)*HI176+(1-EXP(-LN(2)/2))/(LN(2)/2)*HC177*HF177*VLOOKUP('Données projet'!$B$18,Paramètres!$A$1:$I$89,3,0)*0.475*44/12</f>
        <v>0</v>
      </c>
      <c r="HJ177" s="24">
        <f t="shared" si="190"/>
        <v>17.921912078700611</v>
      </c>
    </row>
    <row r="178" spans="1:218" x14ac:dyDescent="0.4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3.3333333333333335</v>
      </c>
      <c r="N178" s="14">
        <f>IF('Données projet'!$A$36&gt;35,N177+M178-V177,IF(A178&lt;'Données projet'!$A$36,$K$205^A178,IF(A178='Données projet'!$A$36,'Données projet'!$B$36,N177+M178-V177)))</f>
        <v>205.92156862745085</v>
      </c>
      <c r="O178" s="14">
        <f>N178*VLOOKUP('Données projet'!$B$9,Paramètres!$A$1:$I$89,3,0)*VLOOKUP('Données projet'!$B$9,Paramètres!$A$1:$I$89,5,0)</f>
        <v>186.31783529411751</v>
      </c>
      <c r="P178" s="14">
        <f t="shared" si="141"/>
        <v>46.724953625586231</v>
      </c>
      <c r="Q178" s="22">
        <f t="shared" si="162"/>
        <v>405.88285736848405</v>
      </c>
      <c r="R178" s="62">
        <f t="shared" si="109"/>
        <v>694.92888364995451</v>
      </c>
      <c r="S178" s="62">
        <f ca="1">AVERAGE(OFFSET($R$3,0,0,'Données projet'!$E$9+1,1))-AVERAGE(OFFSET($H$3,0,0,'Données projet'!$E$9+1,1))</f>
        <v>432.80275651765203</v>
      </c>
      <c r="T178" s="62">
        <f t="shared" si="142"/>
        <v>203.89279893419919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29.929013219274214</v>
      </c>
      <c r="AA178" s="23">
        <f>EXP(-LN(2)/25)*AA177+(1-EXP(-LN(2)/25))/(LN(2)/25)*Calculateur!V178*Calculateur!X178*VLOOKUP('Données projet'!$B$9,Paramètres!$A$1:$I$89,3,0)*0.475*44/12</f>
        <v>17.647960071457117</v>
      </c>
      <c r="AB178" s="23">
        <f>EXP(-LN(2)/2)*AB177+(1-EXP(-LN(2)/2))/(LN(2)/2)*V178*Y178*VLOOKUP('Données projet'!$B$9,Paramètres!$A$1:$I$89,3,0)*0.475*44/12</f>
        <v>0</v>
      </c>
      <c r="AC178" s="24">
        <f t="shared" si="163"/>
        <v>47.576973290731331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54.000000000000341</v>
      </c>
      <c r="AJ178" s="14">
        <f>AI178*VLOOKUP('Données projet'!$B$10,Paramètres!$A$1:$I$89,3,0)*VLOOKUP('Données projet'!$B$10,Paramètres!$A$1:$I$89,5,0)</f>
        <v>23.868000000000151</v>
      </c>
      <c r="AK178" s="14">
        <f t="shared" si="164"/>
        <v>7.6030930962115804</v>
      </c>
      <c r="AL178" s="22">
        <f t="shared" si="165"/>
        <v>54.812153809235433</v>
      </c>
      <c r="AM178" s="62">
        <f t="shared" si="113"/>
        <v>343.85818009070584</v>
      </c>
      <c r="AN178" s="62">
        <f ca="1">AVERAGE(OFFSET($AM$3,0,0,'Données projet'!$E$10+1,1))-AVERAGE(OFFSET($H$3,0,0,'Données projet'!$E$10+1,1))</f>
        <v>413.08876898406481</v>
      </c>
      <c r="AO178" s="62">
        <f t="shared" si="144"/>
        <v>520.31320932826566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28.173815229024825</v>
      </c>
      <c r="AV178" s="23">
        <f>EXP(-LN(2)/25)*AV177+(1-EXP(-LN(2)/25))/(LN(2)/25)*Calculateur!AQ178*Calculateur!AS178*VLOOKUP('Données projet'!$B$10,Paramètres!$A$1:$I$89,3,0)*0.475*44/12</f>
        <v>0.83203896714037695</v>
      </c>
      <c r="AW178" s="23">
        <f>EXP(-LN(2)/2)*AW177+(1-EXP(-LN(2)/2))/(LN(2)/2)*AQ178*AT178*VLOOKUP('Données projet'!$B$10,Paramètres!$A$1:$I$89,3,0)*0.475*44/12</f>
        <v>1.0918239978947911E-19</v>
      </c>
      <c r="AX178" s="23">
        <f t="shared" si="166"/>
        <v>29.005854196165203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54.000000000000341</v>
      </c>
      <c r="BE178" s="14">
        <f>BD178*VLOOKUP('Données projet'!$B$11,Paramètres!$A$1:$I$89,3,0)*VLOOKUP('Données projet'!$B$11,Paramètres!$A$1:$I$89,5,0)</f>
        <v>30.186000000000188</v>
      </c>
      <c r="BF178" s="14">
        <f t="shared" si="167"/>
        <v>9.3563888882899153</v>
      </c>
      <c r="BG178" s="22">
        <f t="shared" si="168"/>
        <v>68.869660647105263</v>
      </c>
      <c r="BH178" s="62">
        <f t="shared" si="116"/>
        <v>357.91568692857567</v>
      </c>
      <c r="BI178" s="62">
        <f ca="1">AVERAGE(OFFSET($BH$3,0,0,'Données projet'!$E$11+1,1))-AVERAGE(OFFSET($H$3,0,0,'Données projet'!$E$11+1,1))</f>
        <v>507.66185230065889</v>
      </c>
      <c r="BJ178" s="62">
        <f t="shared" si="146"/>
        <v>640.14375617778342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35.63158984847253</v>
      </c>
      <c r="BQ178" s="23">
        <f>EXP(-LN(2)/25)*BQ177+(1-EXP(-LN(2)/25))/(LN(2)/25)*Calculateur!BL178*Calculateur!BN178*VLOOKUP('Données projet'!$B$11,Paramètres!$A$1:$I$89,3,0)*0.475*44/12</f>
        <v>1.0522845760893011</v>
      </c>
      <c r="BR178" s="23">
        <f>EXP(-LN(2)/2)*BR177+(1-EXP(-LN(2)/2))/(LN(2)/2)*BL178*BO178*VLOOKUP('Données projet'!$B$11,Paramètres!$A$1:$I$89,3,0)*0.475*44/12</f>
        <v>1.3808362326316485E-19</v>
      </c>
      <c r="BS178" s="24">
        <f t="shared" si="169"/>
        <v>36.683874424561829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417.04879970000007</v>
      </c>
      <c r="BZ178" s="14">
        <f>BY178*VLOOKUP('Données projet'!$B$12,Paramètres!$A$1:$I$89,3,0)*VLOOKUP('Données projet'!$B$12,Paramètres!$A$1:$I$89,5,0)</f>
        <v>195.17883825960004</v>
      </c>
      <c r="CA178" s="14">
        <f t="shared" si="170"/>
        <v>48.683122291673484</v>
      </c>
      <c r="CB178" s="22">
        <f t="shared" si="171"/>
        <v>424.72624796013469</v>
      </c>
      <c r="CC178" s="62">
        <f t="shared" si="119"/>
        <v>713.77227424160515</v>
      </c>
      <c r="CD178" s="62">
        <f ca="1">AVERAGE(OFFSET($CC$3,0,0,'Données projet'!$E$12+1,1))-AVERAGE(OFFSET($H$3,0,0,'Données projet'!$E$12+1,1))</f>
        <v>289.21044803824958</v>
      </c>
      <c r="CE178" s="62">
        <f t="shared" si="148"/>
        <v>196.11836398299445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>
        <f>EXP(-LN(2)/35)*CK177+(1-EXP(-LN(2)/35))/(LN(2)/35)*CG178*CH178*VLOOKUP('Données projet'!$B$12,Paramètres!$A$1:$I$89,3,0)*0.475*44/12</f>
        <v>15.594858799447053</v>
      </c>
      <c r="CL178" s="23">
        <f>EXP(-LN(2)/25)*CL177+(1-EXP(-LN(2)/25))/(LN(2)/25)*Calculateur!CG178*Calculateur!CI178*VLOOKUP('Données projet'!$B$12,Paramètres!$A$1:$I$89,3,0)*0.475*44/12</f>
        <v>4.0073849707119749</v>
      </c>
      <c r="CM178" s="23">
        <f>EXP(-LN(2)/2)*CM177+(1-EXP(-LN(2)/2))/(LN(2)/2)*CG178*CJ178*VLOOKUP('Données projet'!$B$12,Paramètres!$A$1:$I$89,3,0)*0.475*44/12</f>
        <v>0</v>
      </c>
      <c r="CN178" s="24">
        <f t="shared" si="172"/>
        <v>19.602243770159028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-5.6843418860808015E-14</v>
      </c>
      <c r="CU178" s="18">
        <f>CT178*VLOOKUP('Données projet'!$B$13,Paramètres!$A$1:$I$89,3,0)*VLOOKUP('Données projet'!$B$13,Paramètres!$A$1:$I$89,5,0)</f>
        <v>-5.1431925385259088E-14</v>
      </c>
      <c r="CV178" s="14" t="e">
        <f t="shared" si="173"/>
        <v>#NUM!</v>
      </c>
      <c r="CW178" s="22" t="e">
        <f t="shared" si="174"/>
        <v>#NUM!</v>
      </c>
      <c r="CX178" s="62" t="e">
        <f t="shared" si="122"/>
        <v>#NUM!</v>
      </c>
      <c r="CY178" s="62">
        <f ca="1">AVERAGE(OFFSET($CX$3,0,0,'Données projet'!$E$13+1,1))-AVERAGE(OFFSET($H$3,0,0,'Données projet'!$E$13+1,1))</f>
        <v>376.68007030857598</v>
      </c>
      <c r="CZ178" s="62">
        <f t="shared" si="150"/>
        <v>532.90758914457626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>
        <f>EXP(-LN(2)/35)*DF177+(1-EXP(-LN(2)/35))/(LN(2)/35)*DB178*DC178*VLOOKUP('Données projet'!$B$13,Paramètres!$A$1:$I$89,3,0)*0.475*44/12</f>
        <v>7.1328672032072591</v>
      </c>
      <c r="DG178" s="23">
        <f>EXP(-LN(2)/25)*DG177+(1-EXP(-LN(2)/25))/(LN(2)/25)*Calculateur!DB178*Calculateur!DD178*VLOOKUP('Données projet'!$B$13,Paramètres!$A$1:$I$89,3,0)*0.475*44/12</f>
        <v>0.23512871310491992</v>
      </c>
      <c r="DH178" s="23">
        <f>EXP(-LN(2)/2)*DH177+(1-EXP(-LN(2)/2))/(LN(2)/2)*DB178*DE178*VLOOKUP('Données projet'!$B$13,Paramètres!$A$1:$I$89,3,0)*0.475*44/12</f>
        <v>0</v>
      </c>
      <c r="DI178" s="24">
        <f t="shared" si="175"/>
        <v>7.3679959163121787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5.6843418860808015E-14</v>
      </c>
      <c r="DP178" s="18">
        <f>DO178*VLOOKUP('Données projet'!$B$14,Paramètres!$A$1:$I$89,3,0)*VLOOKUP('Données projet'!$B$14,Paramètres!$A$1:$I$89,5,0)</f>
        <v>5.4092197387944907E-14</v>
      </c>
      <c r="DQ178" s="14">
        <f t="shared" si="176"/>
        <v>8.7287050538073676E-13</v>
      </c>
      <c r="DR178" s="22">
        <f t="shared" si="177"/>
        <v>1.6144600406554537E-12</v>
      </c>
      <c r="DS178" s="62">
        <f t="shared" si="125"/>
        <v>289.046026281472</v>
      </c>
      <c r="DT178" s="62">
        <f ca="1">AVERAGE(OFFSET($DS$3,0,0,'Données projet'!$E$14+1,1))-AVERAGE(OFFSET($H$3,0,0,'Données projet'!$E$14+1,1))</f>
        <v>364.63161066507769</v>
      </c>
      <c r="DU178" s="62">
        <f t="shared" si="152"/>
        <v>355.44729904860708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>
        <f>EXP(-LN(2)/35)*EA177+(1-EXP(-LN(2)/35))/(LN(2)/35)*DW178*DX178*VLOOKUP('Données projet'!$B$14,Paramètres!$A$1:$I$89,3,0)*0.475*44/12</f>
        <v>20.222621380407212</v>
      </c>
      <c r="EB178" s="23">
        <f>EXP(-LN(2)/25)*EB177+(1-EXP(-LN(2)/25))/(LN(2)/25)*Calculateur!DW178*Calculateur!DY178*VLOOKUP('Données projet'!$B$14,Paramètres!$A$1:$I$89,3,0)*0.475*44/12</f>
        <v>0</v>
      </c>
      <c r="EC178" s="23">
        <f>EXP(-LN(2)/2)*EC177+(1-EXP(-LN(2)/2))/(LN(2)/2)*DW178*DZ178*VLOOKUP('Données projet'!$B$14,Paramètres!$A$1:$I$89,3,0)*0.475*44/12</f>
        <v>0</v>
      </c>
      <c r="ED178" s="24">
        <f t="shared" si="178"/>
        <v>20.222621380407212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5.6843418860808015E-14</v>
      </c>
      <c r="EK178" s="18">
        <f>EJ178*VLOOKUP('Données projet'!$B$15,Paramètres!$A$1:$I$89,3,0)*VLOOKUP('Données projet'!$B$15,Paramètres!$A$1:$I$89,5,0)</f>
        <v>4.1677594708744434E-14</v>
      </c>
      <c r="EL178" s="14">
        <f t="shared" si="179"/>
        <v>6.9326303456159188E-13</v>
      </c>
      <c r="EM178" s="22">
        <f t="shared" si="180"/>
        <v>1.2800215959791691E-12</v>
      </c>
      <c r="EN178" s="62">
        <f t="shared" si="128"/>
        <v>289.04602628147171</v>
      </c>
      <c r="EO178" s="62">
        <f ca="1">AVERAGE(OFFSET($EN$3,0,0,'Données projet'!$E$15+1,1))-AVERAGE(OFFSET($H$3,0,0,'Données projet'!$E$15+1,1))</f>
        <v>293.59366973965774</v>
      </c>
      <c r="EP178" s="62">
        <f t="shared" si="154"/>
        <v>288.13804536120426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>
        <f>EXP(-LN(2)/35)*EV177+(1-EXP(-LN(2)/35))/(LN(2)/35)*ER178*ES178*VLOOKUP('Données projet'!$B$15,Paramètres!$A$1:$I$89,3,0)*0.475*44/12</f>
        <v>15.581364014412102</v>
      </c>
      <c r="EW178" s="23">
        <f>EXP(-LN(2)/25)*EW177+(1-EXP(-LN(2)/25))/(LN(2)/25)*Calculateur!ER178*Calculateur!ET178*VLOOKUP('Données projet'!$B$15,Paramètres!$A$1:$I$89,3,0)*0.475*44/12</f>
        <v>0</v>
      </c>
      <c r="EX178" s="23">
        <f>EXP(-LN(2)/2)*EX177+(1-EXP(-LN(2)/2))/(LN(2)/2)*ER178*EU178*VLOOKUP('Données projet'!$B$15,Paramètres!$A$1:$I$89,3,0)*0.475*44/12</f>
        <v>0</v>
      </c>
      <c r="EY178" s="24">
        <f t="shared" si="181"/>
        <v>15.581364014412102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5.6843418860808015E-14</v>
      </c>
      <c r="FF178" s="18">
        <f>FE178*VLOOKUP('Données projet'!$B$16,Paramètres!$A$1:$I$89,3,0)*VLOOKUP('Données projet'!$B$16,Paramètres!$A$1:$I$89,5,0)</f>
        <v>5.4978954722173515E-14</v>
      </c>
      <c r="FG178" s="14">
        <f t="shared" si="182"/>
        <v>8.8550225887742724E-13</v>
      </c>
      <c r="FH178" s="22">
        <f t="shared" si="183"/>
        <v>1.6380047803526383E-12</v>
      </c>
      <c r="FI178" s="62">
        <f t="shared" si="131"/>
        <v>289.04602628147205</v>
      </c>
      <c r="FJ178" s="62">
        <f ca="1">AVERAGE(OFFSET($FI$3,0,0,'Données projet'!$E$16+1,1))-AVERAGE(OFFSET($H$3,0,0,'Données projet'!$E$16+1,1))</f>
        <v>369.69145521630799</v>
      </c>
      <c r="FK178" s="62">
        <f t="shared" si="156"/>
        <v>360.24112103688719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>
        <f>EXP(-LN(2)/35)*FQ177+(1-EXP(-LN(2)/35))/(LN(2)/35)*FM178*FN178*VLOOKUP('Données projet'!$B$16,Paramètres!$A$1:$I$89,3,0)*0.475*44/12</f>
        <v>20.554139763692572</v>
      </c>
      <c r="FR178" s="23">
        <f>EXP(-LN(2)/25)*FR177+(1-EXP(-LN(2)/25))/(LN(2)/25)*Calculateur!FM178*Calculateur!FO178*VLOOKUP('Données projet'!$B$16,Paramètres!$A$1:$I$89,3,0)*0.475*44/12</f>
        <v>0</v>
      </c>
      <c r="FS178" s="23">
        <f>EXP(-LN(2)/2)*FS177+(1-EXP(-LN(2)/2))/(LN(2)/2)*FM178*FP178*VLOOKUP('Données projet'!$B$16,Paramètres!$A$1:$I$89,3,0)*0.475*44/12</f>
        <v>0</v>
      </c>
      <c r="FT178" s="24">
        <f t="shared" si="184"/>
        <v>20.554139763692572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5.6843418860808015E-14</v>
      </c>
      <c r="GA178" s="18">
        <f>FZ178*VLOOKUP('Données projet'!$B$17,Paramètres!$A$1:$I$89,3,0)*VLOOKUP('Données projet'!$B$17,Paramètres!$A$1:$I$89,5,0)</f>
        <v>6.1186256061773749E-14</v>
      </c>
      <c r="GB178" s="14">
        <f t="shared" si="185"/>
        <v>9.7328366192051127E-13</v>
      </c>
      <c r="GC178" s="22">
        <f t="shared" si="186"/>
        <v>1.8017017738191463E-12</v>
      </c>
      <c r="GD178" s="62">
        <f t="shared" si="134"/>
        <v>289.04602628147222</v>
      </c>
      <c r="GE178" s="62">
        <f ca="1">AVERAGE(OFFSET($GD$3,0,0,'Données projet'!$E$17+1,1))-AVERAGE(OFFSET($H$3,0,0,'Données projet'!$E$17+1,1))</f>
        <v>405.06394904053946</v>
      </c>
      <c r="GF178" s="62">
        <f t="shared" si="158"/>
        <v>393.75247087518198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>
        <f>EXP(-LN(2)/35)*GL177+(1-EXP(-LN(2)/35))/(LN(2)/35)*GH178*GI178*VLOOKUP('Données projet'!$B$17,Paramètres!$A$1:$I$89,3,0)*0.475*44/12</f>
        <v>22.874768446690105</v>
      </c>
      <c r="GM178" s="23">
        <f>EXP(-LN(2)/25)*GM177+(1-EXP(-LN(2)/25))/(LN(2)/25)*Calculateur!GH178*Calculateur!GJ178*VLOOKUP('Données projet'!$B$17,Paramètres!$A$1:$I$89,3,0)*0.475*44/12</f>
        <v>0</v>
      </c>
      <c r="GN178" s="23">
        <f>EXP(-LN(2)/2)*GN177+(1-EXP(-LN(2)/2))/(LN(2)/2)*GH178*GK178*VLOOKUP('Données projet'!$B$17,Paramètres!$A$1:$I$89,3,0)*0.475*44/12</f>
        <v>0</v>
      </c>
      <c r="GO178" s="23">
        <f t="shared" si="187"/>
        <v>22.874768446690105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5.6843418860808015E-14</v>
      </c>
      <c r="GV178" s="18">
        <f>GU178*VLOOKUP('Données projet'!$B$18,Paramètres!$A$1:$I$89,3,0)*VLOOKUP('Données projet'!$B$18,Paramètres!$A$1:$I$89,5,0)</f>
        <v>3.813056537183002E-14</v>
      </c>
      <c r="GW178" s="14">
        <f t="shared" si="188"/>
        <v>6.4086286045526829E-13</v>
      </c>
      <c r="GX178" s="22">
        <f t="shared" si="189"/>
        <v>1.1825802166488628E-12</v>
      </c>
      <c r="GY178" s="62">
        <f t="shared" si="137"/>
        <v>289.0460262814716</v>
      </c>
      <c r="GZ178" s="62">
        <f ca="1">AVERAGE(OFFSET($GY$3,0,0,'Données projet'!$E$18+1,1))-AVERAGE(OFFSET($H$3,0,0,'Données projet'!$E$18+1,1))</f>
        <v>273.21861937609918</v>
      </c>
      <c r="HA178" s="62">
        <f t="shared" si="160"/>
        <v>268.83004886965318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>
        <f>EXP(-LN(2)/35)*HG177+(1-EXP(-LN(2)/35))/(LN(2)/35)*HC178*HD178*VLOOKUP('Données projet'!$B$18,Paramètres!$A$1:$I$89,3,0)*0.475*44/12</f>
        <v>17.570474314124287</v>
      </c>
      <c r="HH178" s="23">
        <f>EXP(-LN(2)/25)*HH177+(1-EXP(-LN(2)/25))/(LN(2)/25)*Calculateur!HC178*Calculateur!HE178*VLOOKUP('Données projet'!$B$18,Paramètres!$A$1:$I$89,3,0)*0.475*44/12</f>
        <v>0</v>
      </c>
      <c r="HI178" s="23">
        <f>EXP(-LN(2)/2)*HI177+(1-EXP(-LN(2)/2))/(LN(2)/2)*HC178*HF178*VLOOKUP('Données projet'!$B$18,Paramètres!$A$1:$I$89,3,0)*0.475*44/12</f>
        <v>0</v>
      </c>
      <c r="HJ178" s="24">
        <f t="shared" si="190"/>
        <v>17.570474314124287</v>
      </c>
    </row>
    <row r="179" spans="1:218" x14ac:dyDescent="0.4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3.3333333333333335</v>
      </c>
      <c r="N179" s="14">
        <f>IF('Données projet'!$A$36&gt;35,N178+M179-V178,IF(A179&lt;'Données projet'!$A$36,$K$205^A179,IF(A179='Données projet'!$A$36,'Données projet'!$B$36,N178+M179-V178)))</f>
        <v>209.2549019607842</v>
      </c>
      <c r="O179" s="14">
        <f>N179*VLOOKUP('Données projet'!$B$9,Paramètres!$A$1:$I$89,3,0)*VLOOKUP('Données projet'!$B$9,Paramètres!$A$1:$I$89,5,0)</f>
        <v>189.33383529411753</v>
      </c>
      <c r="P179" s="14">
        <f t="shared" si="141"/>
        <v>47.392643200430875</v>
      </c>
      <c r="Q179" s="22">
        <f t="shared" si="162"/>
        <v>412.29861671133852</v>
      </c>
      <c r="R179" s="62">
        <f t="shared" si="109"/>
        <v>701.41901818517613</v>
      </c>
      <c r="S179" s="62">
        <f ca="1">AVERAGE(OFFSET($R$3,0,0,'Données projet'!$E$9+1,1))-AVERAGE(OFFSET($H$3,0,0,'Données projet'!$E$9+1,1))</f>
        <v>432.80275651765203</v>
      </c>
      <c r="T179" s="62">
        <f t="shared" si="142"/>
        <v>203.89279893419919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29.34212352493979</v>
      </c>
      <c r="AA179" s="23">
        <f>EXP(-LN(2)/25)*AA178+(1-EXP(-LN(2)/25))/(LN(2)/25)*Calculateur!V179*Calculateur!X179*VLOOKUP('Données projet'!$B$9,Paramètres!$A$1:$I$89,3,0)*0.475*44/12</f>
        <v>17.165375675237236</v>
      </c>
      <c r="AB179" s="23">
        <f>EXP(-LN(2)/2)*AB178+(1-EXP(-LN(2)/2))/(LN(2)/2)*V179*Y179*VLOOKUP('Données projet'!$B$9,Paramètres!$A$1:$I$89,3,0)*0.475*44/12</f>
        <v>0</v>
      </c>
      <c r="AC179" s="24">
        <f t="shared" si="163"/>
        <v>46.507499200177023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54.000000000000341</v>
      </c>
      <c r="AJ179" s="14">
        <f>AI179*VLOOKUP('Données projet'!$B$10,Paramètres!$A$1:$I$89,3,0)*VLOOKUP('Données projet'!$B$10,Paramètres!$A$1:$I$89,5,0)</f>
        <v>23.868000000000151</v>
      </c>
      <c r="AK179" s="14">
        <f t="shared" si="164"/>
        <v>7.6030930962115804</v>
      </c>
      <c r="AL179" s="22">
        <f t="shared" si="165"/>
        <v>54.812153809235433</v>
      </c>
      <c r="AM179" s="62">
        <f t="shared" si="113"/>
        <v>343.93255528307304</v>
      </c>
      <c r="AN179" s="62">
        <f ca="1">AVERAGE(OFFSET($AM$3,0,0,'Données projet'!$E$10+1,1))-AVERAGE(OFFSET($H$3,0,0,'Données projet'!$E$10+1,1))</f>
        <v>413.08876898406481</v>
      </c>
      <c r="AO179" s="62">
        <f t="shared" si="144"/>
        <v>520.31320932826566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27.621343896714126</v>
      </c>
      <c r="AV179" s="23">
        <f>EXP(-LN(2)/25)*AV178+(1-EXP(-LN(2)/25))/(LN(2)/25)*Calculateur!AQ179*Calculateur!AS179*VLOOKUP('Données projet'!$B$10,Paramètres!$A$1:$I$89,3,0)*0.475*44/12</f>
        <v>0.80928681782889567</v>
      </c>
      <c r="AW179" s="23">
        <f>EXP(-LN(2)/2)*AW178+(1-EXP(-LN(2)/2))/(LN(2)/2)*AQ179*AT179*VLOOKUP('Données projet'!$B$10,Paramètres!$A$1:$I$89,3,0)*0.475*44/12</f>
        <v>7.720361527736136E-20</v>
      </c>
      <c r="AX179" s="23">
        <f t="shared" si="166"/>
        <v>28.430630714543021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54.000000000000341</v>
      </c>
      <c r="BE179" s="14">
        <f>BD179*VLOOKUP('Données projet'!$B$11,Paramètres!$A$1:$I$89,3,0)*VLOOKUP('Données projet'!$B$11,Paramètres!$A$1:$I$89,5,0)</f>
        <v>30.186000000000188</v>
      </c>
      <c r="BF179" s="14">
        <f t="shared" si="167"/>
        <v>9.3563888882899153</v>
      </c>
      <c r="BG179" s="22">
        <f t="shared" si="168"/>
        <v>68.869660647105263</v>
      </c>
      <c r="BH179" s="62">
        <f t="shared" si="116"/>
        <v>357.99006212094287</v>
      </c>
      <c r="BI179" s="62">
        <f ca="1">AVERAGE(OFFSET($BH$3,0,0,'Données projet'!$E$11+1,1))-AVERAGE(OFFSET($H$3,0,0,'Données projet'!$E$11+1,1))</f>
        <v>507.66185230065889</v>
      </c>
      <c r="BJ179" s="62">
        <f t="shared" si="146"/>
        <v>640.14375617778342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34.93287610466782</v>
      </c>
      <c r="BQ179" s="23">
        <f>EXP(-LN(2)/25)*BQ178+(1-EXP(-LN(2)/25))/(LN(2)/25)*Calculateur!BL179*Calculateur!BN179*VLOOKUP('Données projet'!$B$11,Paramètres!$A$1:$I$89,3,0)*0.475*44/12</f>
        <v>1.0235097990188984</v>
      </c>
      <c r="BR179" s="23">
        <f>EXP(-LN(2)/2)*BR178+(1-EXP(-LN(2)/2))/(LN(2)/2)*BL179*BO179*VLOOKUP('Données projet'!$B$11,Paramètres!$A$1:$I$89,3,0)*0.475*44/12</f>
        <v>9.7639866380192373E-20</v>
      </c>
      <c r="BS179" s="24">
        <f t="shared" si="169"/>
        <v>35.956385903686716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417.04879970000007</v>
      </c>
      <c r="BZ179" s="14">
        <f>BY179*VLOOKUP('Données projet'!$B$12,Paramètres!$A$1:$I$89,3,0)*VLOOKUP('Données projet'!$B$12,Paramètres!$A$1:$I$89,5,0)</f>
        <v>195.17883825960004</v>
      </c>
      <c r="CA179" s="14">
        <f t="shared" si="170"/>
        <v>48.683122291673484</v>
      </c>
      <c r="CB179" s="22">
        <f t="shared" si="171"/>
        <v>424.72624796013469</v>
      </c>
      <c r="CC179" s="62">
        <f t="shared" si="119"/>
        <v>713.84664943397229</v>
      </c>
      <c r="CD179" s="62">
        <f ca="1">AVERAGE(OFFSET($CC$3,0,0,'Données projet'!$E$12+1,1))-AVERAGE(OFFSET($H$3,0,0,'Données projet'!$E$12+1,1))</f>
        <v>289.21044803824958</v>
      </c>
      <c r="CE179" s="62">
        <f t="shared" si="148"/>
        <v>196.11836398299445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>
        <f>EXP(-LN(2)/35)*CK178+(1-EXP(-LN(2)/35))/(LN(2)/35)*CG179*CH179*VLOOKUP('Données projet'!$B$12,Paramètres!$A$1:$I$89,3,0)*0.475*44/12</f>
        <v>15.289053130314539</v>
      </c>
      <c r="CL179" s="23">
        <f>EXP(-LN(2)/25)*CL178+(1-EXP(-LN(2)/25))/(LN(2)/25)*Calculateur!CG179*Calculateur!CI179*VLOOKUP('Données projet'!$B$12,Paramètres!$A$1:$I$89,3,0)*0.475*44/12</f>
        <v>3.8978028179486395</v>
      </c>
      <c r="CM179" s="23">
        <f>EXP(-LN(2)/2)*CM178+(1-EXP(-LN(2)/2))/(LN(2)/2)*CG179*CJ179*VLOOKUP('Données projet'!$B$12,Paramètres!$A$1:$I$89,3,0)*0.475*44/12</f>
        <v>0</v>
      </c>
      <c r="CN179" s="24">
        <f t="shared" si="172"/>
        <v>19.18685594826318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-5.6843418860808015E-14</v>
      </c>
      <c r="CU179" s="18">
        <f>CT179*VLOOKUP('Données projet'!$B$13,Paramètres!$A$1:$I$89,3,0)*VLOOKUP('Données projet'!$B$13,Paramètres!$A$1:$I$89,5,0)</f>
        <v>-5.1431925385259088E-14</v>
      </c>
      <c r="CV179" s="14" t="e">
        <f t="shared" si="173"/>
        <v>#NUM!</v>
      </c>
      <c r="CW179" s="22" t="e">
        <f t="shared" si="174"/>
        <v>#NUM!</v>
      </c>
      <c r="CX179" s="62" t="e">
        <f t="shared" si="122"/>
        <v>#NUM!</v>
      </c>
      <c r="CY179" s="62">
        <f ca="1">AVERAGE(OFFSET($CX$3,0,0,'Données projet'!$E$13+1,1))-AVERAGE(OFFSET($H$3,0,0,'Données projet'!$E$13+1,1))</f>
        <v>376.68007030857598</v>
      </c>
      <c r="CZ179" s="62">
        <f t="shared" si="150"/>
        <v>532.90758914457626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>
        <f>EXP(-LN(2)/35)*DF178+(1-EXP(-LN(2)/35))/(LN(2)/35)*DB179*DC179*VLOOKUP('Données projet'!$B$13,Paramètres!$A$1:$I$89,3,0)*0.475*44/12</f>
        <v>6.9929960279717704</v>
      </c>
      <c r="DG179" s="23">
        <f>EXP(-LN(2)/25)*DG178+(1-EXP(-LN(2)/25))/(LN(2)/25)*Calculateur!DB179*Calculateur!DD179*VLOOKUP('Données projet'!$B$13,Paramètres!$A$1:$I$89,3,0)*0.475*44/12</f>
        <v>0.22869910608018426</v>
      </c>
      <c r="DH179" s="23">
        <f>EXP(-LN(2)/2)*DH178+(1-EXP(-LN(2)/2))/(LN(2)/2)*DB179*DE179*VLOOKUP('Données projet'!$B$13,Paramètres!$A$1:$I$89,3,0)*0.475*44/12</f>
        <v>0</v>
      </c>
      <c r="DI179" s="24">
        <f t="shared" si="175"/>
        <v>7.2216951340519548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5.6843418860808015E-14</v>
      </c>
      <c r="DP179" s="18">
        <f>DO179*VLOOKUP('Données projet'!$B$14,Paramètres!$A$1:$I$89,3,0)*VLOOKUP('Données projet'!$B$14,Paramètres!$A$1:$I$89,5,0)</f>
        <v>5.4092197387944907E-14</v>
      </c>
      <c r="DQ179" s="14">
        <f t="shared" si="176"/>
        <v>8.7287050538073676E-13</v>
      </c>
      <c r="DR179" s="22">
        <f t="shared" si="177"/>
        <v>1.6144600406554537E-12</v>
      </c>
      <c r="DS179" s="62">
        <f t="shared" si="125"/>
        <v>289.12040147383919</v>
      </c>
      <c r="DT179" s="62">
        <f ca="1">AVERAGE(OFFSET($DS$3,0,0,'Données projet'!$E$14+1,1))-AVERAGE(OFFSET($H$3,0,0,'Données projet'!$E$14+1,1))</f>
        <v>364.63161066507769</v>
      </c>
      <c r="DU179" s="62">
        <f t="shared" si="152"/>
        <v>355.44729904860708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>
        <f>EXP(-LN(2)/35)*EA178+(1-EXP(-LN(2)/35))/(LN(2)/35)*DW179*DX179*VLOOKUP('Données projet'!$B$14,Paramètres!$A$1:$I$89,3,0)*0.475*44/12</f>
        <v>19.826068109718531</v>
      </c>
      <c r="EB179" s="23">
        <f>EXP(-LN(2)/25)*EB178+(1-EXP(-LN(2)/25))/(LN(2)/25)*Calculateur!DW179*Calculateur!DY179*VLOOKUP('Données projet'!$B$14,Paramètres!$A$1:$I$89,3,0)*0.475*44/12</f>
        <v>0</v>
      </c>
      <c r="EC179" s="23">
        <f>EXP(-LN(2)/2)*EC178+(1-EXP(-LN(2)/2))/(LN(2)/2)*DW179*DZ179*VLOOKUP('Données projet'!$B$14,Paramètres!$A$1:$I$89,3,0)*0.475*44/12</f>
        <v>0</v>
      </c>
      <c r="ED179" s="24">
        <f t="shared" si="178"/>
        <v>19.826068109718531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5.6843418860808015E-14</v>
      </c>
      <c r="EK179" s="18">
        <f>EJ179*VLOOKUP('Données projet'!$B$15,Paramètres!$A$1:$I$89,3,0)*VLOOKUP('Données projet'!$B$15,Paramètres!$A$1:$I$89,5,0)</f>
        <v>4.1677594708744434E-14</v>
      </c>
      <c r="EL179" s="14">
        <f t="shared" si="179"/>
        <v>6.9326303456159188E-13</v>
      </c>
      <c r="EM179" s="22">
        <f t="shared" si="180"/>
        <v>1.2800215959791691E-12</v>
      </c>
      <c r="EN179" s="62">
        <f t="shared" si="128"/>
        <v>289.12040147383891</v>
      </c>
      <c r="EO179" s="62">
        <f ca="1">AVERAGE(OFFSET($EN$3,0,0,'Données projet'!$E$15+1,1))-AVERAGE(OFFSET($H$3,0,0,'Données projet'!$E$15+1,1))</f>
        <v>293.59366973965774</v>
      </c>
      <c r="EP179" s="62">
        <f t="shared" si="154"/>
        <v>288.13804536120426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>
        <f>EXP(-LN(2)/35)*EV178+(1-EXP(-LN(2)/35))/(LN(2)/35)*ER179*ES179*VLOOKUP('Données projet'!$B$15,Paramètres!$A$1:$I$89,3,0)*0.475*44/12</f>
        <v>15.275822969783118</v>
      </c>
      <c r="EW179" s="23">
        <f>EXP(-LN(2)/25)*EW178+(1-EXP(-LN(2)/25))/(LN(2)/25)*Calculateur!ER179*Calculateur!ET179*VLOOKUP('Données projet'!$B$15,Paramètres!$A$1:$I$89,3,0)*0.475*44/12</f>
        <v>0</v>
      </c>
      <c r="EX179" s="23">
        <f>EXP(-LN(2)/2)*EX178+(1-EXP(-LN(2)/2))/(LN(2)/2)*ER179*EU179*VLOOKUP('Données projet'!$B$15,Paramètres!$A$1:$I$89,3,0)*0.475*44/12</f>
        <v>0</v>
      </c>
      <c r="EY179" s="24">
        <f t="shared" si="181"/>
        <v>15.275822969783118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5.6843418860808015E-14</v>
      </c>
      <c r="FF179" s="18">
        <f>FE179*VLOOKUP('Données projet'!$B$16,Paramètres!$A$1:$I$89,3,0)*VLOOKUP('Données projet'!$B$16,Paramètres!$A$1:$I$89,5,0)</f>
        <v>5.4978954722173515E-14</v>
      </c>
      <c r="FG179" s="14">
        <f t="shared" si="182"/>
        <v>8.8550225887742724E-13</v>
      </c>
      <c r="FH179" s="22">
        <f t="shared" si="183"/>
        <v>1.6380047803526383E-12</v>
      </c>
      <c r="FI179" s="62">
        <f t="shared" si="131"/>
        <v>289.12040147383925</v>
      </c>
      <c r="FJ179" s="62">
        <f ca="1">AVERAGE(OFFSET($FI$3,0,0,'Données projet'!$E$16+1,1))-AVERAGE(OFFSET($H$3,0,0,'Données projet'!$E$16+1,1))</f>
        <v>369.69145521630799</v>
      </c>
      <c r="FK179" s="62">
        <f t="shared" si="156"/>
        <v>360.24112103688719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>
        <f>EXP(-LN(2)/35)*FQ178+(1-EXP(-LN(2)/35))/(LN(2)/35)*FM179*FN179*VLOOKUP('Données projet'!$B$16,Paramètres!$A$1:$I$89,3,0)*0.475*44/12</f>
        <v>20.151085619713911</v>
      </c>
      <c r="FR179" s="23">
        <f>EXP(-LN(2)/25)*FR178+(1-EXP(-LN(2)/25))/(LN(2)/25)*Calculateur!FM179*Calculateur!FO179*VLOOKUP('Données projet'!$B$16,Paramètres!$A$1:$I$89,3,0)*0.475*44/12</f>
        <v>0</v>
      </c>
      <c r="FS179" s="23">
        <f>EXP(-LN(2)/2)*FS178+(1-EXP(-LN(2)/2))/(LN(2)/2)*FM179*FP179*VLOOKUP('Données projet'!$B$16,Paramètres!$A$1:$I$89,3,0)*0.475*44/12</f>
        <v>0</v>
      </c>
      <c r="FT179" s="24">
        <f t="shared" si="184"/>
        <v>20.151085619713911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5.6843418860808015E-14</v>
      </c>
      <c r="GA179" s="18">
        <f>FZ179*VLOOKUP('Données projet'!$B$17,Paramètres!$A$1:$I$89,3,0)*VLOOKUP('Données projet'!$B$17,Paramètres!$A$1:$I$89,5,0)</f>
        <v>6.1186256061773749E-14</v>
      </c>
      <c r="GB179" s="14">
        <f t="shared" si="185"/>
        <v>9.7328366192051127E-13</v>
      </c>
      <c r="GC179" s="22">
        <f t="shared" si="186"/>
        <v>1.8017017738191463E-12</v>
      </c>
      <c r="GD179" s="62">
        <f t="shared" si="134"/>
        <v>289.12040147383942</v>
      </c>
      <c r="GE179" s="62">
        <f ca="1">AVERAGE(OFFSET($GD$3,0,0,'Données projet'!$E$17+1,1))-AVERAGE(OFFSET($H$3,0,0,'Données projet'!$E$17+1,1))</f>
        <v>405.06394904053946</v>
      </c>
      <c r="GF179" s="62">
        <f t="shared" si="158"/>
        <v>393.75247087518198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>
        <f>EXP(-LN(2)/35)*GL178+(1-EXP(-LN(2)/35))/(LN(2)/35)*GH179*GI179*VLOOKUP('Données projet'!$B$17,Paramètres!$A$1:$I$89,3,0)*0.475*44/12</f>
        <v>22.426208189681596</v>
      </c>
      <c r="GM179" s="23">
        <f>EXP(-LN(2)/25)*GM178+(1-EXP(-LN(2)/25))/(LN(2)/25)*Calculateur!GH179*Calculateur!GJ179*VLOOKUP('Données projet'!$B$17,Paramètres!$A$1:$I$89,3,0)*0.475*44/12</f>
        <v>0</v>
      </c>
      <c r="GN179" s="23">
        <f>EXP(-LN(2)/2)*GN178+(1-EXP(-LN(2)/2))/(LN(2)/2)*GH179*GK179*VLOOKUP('Données projet'!$B$17,Paramètres!$A$1:$I$89,3,0)*0.475*44/12</f>
        <v>0</v>
      </c>
      <c r="GO179" s="23">
        <f t="shared" si="187"/>
        <v>22.426208189681596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5.6843418860808015E-14</v>
      </c>
      <c r="GV179" s="18">
        <f>GU179*VLOOKUP('Données projet'!$B$18,Paramètres!$A$1:$I$89,3,0)*VLOOKUP('Données projet'!$B$18,Paramètres!$A$1:$I$89,5,0)</f>
        <v>3.813056537183002E-14</v>
      </c>
      <c r="GW179" s="14">
        <f t="shared" si="188"/>
        <v>6.4086286045526829E-13</v>
      </c>
      <c r="GX179" s="22">
        <f t="shared" si="189"/>
        <v>1.1825802166488628E-12</v>
      </c>
      <c r="GY179" s="62">
        <f t="shared" si="137"/>
        <v>289.1204014738388</v>
      </c>
      <c r="GZ179" s="62">
        <f ca="1">AVERAGE(OFFSET($GY$3,0,0,'Données projet'!$E$18+1,1))-AVERAGE(OFFSET($H$3,0,0,'Données projet'!$E$18+1,1))</f>
        <v>273.21861937609918</v>
      </c>
      <c r="HA179" s="62">
        <f t="shared" si="160"/>
        <v>268.83004886965318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>
        <f>EXP(-LN(2)/35)*HG178+(1-EXP(-LN(2)/35))/(LN(2)/35)*HC179*HD179*VLOOKUP('Données projet'!$B$18,Paramètres!$A$1:$I$89,3,0)*0.475*44/12</f>
        <v>17.225928029755433</v>
      </c>
      <c r="HH179" s="23">
        <f>EXP(-LN(2)/25)*HH178+(1-EXP(-LN(2)/25))/(LN(2)/25)*Calculateur!HC179*Calculateur!HE179*VLOOKUP('Données projet'!$B$18,Paramètres!$A$1:$I$89,3,0)*0.475*44/12</f>
        <v>0</v>
      </c>
      <c r="HI179" s="23">
        <f>EXP(-LN(2)/2)*HI178+(1-EXP(-LN(2)/2))/(LN(2)/2)*HC179*HF179*VLOOKUP('Données projet'!$B$18,Paramètres!$A$1:$I$89,3,0)*0.475*44/12</f>
        <v>0</v>
      </c>
      <c r="HJ179" s="24">
        <f t="shared" si="190"/>
        <v>17.225928029755433</v>
      </c>
    </row>
    <row r="180" spans="1:218" x14ac:dyDescent="0.4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3.3333333333333335</v>
      </c>
      <c r="N180" s="14">
        <f>IF('Données projet'!$A$36&gt;35,N179+M180-V179,IF(A180&lt;'Données projet'!$A$36,$K$205^A180,IF(A180='Données projet'!$A$36,'Données projet'!$B$36,N179+M180-V179)))</f>
        <v>212.58823529411754</v>
      </c>
      <c r="O180" s="14">
        <f>N180*VLOOKUP('Données projet'!$B$9,Paramètres!$A$1:$I$89,3,0)*VLOOKUP('Données projet'!$B$9,Paramètres!$A$1:$I$89,5,0)</f>
        <v>192.34983529411753</v>
      </c>
      <c r="P180" s="14">
        <f t="shared" si="141"/>
        <v>48.05909583842439</v>
      </c>
      <c r="Q180" s="22">
        <f t="shared" si="162"/>
        <v>418.71222172251049</v>
      </c>
      <c r="R180" s="62">
        <f t="shared" si="109"/>
        <v>707.9057081454057</v>
      </c>
      <c r="S180" s="62">
        <f ca="1">AVERAGE(OFFSET($R$3,0,0,'Données projet'!$E$9+1,1))-AVERAGE(OFFSET($H$3,0,0,'Données projet'!$E$9+1,1))</f>
        <v>432.80275651765203</v>
      </c>
      <c r="T180" s="62">
        <f t="shared" si="142"/>
        <v>203.89279893419919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28.766742379543896</v>
      </c>
      <c r="AA180" s="23">
        <f>EXP(-LN(2)/25)*AA179+(1-EXP(-LN(2)/25))/(LN(2)/25)*Calculateur!V180*Calculateur!X180*VLOOKUP('Données projet'!$B$9,Paramètres!$A$1:$I$89,3,0)*0.475*44/12</f>
        <v>16.695987574709999</v>
      </c>
      <c r="AB180" s="23">
        <f>EXP(-LN(2)/2)*AB179+(1-EXP(-LN(2)/2))/(LN(2)/2)*V180*Y180*VLOOKUP('Données projet'!$B$9,Paramètres!$A$1:$I$89,3,0)*0.475*44/12</f>
        <v>0</v>
      </c>
      <c r="AC180" s="24">
        <f t="shared" si="163"/>
        <v>45.462729954253895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54.000000000000341</v>
      </c>
      <c r="AJ180" s="14">
        <f>AI180*VLOOKUP('Données projet'!$B$10,Paramètres!$A$1:$I$89,3,0)*VLOOKUP('Données projet'!$B$10,Paramètres!$A$1:$I$89,5,0)</f>
        <v>23.868000000000151</v>
      </c>
      <c r="AK180" s="14">
        <f t="shared" si="164"/>
        <v>7.6030930962115804</v>
      </c>
      <c r="AL180" s="22">
        <f t="shared" si="165"/>
        <v>54.812153809235433</v>
      </c>
      <c r="AM180" s="62">
        <f t="shared" si="113"/>
        <v>344.0056402321307</v>
      </c>
      <c r="AN180" s="62">
        <f ca="1">AVERAGE(OFFSET($AM$3,0,0,'Données projet'!$E$10+1,1))-AVERAGE(OFFSET($H$3,0,0,'Données projet'!$E$10+1,1))</f>
        <v>413.08876898406481</v>
      </c>
      <c r="AO180" s="62">
        <f t="shared" si="144"/>
        <v>520.31320932826566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27.079706190255802</v>
      </c>
      <c r="AV180" s="23">
        <f>EXP(-LN(2)/25)*AV179+(1-EXP(-LN(2)/25))/(LN(2)/25)*Calculateur!AQ180*Calculateur!AS180*VLOOKUP('Données projet'!$B$10,Paramètres!$A$1:$I$89,3,0)*0.475*44/12</f>
        <v>0.78715682723682046</v>
      </c>
      <c r="AW180" s="23">
        <f>EXP(-LN(2)/2)*AW179+(1-EXP(-LN(2)/2))/(LN(2)/2)*AQ180*AT180*VLOOKUP('Données projet'!$B$10,Paramètres!$A$1:$I$89,3,0)*0.475*44/12</f>
        <v>5.4591199894739554E-20</v>
      </c>
      <c r="AX180" s="23">
        <f t="shared" si="166"/>
        <v>27.866863017492623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54.000000000000341</v>
      </c>
      <c r="BE180" s="14">
        <f>BD180*VLOOKUP('Données projet'!$B$11,Paramètres!$A$1:$I$89,3,0)*VLOOKUP('Données projet'!$B$11,Paramètres!$A$1:$I$89,5,0)</f>
        <v>30.186000000000188</v>
      </c>
      <c r="BF180" s="14">
        <f t="shared" si="167"/>
        <v>9.3563888882899153</v>
      </c>
      <c r="BG180" s="22">
        <f t="shared" si="168"/>
        <v>68.869660647105263</v>
      </c>
      <c r="BH180" s="62">
        <f t="shared" si="116"/>
        <v>358.06314707000053</v>
      </c>
      <c r="BI180" s="62">
        <f ca="1">AVERAGE(OFFSET($BH$3,0,0,'Données projet'!$E$11+1,1))-AVERAGE(OFFSET($H$3,0,0,'Données projet'!$E$11+1,1))</f>
        <v>507.66185230065889</v>
      </c>
      <c r="BJ180" s="62">
        <f t="shared" si="146"/>
        <v>640.14375617778342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34.247863711205824</v>
      </c>
      <c r="BQ180" s="23">
        <f>EXP(-LN(2)/25)*BQ179+(1-EXP(-LN(2)/25))/(LN(2)/25)*Calculateur!BL180*Calculateur!BN180*VLOOKUP('Données projet'!$B$11,Paramètres!$A$1:$I$89,3,0)*0.475*44/12</f>
        <v>0.99552186974068557</v>
      </c>
      <c r="BR180" s="23">
        <f>EXP(-LN(2)/2)*BR179+(1-EXP(-LN(2)/2))/(LN(2)/2)*BL180*BO180*VLOOKUP('Données projet'!$B$11,Paramètres!$A$1:$I$89,3,0)*0.475*44/12</f>
        <v>6.9041811631582426E-20</v>
      </c>
      <c r="BS180" s="24">
        <f t="shared" si="169"/>
        <v>35.243385580946509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417.04879970000007</v>
      </c>
      <c r="BZ180" s="14">
        <f>BY180*VLOOKUP('Données projet'!$B$12,Paramètres!$A$1:$I$89,3,0)*VLOOKUP('Données projet'!$B$12,Paramètres!$A$1:$I$89,5,0)</f>
        <v>195.17883825960004</v>
      </c>
      <c r="CA180" s="14">
        <f t="shared" si="170"/>
        <v>48.683122291673484</v>
      </c>
      <c r="CB180" s="22">
        <f t="shared" si="171"/>
        <v>424.72624796013469</v>
      </c>
      <c r="CC180" s="62">
        <f t="shared" si="119"/>
        <v>713.91973438302989</v>
      </c>
      <c r="CD180" s="62">
        <f ca="1">AVERAGE(OFFSET($CC$3,0,0,'Données projet'!$E$12+1,1))-AVERAGE(OFFSET($H$3,0,0,'Données projet'!$E$12+1,1))</f>
        <v>289.21044803824958</v>
      </c>
      <c r="CE180" s="62">
        <f t="shared" si="148"/>
        <v>196.11836398299445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>
        <f>EXP(-LN(2)/35)*CK179+(1-EXP(-LN(2)/35))/(LN(2)/35)*CG180*CH180*VLOOKUP('Données projet'!$B$12,Paramètres!$A$1:$I$89,3,0)*0.475*44/12</f>
        <v>14.989244123830673</v>
      </c>
      <c r="CL180" s="23">
        <f>EXP(-LN(2)/25)*CL179+(1-EXP(-LN(2)/25))/(LN(2)/25)*Calculateur!CG180*Calculateur!CI180*VLOOKUP('Données projet'!$B$12,Paramètres!$A$1:$I$89,3,0)*0.475*44/12</f>
        <v>3.7912171949152924</v>
      </c>
      <c r="CM180" s="23">
        <f>EXP(-LN(2)/2)*CM179+(1-EXP(-LN(2)/2))/(LN(2)/2)*CG180*CJ180*VLOOKUP('Données projet'!$B$12,Paramètres!$A$1:$I$89,3,0)*0.475*44/12</f>
        <v>0</v>
      </c>
      <c r="CN180" s="24">
        <f t="shared" si="172"/>
        <v>18.780461318745964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-5.6843418860808015E-14</v>
      </c>
      <c r="CU180" s="18">
        <f>CT180*VLOOKUP('Données projet'!$B$13,Paramètres!$A$1:$I$89,3,0)*VLOOKUP('Données projet'!$B$13,Paramètres!$A$1:$I$89,5,0)</f>
        <v>-5.1431925385259088E-14</v>
      </c>
      <c r="CV180" s="14" t="e">
        <f t="shared" si="173"/>
        <v>#NUM!</v>
      </c>
      <c r="CW180" s="22" t="e">
        <f t="shared" si="174"/>
        <v>#NUM!</v>
      </c>
      <c r="CX180" s="62" t="e">
        <f t="shared" si="122"/>
        <v>#NUM!</v>
      </c>
      <c r="CY180" s="62">
        <f ca="1">AVERAGE(OFFSET($CX$3,0,0,'Données projet'!$E$13+1,1))-AVERAGE(OFFSET($H$3,0,0,'Données projet'!$E$13+1,1))</f>
        <v>376.68007030857598</v>
      </c>
      <c r="CZ180" s="62">
        <f t="shared" si="150"/>
        <v>532.90758914457626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>
        <f>EXP(-LN(2)/35)*DF179+(1-EXP(-LN(2)/35))/(LN(2)/35)*DB180*DC180*VLOOKUP('Données projet'!$B$13,Paramètres!$A$1:$I$89,3,0)*0.475*44/12</f>
        <v>6.8558676411696569</v>
      </c>
      <c r="DG180" s="23">
        <f>EXP(-LN(2)/25)*DG179+(1-EXP(-LN(2)/25))/(LN(2)/25)*Calculateur!DB180*Calculateur!DD180*VLOOKUP('Données projet'!$B$13,Paramètres!$A$1:$I$89,3,0)*0.475*44/12</f>
        <v>0.22244531699765832</v>
      </c>
      <c r="DH180" s="23">
        <f>EXP(-LN(2)/2)*DH179+(1-EXP(-LN(2)/2))/(LN(2)/2)*DB180*DE180*VLOOKUP('Données projet'!$B$13,Paramètres!$A$1:$I$89,3,0)*0.475*44/12</f>
        <v>0</v>
      </c>
      <c r="DI180" s="24">
        <f t="shared" si="175"/>
        <v>7.0783129581673148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5.6843418860808015E-14</v>
      </c>
      <c r="DP180" s="18">
        <f>DO180*VLOOKUP('Données projet'!$B$14,Paramètres!$A$1:$I$89,3,0)*VLOOKUP('Données projet'!$B$14,Paramètres!$A$1:$I$89,5,0)</f>
        <v>5.4092197387944907E-14</v>
      </c>
      <c r="DQ180" s="14">
        <f t="shared" si="176"/>
        <v>8.7287050538073676E-13</v>
      </c>
      <c r="DR180" s="22">
        <f t="shared" si="177"/>
        <v>1.6144600406554537E-12</v>
      </c>
      <c r="DS180" s="62">
        <f t="shared" si="125"/>
        <v>289.19348642289685</v>
      </c>
      <c r="DT180" s="62">
        <f ca="1">AVERAGE(OFFSET($DS$3,0,0,'Données projet'!$E$14+1,1))-AVERAGE(OFFSET($H$3,0,0,'Données projet'!$E$14+1,1))</f>
        <v>364.63161066507769</v>
      </c>
      <c r="DU180" s="62">
        <f t="shared" si="152"/>
        <v>355.44729904860708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>
        <f>EXP(-LN(2)/35)*EA179+(1-EXP(-LN(2)/35))/(LN(2)/35)*DW180*DX180*VLOOKUP('Données projet'!$B$14,Paramètres!$A$1:$I$89,3,0)*0.475*44/12</f>
        <v>19.437291006794442</v>
      </c>
      <c r="EB180" s="23">
        <f>EXP(-LN(2)/25)*EB179+(1-EXP(-LN(2)/25))/(LN(2)/25)*Calculateur!DW180*Calculateur!DY180*VLOOKUP('Données projet'!$B$14,Paramètres!$A$1:$I$89,3,0)*0.475*44/12</f>
        <v>0</v>
      </c>
      <c r="EC180" s="23">
        <f>EXP(-LN(2)/2)*EC179+(1-EXP(-LN(2)/2))/(LN(2)/2)*DW180*DZ180*VLOOKUP('Données projet'!$B$14,Paramètres!$A$1:$I$89,3,0)*0.475*44/12</f>
        <v>0</v>
      </c>
      <c r="ED180" s="24">
        <f t="shared" si="178"/>
        <v>19.437291006794442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5.6843418860808015E-14</v>
      </c>
      <c r="EK180" s="18">
        <f>EJ180*VLOOKUP('Données projet'!$B$15,Paramètres!$A$1:$I$89,3,0)*VLOOKUP('Données projet'!$B$15,Paramètres!$A$1:$I$89,5,0)</f>
        <v>4.1677594708744434E-14</v>
      </c>
      <c r="EL180" s="14">
        <f t="shared" si="179"/>
        <v>6.9326303456159188E-13</v>
      </c>
      <c r="EM180" s="22">
        <f t="shared" si="180"/>
        <v>1.2800215959791691E-12</v>
      </c>
      <c r="EN180" s="62">
        <f t="shared" si="128"/>
        <v>289.19348642289657</v>
      </c>
      <c r="EO180" s="62">
        <f ca="1">AVERAGE(OFFSET($EN$3,0,0,'Données projet'!$E$15+1,1))-AVERAGE(OFFSET($H$3,0,0,'Données projet'!$E$15+1,1))</f>
        <v>293.59366973965774</v>
      </c>
      <c r="EP180" s="62">
        <f t="shared" si="154"/>
        <v>288.13804536120426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>
        <f>EXP(-LN(2)/35)*EV179+(1-EXP(-LN(2)/35))/(LN(2)/35)*ER180*ES180*VLOOKUP('Données projet'!$B$15,Paramètres!$A$1:$I$89,3,0)*0.475*44/12</f>
        <v>14.976273398677671</v>
      </c>
      <c r="EW180" s="23">
        <f>EXP(-LN(2)/25)*EW179+(1-EXP(-LN(2)/25))/(LN(2)/25)*Calculateur!ER180*Calculateur!ET180*VLOOKUP('Données projet'!$B$15,Paramètres!$A$1:$I$89,3,0)*0.475*44/12</f>
        <v>0</v>
      </c>
      <c r="EX180" s="23">
        <f>EXP(-LN(2)/2)*EX179+(1-EXP(-LN(2)/2))/(LN(2)/2)*ER180*EU180*VLOOKUP('Données projet'!$B$15,Paramètres!$A$1:$I$89,3,0)*0.475*44/12</f>
        <v>0</v>
      </c>
      <c r="EY180" s="24">
        <f t="shared" si="181"/>
        <v>14.976273398677671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5.6843418860808015E-14</v>
      </c>
      <c r="FF180" s="18">
        <f>FE180*VLOOKUP('Données projet'!$B$16,Paramètres!$A$1:$I$89,3,0)*VLOOKUP('Données projet'!$B$16,Paramètres!$A$1:$I$89,5,0)</f>
        <v>5.4978954722173515E-14</v>
      </c>
      <c r="FG180" s="14">
        <f t="shared" si="182"/>
        <v>8.8550225887742724E-13</v>
      </c>
      <c r="FH180" s="22">
        <f t="shared" si="183"/>
        <v>1.6380047803526383E-12</v>
      </c>
      <c r="FI180" s="62">
        <f t="shared" si="131"/>
        <v>289.19348642289691</v>
      </c>
      <c r="FJ180" s="62">
        <f ca="1">AVERAGE(OFFSET($FI$3,0,0,'Données projet'!$E$16+1,1))-AVERAGE(OFFSET($H$3,0,0,'Données projet'!$E$16+1,1))</f>
        <v>369.69145521630799</v>
      </c>
      <c r="FK180" s="62">
        <f t="shared" si="156"/>
        <v>360.24112103688719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>
        <f>EXP(-LN(2)/35)*FQ179+(1-EXP(-LN(2)/35))/(LN(2)/35)*FM180*FN180*VLOOKUP('Données projet'!$B$16,Paramètres!$A$1:$I$89,3,0)*0.475*44/12</f>
        <v>19.755935121659917</v>
      </c>
      <c r="FR180" s="23">
        <f>EXP(-LN(2)/25)*FR179+(1-EXP(-LN(2)/25))/(LN(2)/25)*Calculateur!FM180*Calculateur!FO180*VLOOKUP('Données projet'!$B$16,Paramètres!$A$1:$I$89,3,0)*0.475*44/12</f>
        <v>0</v>
      </c>
      <c r="FS180" s="23">
        <f>EXP(-LN(2)/2)*FS179+(1-EXP(-LN(2)/2))/(LN(2)/2)*FM180*FP180*VLOOKUP('Données projet'!$B$16,Paramètres!$A$1:$I$89,3,0)*0.475*44/12</f>
        <v>0</v>
      </c>
      <c r="FT180" s="24">
        <f t="shared" si="184"/>
        <v>19.755935121659917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5.6843418860808015E-14</v>
      </c>
      <c r="GA180" s="18">
        <f>FZ180*VLOOKUP('Données projet'!$B$17,Paramètres!$A$1:$I$89,3,0)*VLOOKUP('Données projet'!$B$17,Paramètres!$A$1:$I$89,5,0)</f>
        <v>6.1186256061773749E-14</v>
      </c>
      <c r="GB180" s="14">
        <f t="shared" si="185"/>
        <v>9.7328366192051127E-13</v>
      </c>
      <c r="GC180" s="22">
        <f t="shared" si="186"/>
        <v>1.8017017738191463E-12</v>
      </c>
      <c r="GD180" s="62">
        <f t="shared" si="134"/>
        <v>289.19348642289708</v>
      </c>
      <c r="GE180" s="62">
        <f ca="1">AVERAGE(OFFSET($GD$3,0,0,'Données projet'!$E$17+1,1))-AVERAGE(OFFSET($H$3,0,0,'Données projet'!$E$17+1,1))</f>
        <v>405.06394904053946</v>
      </c>
      <c r="GF180" s="62">
        <f t="shared" si="158"/>
        <v>393.75247087518198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>
        <f>EXP(-LN(2)/35)*GL179+(1-EXP(-LN(2)/35))/(LN(2)/35)*GH180*GI180*VLOOKUP('Données projet'!$B$17,Paramètres!$A$1:$I$89,3,0)*0.475*44/12</f>
        <v>21.986443925718284</v>
      </c>
      <c r="GM180" s="23">
        <f>EXP(-LN(2)/25)*GM179+(1-EXP(-LN(2)/25))/(LN(2)/25)*Calculateur!GH180*Calculateur!GJ180*VLOOKUP('Données projet'!$B$17,Paramètres!$A$1:$I$89,3,0)*0.475*44/12</f>
        <v>0</v>
      </c>
      <c r="GN180" s="23">
        <f>EXP(-LN(2)/2)*GN179+(1-EXP(-LN(2)/2))/(LN(2)/2)*GH180*GK180*VLOOKUP('Données projet'!$B$17,Paramètres!$A$1:$I$89,3,0)*0.475*44/12</f>
        <v>0</v>
      </c>
      <c r="GO180" s="23">
        <f t="shared" si="187"/>
        <v>21.986443925718284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5.6843418860808015E-14</v>
      </c>
      <c r="GV180" s="18">
        <f>GU180*VLOOKUP('Données projet'!$B$18,Paramètres!$A$1:$I$89,3,0)*VLOOKUP('Données projet'!$B$18,Paramètres!$A$1:$I$89,5,0)</f>
        <v>3.813056537183002E-14</v>
      </c>
      <c r="GW180" s="14">
        <f t="shared" si="188"/>
        <v>6.4086286045526829E-13</v>
      </c>
      <c r="GX180" s="22">
        <f t="shared" si="189"/>
        <v>1.1825802166488628E-12</v>
      </c>
      <c r="GY180" s="62">
        <f t="shared" si="137"/>
        <v>289.19348642289646</v>
      </c>
      <c r="GZ180" s="62">
        <f ca="1">AVERAGE(OFFSET($GY$3,0,0,'Données projet'!$E$18+1,1))-AVERAGE(OFFSET($H$3,0,0,'Données projet'!$E$18+1,1))</f>
        <v>273.21861937609918</v>
      </c>
      <c r="HA180" s="62">
        <f t="shared" si="160"/>
        <v>268.83004886965318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>
        <f>EXP(-LN(2)/35)*HG179+(1-EXP(-LN(2)/35))/(LN(2)/35)*HC180*HD180*VLOOKUP('Données projet'!$B$18,Paramètres!$A$1:$I$89,3,0)*0.475*44/12</f>
        <v>16.888138087870569</v>
      </c>
      <c r="HH180" s="23">
        <f>EXP(-LN(2)/25)*HH179+(1-EXP(-LN(2)/25))/(LN(2)/25)*Calculateur!HC180*Calculateur!HE180*VLOOKUP('Données projet'!$B$18,Paramètres!$A$1:$I$89,3,0)*0.475*44/12</f>
        <v>0</v>
      </c>
      <c r="HI180" s="23">
        <f>EXP(-LN(2)/2)*HI179+(1-EXP(-LN(2)/2))/(LN(2)/2)*HC180*HF180*VLOOKUP('Données projet'!$B$18,Paramètres!$A$1:$I$89,3,0)*0.475*44/12</f>
        <v>0</v>
      </c>
      <c r="HJ180" s="24">
        <f t="shared" si="190"/>
        <v>16.888138087870569</v>
      </c>
    </row>
    <row r="181" spans="1:218" x14ac:dyDescent="0.4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3.3333333333333335</v>
      </c>
      <c r="N181" s="14">
        <f>IF('Données projet'!$A$36&gt;35,N180+M181-V180,IF(A181&lt;'Données projet'!$A$36,$K$205^A181,IF(A181='Données projet'!$A$36,'Données projet'!$B$36,N180+M181-V180)))</f>
        <v>215.92156862745088</v>
      </c>
      <c r="O181" s="14">
        <f>N181*VLOOKUP('Données projet'!$B$9,Paramètres!$A$1:$I$89,3,0)*VLOOKUP('Données projet'!$B$9,Paramètres!$A$1:$I$89,5,0)</f>
        <v>195.36583529411755</v>
      </c>
      <c r="P181" s="14">
        <f t="shared" si="141"/>
        <v>48.724333174046777</v>
      </c>
      <c r="Q181" s="22">
        <f t="shared" si="162"/>
        <v>425.12371008205287</v>
      </c>
      <c r="R181" s="62">
        <f t="shared" si="109"/>
        <v>714.38901359353304</v>
      </c>
      <c r="S181" s="62">
        <f ca="1">AVERAGE(OFFSET($R$3,0,0,'Données projet'!$E$9+1,1))-AVERAGE(OFFSET($H$3,0,0,'Données projet'!$E$9+1,1))</f>
        <v>432.80275651765203</v>
      </c>
      <c r="T181" s="62">
        <f t="shared" si="142"/>
        <v>203.89279893419919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28.202644107461371</v>
      </c>
      <c r="AA181" s="23">
        <f>EXP(-LN(2)/25)*AA180+(1-EXP(-LN(2)/25))/(LN(2)/25)*Calculateur!V181*Calculateur!X181*VLOOKUP('Données projet'!$B$9,Paramètres!$A$1:$I$89,3,0)*0.475*44/12</f>
        <v>16.239434916475727</v>
      </c>
      <c r="AB181" s="23">
        <f>EXP(-LN(2)/2)*AB180+(1-EXP(-LN(2)/2))/(LN(2)/2)*V181*Y181*VLOOKUP('Données projet'!$B$9,Paramètres!$A$1:$I$89,3,0)*0.475*44/12</f>
        <v>0</v>
      </c>
      <c r="AC181" s="24">
        <f t="shared" si="163"/>
        <v>44.442079023937097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54.000000000000341</v>
      </c>
      <c r="AJ181" s="14">
        <f>AI181*VLOOKUP('Données projet'!$B$10,Paramètres!$A$1:$I$89,3,0)*VLOOKUP('Données projet'!$B$10,Paramètres!$A$1:$I$89,5,0)</f>
        <v>23.868000000000151</v>
      </c>
      <c r="AK181" s="14">
        <f t="shared" si="164"/>
        <v>7.6030930962115804</v>
      </c>
      <c r="AL181" s="22">
        <f t="shared" si="165"/>
        <v>54.812153809235433</v>
      </c>
      <c r="AM181" s="62">
        <f t="shared" si="113"/>
        <v>344.07745732071561</v>
      </c>
      <c r="AN181" s="62">
        <f ca="1">AVERAGE(OFFSET($AM$3,0,0,'Données projet'!$E$10+1,1))-AVERAGE(OFFSET($H$3,0,0,'Données projet'!$E$10+1,1))</f>
        <v>413.08876898406481</v>
      </c>
      <c r="AO181" s="62">
        <f t="shared" si="144"/>
        <v>520.31320932826566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26.548689668854745</v>
      </c>
      <c r="AV181" s="23">
        <f>EXP(-LN(2)/25)*AV180+(1-EXP(-LN(2)/25))/(LN(2)/25)*Calculateur!AQ181*Calculateur!AS181*VLOOKUP('Données projet'!$B$10,Paramètres!$A$1:$I$89,3,0)*0.475*44/12</f>
        <v>0.76563198240125108</v>
      </c>
      <c r="AW181" s="23">
        <f>EXP(-LN(2)/2)*AW180+(1-EXP(-LN(2)/2))/(LN(2)/2)*AQ181*AT181*VLOOKUP('Données projet'!$B$10,Paramètres!$A$1:$I$89,3,0)*0.475*44/12</f>
        <v>3.860180763868068E-20</v>
      </c>
      <c r="AX181" s="23">
        <f t="shared" si="166"/>
        <v>27.314321651255998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54.000000000000341</v>
      </c>
      <c r="BE181" s="14">
        <f>BD181*VLOOKUP('Données projet'!$B$11,Paramètres!$A$1:$I$89,3,0)*VLOOKUP('Données projet'!$B$11,Paramètres!$A$1:$I$89,5,0)</f>
        <v>30.186000000000188</v>
      </c>
      <c r="BF181" s="14">
        <f t="shared" si="167"/>
        <v>9.3563888882899153</v>
      </c>
      <c r="BG181" s="22">
        <f t="shared" si="168"/>
        <v>68.869660647105263</v>
      </c>
      <c r="BH181" s="62">
        <f t="shared" si="116"/>
        <v>358.13496415858543</v>
      </c>
      <c r="BI181" s="62">
        <f ca="1">AVERAGE(OFFSET($BH$3,0,0,'Données projet'!$E$11+1,1))-AVERAGE(OFFSET($H$3,0,0,'Données projet'!$E$11+1,1))</f>
        <v>507.66185230065889</v>
      </c>
      <c r="BJ181" s="62">
        <f t="shared" si="146"/>
        <v>640.14375617778342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33.576283992963312</v>
      </c>
      <c r="BQ181" s="23">
        <f>EXP(-LN(2)/25)*BQ180+(1-EXP(-LN(2)/25))/(LN(2)/25)*Calculateur!BL181*Calculateur!BN181*VLOOKUP('Données projet'!$B$11,Paramètres!$A$1:$I$89,3,0)*0.475*44/12</f>
        <v>0.96829927186040665</v>
      </c>
      <c r="BR181" s="23">
        <f>EXP(-LN(2)/2)*BR180+(1-EXP(-LN(2)/2))/(LN(2)/2)*BL181*BO181*VLOOKUP('Données projet'!$B$11,Paramètres!$A$1:$I$89,3,0)*0.475*44/12</f>
        <v>4.8819933190096186E-20</v>
      </c>
      <c r="BS181" s="24">
        <f t="shared" si="169"/>
        <v>34.544583264823721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417.04879970000007</v>
      </c>
      <c r="BZ181" s="14">
        <f>BY181*VLOOKUP('Données projet'!$B$12,Paramètres!$A$1:$I$89,3,0)*VLOOKUP('Données projet'!$B$12,Paramètres!$A$1:$I$89,5,0)</f>
        <v>195.17883825960004</v>
      </c>
      <c r="CA181" s="14">
        <f t="shared" si="170"/>
        <v>48.683122291673484</v>
      </c>
      <c r="CB181" s="22">
        <f t="shared" si="171"/>
        <v>424.72624796013469</v>
      </c>
      <c r="CC181" s="62">
        <f t="shared" si="119"/>
        <v>713.99155147161491</v>
      </c>
      <c r="CD181" s="62">
        <f ca="1">AVERAGE(OFFSET($CC$3,0,0,'Données projet'!$E$12+1,1))-AVERAGE(OFFSET($H$3,0,0,'Données projet'!$E$12+1,1))</f>
        <v>289.21044803824958</v>
      </c>
      <c r="CE181" s="62">
        <f t="shared" si="148"/>
        <v>196.11836398299445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>
        <f>EXP(-LN(2)/35)*CK180+(1-EXP(-LN(2)/35))/(LN(2)/35)*CG181*CH181*VLOOKUP('Données projet'!$B$12,Paramètres!$A$1:$I$89,3,0)*0.475*44/12</f>
        <v>14.695314189098518</v>
      </c>
      <c r="CL181" s="23">
        <f>EXP(-LN(2)/25)*CL180+(1-EXP(-LN(2)/25))/(LN(2)/25)*Calculateur!CG181*Calculateur!CI181*VLOOKUP('Données projet'!$B$12,Paramètres!$A$1:$I$89,3,0)*0.475*44/12</f>
        <v>3.6875461613488865</v>
      </c>
      <c r="CM181" s="23">
        <f>EXP(-LN(2)/2)*CM180+(1-EXP(-LN(2)/2))/(LN(2)/2)*CG181*CJ181*VLOOKUP('Données projet'!$B$12,Paramètres!$A$1:$I$89,3,0)*0.475*44/12</f>
        <v>0</v>
      </c>
      <c r="CN181" s="24">
        <f t="shared" si="172"/>
        <v>18.382860350447405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-5.6843418860808015E-14</v>
      </c>
      <c r="CU181" s="18">
        <f>CT181*VLOOKUP('Données projet'!$B$13,Paramètres!$A$1:$I$89,3,0)*VLOOKUP('Données projet'!$B$13,Paramètres!$A$1:$I$89,5,0)</f>
        <v>-5.1431925385259088E-14</v>
      </c>
      <c r="CV181" s="14" t="e">
        <f t="shared" si="173"/>
        <v>#NUM!</v>
      </c>
      <c r="CW181" s="22" t="e">
        <f t="shared" si="174"/>
        <v>#NUM!</v>
      </c>
      <c r="CX181" s="62" t="e">
        <f t="shared" si="122"/>
        <v>#NUM!</v>
      </c>
      <c r="CY181" s="62">
        <f ca="1">AVERAGE(OFFSET($CX$3,0,0,'Données projet'!$E$13+1,1))-AVERAGE(OFFSET($H$3,0,0,'Données projet'!$E$13+1,1))</f>
        <v>376.68007030857598</v>
      </c>
      <c r="CZ181" s="62">
        <f t="shared" si="150"/>
        <v>532.90758914457626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>
        <f>EXP(-LN(2)/35)*DF180+(1-EXP(-LN(2)/35))/(LN(2)/35)*DB181*DC181*VLOOKUP('Données projet'!$B$13,Paramètres!$A$1:$I$89,3,0)*0.475*44/12</f>
        <v>6.7214282583926757</v>
      </c>
      <c r="DG181" s="23">
        <f>EXP(-LN(2)/25)*DG180+(1-EXP(-LN(2)/25))/(LN(2)/25)*Calculateur!DB181*Calculateur!DD181*VLOOKUP('Données projet'!$B$13,Paramètres!$A$1:$I$89,3,0)*0.475*44/12</f>
        <v>0.21636253810646655</v>
      </c>
      <c r="DH181" s="23">
        <f>EXP(-LN(2)/2)*DH180+(1-EXP(-LN(2)/2))/(LN(2)/2)*DB181*DE181*VLOOKUP('Données projet'!$B$13,Paramètres!$A$1:$I$89,3,0)*0.475*44/12</f>
        <v>0</v>
      </c>
      <c r="DI181" s="24">
        <f t="shared" si="175"/>
        <v>6.9377907964991419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5.6843418860808015E-14</v>
      </c>
      <c r="DP181" s="18">
        <f>DO181*VLOOKUP('Données projet'!$B$14,Paramètres!$A$1:$I$89,3,0)*VLOOKUP('Données projet'!$B$14,Paramètres!$A$1:$I$89,5,0)</f>
        <v>5.4092197387944907E-14</v>
      </c>
      <c r="DQ181" s="14">
        <f t="shared" si="176"/>
        <v>8.7287050538073676E-13</v>
      </c>
      <c r="DR181" s="22">
        <f t="shared" si="177"/>
        <v>1.6144600406554537E-12</v>
      </c>
      <c r="DS181" s="62">
        <f t="shared" si="125"/>
        <v>289.26530351148176</v>
      </c>
      <c r="DT181" s="62">
        <f ca="1">AVERAGE(OFFSET($DS$3,0,0,'Données projet'!$E$14+1,1))-AVERAGE(OFFSET($H$3,0,0,'Données projet'!$E$14+1,1))</f>
        <v>364.63161066507769</v>
      </c>
      <c r="DU181" s="62">
        <f t="shared" si="152"/>
        <v>355.44729904860708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>
        <f>EXP(-LN(2)/35)*EA180+(1-EXP(-LN(2)/35))/(LN(2)/35)*DW181*DX181*VLOOKUP('Données projet'!$B$14,Paramètres!$A$1:$I$89,3,0)*0.475*44/12</f>
        <v>19.056137585728077</v>
      </c>
      <c r="EB181" s="23">
        <f>EXP(-LN(2)/25)*EB180+(1-EXP(-LN(2)/25))/(LN(2)/25)*Calculateur!DW181*Calculateur!DY181*VLOOKUP('Données projet'!$B$14,Paramètres!$A$1:$I$89,3,0)*0.475*44/12</f>
        <v>0</v>
      </c>
      <c r="EC181" s="23">
        <f>EXP(-LN(2)/2)*EC180+(1-EXP(-LN(2)/2))/(LN(2)/2)*DW181*DZ181*VLOOKUP('Données projet'!$B$14,Paramètres!$A$1:$I$89,3,0)*0.475*44/12</f>
        <v>0</v>
      </c>
      <c r="ED181" s="24">
        <f t="shared" si="178"/>
        <v>19.056137585728077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5.6843418860808015E-14</v>
      </c>
      <c r="EK181" s="18">
        <f>EJ181*VLOOKUP('Données projet'!$B$15,Paramètres!$A$1:$I$89,3,0)*VLOOKUP('Données projet'!$B$15,Paramètres!$A$1:$I$89,5,0)</f>
        <v>4.1677594708744434E-14</v>
      </c>
      <c r="EL181" s="14">
        <f t="shared" si="179"/>
        <v>6.9326303456159188E-13</v>
      </c>
      <c r="EM181" s="22">
        <f t="shared" si="180"/>
        <v>1.2800215959791691E-12</v>
      </c>
      <c r="EN181" s="62">
        <f t="shared" si="128"/>
        <v>289.26530351148148</v>
      </c>
      <c r="EO181" s="62">
        <f ca="1">AVERAGE(OFFSET($EN$3,0,0,'Données projet'!$E$15+1,1))-AVERAGE(OFFSET($H$3,0,0,'Données projet'!$E$15+1,1))</f>
        <v>293.59366973965774</v>
      </c>
      <c r="EP181" s="62">
        <f t="shared" si="154"/>
        <v>288.13804536120426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>
        <f>EXP(-LN(2)/35)*EV180+(1-EXP(-LN(2)/35))/(LN(2)/35)*ER181*ES181*VLOOKUP('Données projet'!$B$15,Paramètres!$A$1:$I$89,3,0)*0.475*44/12</f>
        <v>14.682597811954405</v>
      </c>
      <c r="EW181" s="23">
        <f>EXP(-LN(2)/25)*EW180+(1-EXP(-LN(2)/25))/(LN(2)/25)*Calculateur!ER181*Calculateur!ET181*VLOOKUP('Données projet'!$B$15,Paramètres!$A$1:$I$89,3,0)*0.475*44/12</f>
        <v>0</v>
      </c>
      <c r="EX181" s="23">
        <f>EXP(-LN(2)/2)*EX180+(1-EXP(-LN(2)/2))/(LN(2)/2)*ER181*EU181*VLOOKUP('Données projet'!$B$15,Paramètres!$A$1:$I$89,3,0)*0.475*44/12</f>
        <v>0</v>
      </c>
      <c r="EY181" s="24">
        <f t="shared" si="181"/>
        <v>14.682597811954405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5.6843418860808015E-14</v>
      </c>
      <c r="FF181" s="18">
        <f>FE181*VLOOKUP('Données projet'!$B$16,Paramètres!$A$1:$I$89,3,0)*VLOOKUP('Données projet'!$B$16,Paramètres!$A$1:$I$89,5,0)</f>
        <v>5.4978954722173515E-14</v>
      </c>
      <c r="FG181" s="14">
        <f t="shared" si="182"/>
        <v>8.8550225887742724E-13</v>
      </c>
      <c r="FH181" s="22">
        <f t="shared" si="183"/>
        <v>1.6380047803526383E-12</v>
      </c>
      <c r="FI181" s="62">
        <f t="shared" si="131"/>
        <v>289.26530351148182</v>
      </c>
      <c r="FJ181" s="62">
        <f ca="1">AVERAGE(OFFSET($FI$3,0,0,'Données projet'!$E$16+1,1))-AVERAGE(OFFSET($H$3,0,0,'Données projet'!$E$16+1,1))</f>
        <v>369.69145521630799</v>
      </c>
      <c r="FK181" s="62">
        <f t="shared" si="156"/>
        <v>360.24112103688719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>
        <f>EXP(-LN(2)/35)*FQ180+(1-EXP(-LN(2)/35))/(LN(2)/35)*FM181*FN181*VLOOKUP('Données projet'!$B$16,Paramètres!$A$1:$I$89,3,0)*0.475*44/12</f>
        <v>19.368533283854759</v>
      </c>
      <c r="FR181" s="23">
        <f>EXP(-LN(2)/25)*FR180+(1-EXP(-LN(2)/25))/(LN(2)/25)*Calculateur!FM181*Calculateur!FO181*VLOOKUP('Données projet'!$B$16,Paramètres!$A$1:$I$89,3,0)*0.475*44/12</f>
        <v>0</v>
      </c>
      <c r="FS181" s="23">
        <f>EXP(-LN(2)/2)*FS180+(1-EXP(-LN(2)/2))/(LN(2)/2)*FM181*FP181*VLOOKUP('Données projet'!$B$16,Paramètres!$A$1:$I$89,3,0)*0.475*44/12</f>
        <v>0</v>
      </c>
      <c r="FT181" s="24">
        <f t="shared" si="184"/>
        <v>19.368533283854759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5.6843418860808015E-14</v>
      </c>
      <c r="GA181" s="18">
        <f>FZ181*VLOOKUP('Données projet'!$B$17,Paramètres!$A$1:$I$89,3,0)*VLOOKUP('Données projet'!$B$17,Paramètres!$A$1:$I$89,5,0)</f>
        <v>6.1186256061773749E-14</v>
      </c>
      <c r="GB181" s="14">
        <f t="shared" si="185"/>
        <v>9.7328366192051127E-13</v>
      </c>
      <c r="GC181" s="22">
        <f t="shared" si="186"/>
        <v>1.8017017738191463E-12</v>
      </c>
      <c r="GD181" s="62">
        <f t="shared" si="134"/>
        <v>289.26530351148199</v>
      </c>
      <c r="GE181" s="62">
        <f ca="1">AVERAGE(OFFSET($GD$3,0,0,'Données projet'!$E$17+1,1))-AVERAGE(OFFSET($H$3,0,0,'Données projet'!$E$17+1,1))</f>
        <v>405.06394904053946</v>
      </c>
      <c r="GF181" s="62">
        <f t="shared" si="158"/>
        <v>393.75247087518198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>
        <f>EXP(-LN(2)/35)*GL180+(1-EXP(-LN(2)/35))/(LN(2)/35)*GH181*GI181*VLOOKUP('Données projet'!$B$17,Paramètres!$A$1:$I$89,3,0)*0.475*44/12</f>
        <v>21.555303170741574</v>
      </c>
      <c r="GM181" s="23">
        <f>EXP(-LN(2)/25)*GM180+(1-EXP(-LN(2)/25))/(LN(2)/25)*Calculateur!GH181*Calculateur!GJ181*VLOOKUP('Données projet'!$B$17,Paramètres!$A$1:$I$89,3,0)*0.475*44/12</f>
        <v>0</v>
      </c>
      <c r="GN181" s="23">
        <f>EXP(-LN(2)/2)*GN180+(1-EXP(-LN(2)/2))/(LN(2)/2)*GH181*GK181*VLOOKUP('Données projet'!$B$17,Paramètres!$A$1:$I$89,3,0)*0.475*44/12</f>
        <v>0</v>
      </c>
      <c r="GO181" s="23">
        <f t="shared" si="187"/>
        <v>21.555303170741574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5.6843418860808015E-14</v>
      </c>
      <c r="GV181" s="18">
        <f>GU181*VLOOKUP('Données projet'!$B$18,Paramètres!$A$1:$I$89,3,0)*VLOOKUP('Données projet'!$B$18,Paramètres!$A$1:$I$89,5,0)</f>
        <v>3.813056537183002E-14</v>
      </c>
      <c r="GW181" s="14">
        <f t="shared" si="188"/>
        <v>6.4086286045526829E-13</v>
      </c>
      <c r="GX181" s="22">
        <f t="shared" si="189"/>
        <v>1.1825802166488628E-12</v>
      </c>
      <c r="GY181" s="62">
        <f t="shared" si="137"/>
        <v>289.26530351148136</v>
      </c>
      <c r="GZ181" s="62">
        <f ca="1">AVERAGE(OFFSET($GY$3,0,0,'Données projet'!$E$18+1,1))-AVERAGE(OFFSET($H$3,0,0,'Données projet'!$E$18+1,1))</f>
        <v>273.21861937609918</v>
      </c>
      <c r="HA181" s="62">
        <f t="shared" si="160"/>
        <v>268.83004886965318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>
        <f>EXP(-LN(2)/35)*HG180+(1-EXP(-LN(2)/35))/(LN(2)/35)*HC181*HD181*VLOOKUP('Données projet'!$B$18,Paramètres!$A$1:$I$89,3,0)*0.475*44/12</f>
        <v>16.556972000714545</v>
      </c>
      <c r="HH181" s="23">
        <f>EXP(-LN(2)/25)*HH180+(1-EXP(-LN(2)/25))/(LN(2)/25)*Calculateur!HC181*Calculateur!HE181*VLOOKUP('Données projet'!$B$18,Paramètres!$A$1:$I$89,3,0)*0.475*44/12</f>
        <v>0</v>
      </c>
      <c r="HI181" s="23">
        <f>EXP(-LN(2)/2)*HI180+(1-EXP(-LN(2)/2))/(LN(2)/2)*HC181*HF181*VLOOKUP('Données projet'!$B$18,Paramètres!$A$1:$I$89,3,0)*0.475*44/12</f>
        <v>0</v>
      </c>
      <c r="HJ181" s="24">
        <f t="shared" si="190"/>
        <v>16.556972000714545</v>
      </c>
    </row>
    <row r="182" spans="1:218" x14ac:dyDescent="0.4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3.3333333333333335</v>
      </c>
      <c r="N182" s="14">
        <f>IF('Données projet'!$A$36&gt;35,N181+M182-V181,IF(A182&lt;'Données projet'!$A$36,$K$205^A182,IF(A182='Données projet'!$A$36,'Données projet'!$B$36,N181+M182-V181)))</f>
        <v>219.25490196078422</v>
      </c>
      <c r="O182" s="14">
        <f>N182*VLOOKUP('Données projet'!$B$9,Paramètres!$A$1:$I$89,3,0)*VLOOKUP('Données projet'!$B$9,Paramètres!$A$1:$I$89,5,0)</f>
        <v>198.38183529411754</v>
      </c>
      <c r="P182" s="14">
        <f t="shared" si="141"/>
        <v>49.388376135479355</v>
      </c>
      <c r="Q182" s="22">
        <f t="shared" si="162"/>
        <v>431.53311823988116</v>
      </c>
      <c r="R182" s="62">
        <f t="shared" si="109"/>
        <v>720.86899297401828</v>
      </c>
      <c r="S182" s="62">
        <f ca="1">AVERAGE(OFFSET($R$3,0,0,'Données projet'!$E$9+1,1))-AVERAGE(OFFSET($H$3,0,0,'Données projet'!$E$9+1,1))</f>
        <v>432.80275651765203</v>
      </c>
      <c r="T182" s="62">
        <f t="shared" si="142"/>
        <v>203.89279893419919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27.64960745842841</v>
      </c>
      <c r="AA182" s="23">
        <f>EXP(-LN(2)/25)*AA181+(1-EXP(-LN(2)/25))/(LN(2)/25)*Calculateur!V182*Calculateur!X182*VLOOKUP('Données projet'!$B$9,Paramètres!$A$1:$I$89,3,0)*0.475*44/12</f>
        <v>15.795366714689932</v>
      </c>
      <c r="AB182" s="23">
        <f>EXP(-LN(2)/2)*AB181+(1-EXP(-LN(2)/2))/(LN(2)/2)*V182*Y182*VLOOKUP('Données projet'!$B$9,Paramètres!$A$1:$I$89,3,0)*0.475*44/12</f>
        <v>0</v>
      </c>
      <c r="AC182" s="24">
        <f t="shared" si="163"/>
        <v>43.444974173118339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54.000000000000341</v>
      </c>
      <c r="AJ182" s="14">
        <f>AI182*VLOOKUP('Données projet'!$B$10,Paramètres!$A$1:$I$89,3,0)*VLOOKUP('Données projet'!$B$10,Paramètres!$A$1:$I$89,5,0)</f>
        <v>23.868000000000151</v>
      </c>
      <c r="AK182" s="14">
        <f t="shared" si="164"/>
        <v>7.6030930962115804</v>
      </c>
      <c r="AL182" s="22">
        <f t="shared" si="165"/>
        <v>54.812153809235433</v>
      </c>
      <c r="AM182" s="62">
        <f t="shared" si="113"/>
        <v>344.14802854337256</v>
      </c>
      <c r="AN182" s="62">
        <f ca="1">AVERAGE(OFFSET($AM$3,0,0,'Données projet'!$E$10+1,1))-AVERAGE(OFFSET($H$3,0,0,'Données projet'!$E$10+1,1))</f>
        <v>413.08876898406481</v>
      </c>
      <c r="AO182" s="62">
        <f t="shared" si="144"/>
        <v>520.31320932826566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26.028086057550265</v>
      </c>
      <c r="AV182" s="23">
        <f>EXP(-LN(2)/25)*AV181+(1-EXP(-LN(2)/25))/(LN(2)/25)*Calculateur!AQ182*Calculateur!AS182*VLOOKUP('Données projet'!$B$10,Paramètres!$A$1:$I$89,3,0)*0.475*44/12</f>
        <v>0.74469573557965274</v>
      </c>
      <c r="AW182" s="23">
        <f>EXP(-LN(2)/2)*AW181+(1-EXP(-LN(2)/2))/(LN(2)/2)*AQ182*AT182*VLOOKUP('Données projet'!$B$10,Paramètres!$A$1:$I$89,3,0)*0.475*44/12</f>
        <v>2.7295599947369777E-20</v>
      </c>
      <c r="AX182" s="23">
        <f t="shared" si="166"/>
        <v>26.772781793129919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54.000000000000341</v>
      </c>
      <c r="BE182" s="14">
        <f>BD182*VLOOKUP('Données projet'!$B$11,Paramètres!$A$1:$I$89,3,0)*VLOOKUP('Données projet'!$B$11,Paramètres!$A$1:$I$89,5,0)</f>
        <v>30.186000000000188</v>
      </c>
      <c r="BF182" s="14">
        <f t="shared" si="167"/>
        <v>9.3563888882899153</v>
      </c>
      <c r="BG182" s="22">
        <f t="shared" si="168"/>
        <v>68.869660647105263</v>
      </c>
      <c r="BH182" s="62">
        <f t="shared" si="116"/>
        <v>358.20553538124238</v>
      </c>
      <c r="BI182" s="62">
        <f ca="1">AVERAGE(OFFSET($BH$3,0,0,'Données projet'!$E$11+1,1))-AVERAGE(OFFSET($H$3,0,0,'Données projet'!$E$11+1,1))</f>
        <v>507.66185230065889</v>
      </c>
      <c r="BJ182" s="62">
        <f t="shared" si="146"/>
        <v>640.14375617778342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32.917873543372352</v>
      </c>
      <c r="BQ182" s="23">
        <f>EXP(-LN(2)/25)*BQ181+(1-EXP(-LN(2)/25))/(LN(2)/25)*Calculateur!BL182*Calculateur!BN182*VLOOKUP('Données projet'!$B$11,Paramètres!$A$1:$I$89,3,0)*0.475*44/12</f>
        <v>0.94182107735073817</v>
      </c>
      <c r="BR182" s="23">
        <f>EXP(-LN(2)/2)*BR181+(1-EXP(-LN(2)/2))/(LN(2)/2)*BL182*BO182*VLOOKUP('Données projet'!$B$11,Paramètres!$A$1:$I$89,3,0)*0.475*44/12</f>
        <v>3.4520905815791213E-20</v>
      </c>
      <c r="BS182" s="24">
        <f t="shared" si="169"/>
        <v>33.85969462072309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417.04879970000007</v>
      </c>
      <c r="BZ182" s="14">
        <f>BY182*VLOOKUP('Données projet'!$B$12,Paramètres!$A$1:$I$89,3,0)*VLOOKUP('Données projet'!$B$12,Paramètres!$A$1:$I$89,5,0)</f>
        <v>195.17883825960004</v>
      </c>
      <c r="CA182" s="14">
        <f t="shared" si="170"/>
        <v>48.683122291673484</v>
      </c>
      <c r="CB182" s="22">
        <f t="shared" si="171"/>
        <v>424.72624796013469</v>
      </c>
      <c r="CC182" s="62">
        <f t="shared" si="119"/>
        <v>714.06212269427181</v>
      </c>
      <c r="CD182" s="62">
        <f ca="1">AVERAGE(OFFSET($CC$3,0,0,'Données projet'!$E$12+1,1))-AVERAGE(OFFSET($H$3,0,0,'Données projet'!$E$12+1,1))</f>
        <v>289.21044803824958</v>
      </c>
      <c r="CE182" s="62">
        <f t="shared" si="148"/>
        <v>196.11836398299445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>
        <f>EXP(-LN(2)/35)*CK181+(1-EXP(-LN(2)/35))/(LN(2)/35)*CG182*CH182*VLOOKUP('Données projet'!$B$12,Paramètres!$A$1:$I$89,3,0)*0.475*44/12</f>
        <v>14.407148041106904</v>
      </c>
      <c r="CL182" s="23">
        <f>EXP(-LN(2)/25)*CL181+(1-EXP(-LN(2)/25))/(LN(2)/25)*Calculateur!CG182*Calculateur!CI182*VLOOKUP('Données projet'!$B$12,Paramètres!$A$1:$I$89,3,0)*0.475*44/12</f>
        <v>3.5867100176471767</v>
      </c>
      <c r="CM182" s="23">
        <f>EXP(-LN(2)/2)*CM181+(1-EXP(-LN(2)/2))/(LN(2)/2)*CG182*CJ182*VLOOKUP('Données projet'!$B$12,Paramètres!$A$1:$I$89,3,0)*0.475*44/12</f>
        <v>0</v>
      </c>
      <c r="CN182" s="24">
        <f t="shared" si="172"/>
        <v>17.993858058754082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-5.6843418860808015E-14</v>
      </c>
      <c r="CU182" s="18">
        <f>CT182*VLOOKUP('Données projet'!$B$13,Paramètres!$A$1:$I$89,3,0)*VLOOKUP('Données projet'!$B$13,Paramètres!$A$1:$I$89,5,0)</f>
        <v>-5.1431925385259088E-14</v>
      </c>
      <c r="CV182" s="14" t="e">
        <f t="shared" si="173"/>
        <v>#NUM!</v>
      </c>
      <c r="CW182" s="22" t="e">
        <f t="shared" si="174"/>
        <v>#NUM!</v>
      </c>
      <c r="CX182" s="62" t="e">
        <f t="shared" si="122"/>
        <v>#NUM!</v>
      </c>
      <c r="CY182" s="62">
        <f ca="1">AVERAGE(OFFSET($CX$3,0,0,'Données projet'!$E$13+1,1))-AVERAGE(OFFSET($H$3,0,0,'Données projet'!$E$13+1,1))</f>
        <v>376.68007030857598</v>
      </c>
      <c r="CZ182" s="62">
        <f t="shared" si="150"/>
        <v>532.90758914457626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>
        <f>EXP(-LN(2)/35)*DF181+(1-EXP(-LN(2)/35))/(LN(2)/35)*DB182*DC182*VLOOKUP('Données projet'!$B$13,Paramètres!$A$1:$I$89,3,0)*0.475*44/12</f>
        <v>6.5896251499120249</v>
      </c>
      <c r="DG182" s="23">
        <f>EXP(-LN(2)/25)*DG181+(1-EXP(-LN(2)/25))/(LN(2)/25)*Calculateur!DB182*Calculateur!DD182*VLOOKUP('Données projet'!$B$13,Paramètres!$A$1:$I$89,3,0)*0.475*44/12</f>
        <v>0.21044609312393384</v>
      </c>
      <c r="DH182" s="23">
        <f>EXP(-LN(2)/2)*DH181+(1-EXP(-LN(2)/2))/(LN(2)/2)*DB182*DE182*VLOOKUP('Données projet'!$B$13,Paramètres!$A$1:$I$89,3,0)*0.475*44/12</f>
        <v>0</v>
      </c>
      <c r="DI182" s="24">
        <f t="shared" si="175"/>
        <v>6.8000712430359584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5.6843418860808015E-14</v>
      </c>
      <c r="DP182" s="18">
        <f>DO182*VLOOKUP('Données projet'!$B$14,Paramètres!$A$1:$I$89,3,0)*VLOOKUP('Données projet'!$B$14,Paramètres!$A$1:$I$89,5,0)</f>
        <v>5.4092197387944907E-14</v>
      </c>
      <c r="DQ182" s="14">
        <f t="shared" si="176"/>
        <v>8.7287050538073676E-13</v>
      </c>
      <c r="DR182" s="22">
        <f t="shared" si="177"/>
        <v>1.6144600406554537E-12</v>
      </c>
      <c r="DS182" s="62">
        <f t="shared" si="125"/>
        <v>289.33587473413871</v>
      </c>
      <c r="DT182" s="62">
        <f ca="1">AVERAGE(OFFSET($DS$3,0,0,'Données projet'!$E$14+1,1))-AVERAGE(OFFSET($H$3,0,0,'Données projet'!$E$14+1,1))</f>
        <v>364.63161066507769</v>
      </c>
      <c r="DU182" s="62">
        <f t="shared" si="152"/>
        <v>355.44729904860708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>
        <f>EXP(-LN(2)/35)*EA181+(1-EXP(-LN(2)/35))/(LN(2)/35)*DW182*DX182*VLOOKUP('Données projet'!$B$14,Paramètres!$A$1:$I$89,3,0)*0.475*44/12</f>
        <v>18.68245835076819</v>
      </c>
      <c r="EB182" s="23">
        <f>EXP(-LN(2)/25)*EB181+(1-EXP(-LN(2)/25))/(LN(2)/25)*Calculateur!DW182*Calculateur!DY182*VLOOKUP('Données projet'!$B$14,Paramètres!$A$1:$I$89,3,0)*0.475*44/12</f>
        <v>0</v>
      </c>
      <c r="EC182" s="23">
        <f>EXP(-LN(2)/2)*EC181+(1-EXP(-LN(2)/2))/(LN(2)/2)*DW182*DZ182*VLOOKUP('Données projet'!$B$14,Paramètres!$A$1:$I$89,3,0)*0.475*44/12</f>
        <v>0</v>
      </c>
      <c r="ED182" s="24">
        <f t="shared" si="178"/>
        <v>18.68245835076819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5.6843418860808015E-14</v>
      </c>
      <c r="EK182" s="18">
        <f>EJ182*VLOOKUP('Données projet'!$B$15,Paramètres!$A$1:$I$89,3,0)*VLOOKUP('Données projet'!$B$15,Paramètres!$A$1:$I$89,5,0)</f>
        <v>4.1677594708744434E-14</v>
      </c>
      <c r="EL182" s="14">
        <f t="shared" si="179"/>
        <v>6.9326303456159188E-13</v>
      </c>
      <c r="EM182" s="22">
        <f t="shared" si="180"/>
        <v>1.2800215959791691E-12</v>
      </c>
      <c r="EN182" s="62">
        <f t="shared" si="128"/>
        <v>289.33587473413843</v>
      </c>
      <c r="EO182" s="62">
        <f ca="1">AVERAGE(OFFSET($EN$3,0,0,'Données projet'!$E$15+1,1))-AVERAGE(OFFSET($H$3,0,0,'Données projet'!$E$15+1,1))</f>
        <v>293.59366973965774</v>
      </c>
      <c r="EP182" s="62">
        <f t="shared" si="154"/>
        <v>288.13804536120426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>
        <f>EXP(-LN(2)/35)*EV181+(1-EXP(-LN(2)/35))/(LN(2)/35)*ER182*ES182*VLOOKUP('Données projet'!$B$15,Paramètres!$A$1:$I$89,3,0)*0.475*44/12</f>
        <v>14.394681024362363</v>
      </c>
      <c r="EW182" s="23">
        <f>EXP(-LN(2)/25)*EW181+(1-EXP(-LN(2)/25))/(LN(2)/25)*Calculateur!ER182*Calculateur!ET182*VLOOKUP('Données projet'!$B$15,Paramètres!$A$1:$I$89,3,0)*0.475*44/12</f>
        <v>0</v>
      </c>
      <c r="EX182" s="23">
        <f>EXP(-LN(2)/2)*EX181+(1-EXP(-LN(2)/2))/(LN(2)/2)*ER182*EU182*VLOOKUP('Données projet'!$B$15,Paramètres!$A$1:$I$89,3,0)*0.475*44/12</f>
        <v>0</v>
      </c>
      <c r="EY182" s="24">
        <f t="shared" si="181"/>
        <v>14.394681024362363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5.6843418860808015E-14</v>
      </c>
      <c r="FF182" s="18">
        <f>FE182*VLOOKUP('Données projet'!$B$16,Paramètres!$A$1:$I$89,3,0)*VLOOKUP('Données projet'!$B$16,Paramètres!$A$1:$I$89,5,0)</f>
        <v>5.4978954722173515E-14</v>
      </c>
      <c r="FG182" s="14">
        <f t="shared" si="182"/>
        <v>8.8550225887742724E-13</v>
      </c>
      <c r="FH182" s="22">
        <f t="shared" si="183"/>
        <v>1.6380047803526383E-12</v>
      </c>
      <c r="FI182" s="62">
        <f t="shared" si="131"/>
        <v>289.33587473413877</v>
      </c>
      <c r="FJ182" s="62">
        <f ca="1">AVERAGE(OFFSET($FI$3,0,0,'Données projet'!$E$16+1,1))-AVERAGE(OFFSET($H$3,0,0,'Données projet'!$E$16+1,1))</f>
        <v>369.69145521630799</v>
      </c>
      <c r="FK182" s="62">
        <f t="shared" si="156"/>
        <v>360.24112103688719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>
        <f>EXP(-LN(2)/35)*FQ181+(1-EXP(-LN(2)/35))/(LN(2)/35)*FM182*FN182*VLOOKUP('Données projet'!$B$16,Paramètres!$A$1:$I$89,3,0)*0.475*44/12</f>
        <v>18.988728159797169</v>
      </c>
      <c r="FR182" s="23">
        <f>EXP(-LN(2)/25)*FR181+(1-EXP(-LN(2)/25))/(LN(2)/25)*Calculateur!FM182*Calculateur!FO182*VLOOKUP('Données projet'!$B$16,Paramètres!$A$1:$I$89,3,0)*0.475*44/12</f>
        <v>0</v>
      </c>
      <c r="FS182" s="23">
        <f>EXP(-LN(2)/2)*FS181+(1-EXP(-LN(2)/2))/(LN(2)/2)*FM182*FP182*VLOOKUP('Données projet'!$B$16,Paramètres!$A$1:$I$89,3,0)*0.475*44/12</f>
        <v>0</v>
      </c>
      <c r="FT182" s="24">
        <f t="shared" si="184"/>
        <v>18.988728159797169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5.6843418860808015E-14</v>
      </c>
      <c r="GA182" s="18">
        <f>FZ182*VLOOKUP('Données projet'!$B$17,Paramètres!$A$1:$I$89,3,0)*VLOOKUP('Données projet'!$B$17,Paramètres!$A$1:$I$89,5,0)</f>
        <v>6.1186256061773749E-14</v>
      </c>
      <c r="GB182" s="14">
        <f t="shared" si="185"/>
        <v>9.7328366192051127E-13</v>
      </c>
      <c r="GC182" s="22">
        <f t="shared" si="186"/>
        <v>1.8017017738191463E-12</v>
      </c>
      <c r="GD182" s="62">
        <f t="shared" si="134"/>
        <v>289.33587473413894</v>
      </c>
      <c r="GE182" s="62">
        <f ca="1">AVERAGE(OFFSET($GD$3,0,0,'Données projet'!$E$17+1,1))-AVERAGE(OFFSET($H$3,0,0,'Données projet'!$E$17+1,1))</f>
        <v>405.06394904053946</v>
      </c>
      <c r="GF182" s="62">
        <f t="shared" si="158"/>
        <v>393.75247087518198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>
        <f>EXP(-LN(2)/35)*GL181+(1-EXP(-LN(2)/35))/(LN(2)/35)*GH182*GI182*VLOOKUP('Données projet'!$B$17,Paramètres!$A$1:$I$89,3,0)*0.475*44/12</f>
        <v>21.132616823000063</v>
      </c>
      <c r="GM182" s="23">
        <f>EXP(-LN(2)/25)*GM181+(1-EXP(-LN(2)/25))/(LN(2)/25)*Calculateur!GH182*Calculateur!GJ182*VLOOKUP('Données projet'!$B$17,Paramètres!$A$1:$I$89,3,0)*0.475*44/12</f>
        <v>0</v>
      </c>
      <c r="GN182" s="23">
        <f>EXP(-LN(2)/2)*GN181+(1-EXP(-LN(2)/2))/(LN(2)/2)*GH182*GK182*VLOOKUP('Données projet'!$B$17,Paramètres!$A$1:$I$89,3,0)*0.475*44/12</f>
        <v>0</v>
      </c>
      <c r="GO182" s="23">
        <f t="shared" si="187"/>
        <v>21.132616823000063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5.6843418860808015E-14</v>
      </c>
      <c r="GV182" s="18">
        <f>GU182*VLOOKUP('Données projet'!$B$18,Paramètres!$A$1:$I$89,3,0)*VLOOKUP('Données projet'!$B$18,Paramètres!$A$1:$I$89,5,0)</f>
        <v>3.813056537183002E-14</v>
      </c>
      <c r="GW182" s="14">
        <f t="shared" si="188"/>
        <v>6.4086286045526829E-13</v>
      </c>
      <c r="GX182" s="22">
        <f t="shared" si="189"/>
        <v>1.1825802166488628E-12</v>
      </c>
      <c r="GY182" s="62">
        <f t="shared" si="137"/>
        <v>289.33587473413832</v>
      </c>
      <c r="GZ182" s="62">
        <f ca="1">AVERAGE(OFFSET($GY$3,0,0,'Données projet'!$E$18+1,1))-AVERAGE(OFFSET($H$3,0,0,'Données projet'!$E$18+1,1))</f>
        <v>273.21861937609918</v>
      </c>
      <c r="HA182" s="62">
        <f t="shared" si="160"/>
        <v>268.83004886965318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>
        <f>EXP(-LN(2)/35)*HG181+(1-EXP(-LN(2)/35))/(LN(2)/35)*HC182*HD182*VLOOKUP('Données projet'!$B$18,Paramètres!$A$1:$I$89,3,0)*0.475*44/12</f>
        <v>16.232299878536285</v>
      </c>
      <c r="HH182" s="23">
        <f>EXP(-LN(2)/25)*HH181+(1-EXP(-LN(2)/25))/(LN(2)/25)*Calculateur!HC182*Calculateur!HE182*VLOOKUP('Données projet'!$B$18,Paramètres!$A$1:$I$89,3,0)*0.475*44/12</f>
        <v>0</v>
      </c>
      <c r="HI182" s="23">
        <f>EXP(-LN(2)/2)*HI181+(1-EXP(-LN(2)/2))/(LN(2)/2)*HC182*HF182*VLOOKUP('Données projet'!$B$18,Paramètres!$A$1:$I$89,3,0)*0.475*44/12</f>
        <v>0</v>
      </c>
      <c r="HJ182" s="24">
        <f t="shared" si="190"/>
        <v>16.232299878536285</v>
      </c>
    </row>
    <row r="183" spans="1:218" x14ac:dyDescent="0.4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>
        <f>VLOOKUP(A183,'Données projet'!$A$35:$I$55,2,0)</f>
        <v>368</v>
      </c>
      <c r="L183" s="13">
        <f>VLOOKUP(A183,'Données projet'!$A$35:$I$55,9,0)</f>
        <v>3.3333333333333335</v>
      </c>
      <c r="M183" s="13">
        <f t="array" ref="M183">INDEX(L:L,MIN(IF(ISNUMBER(L183:L379),ROW(L183:L379),"")))</f>
        <v>3.3333333333333335</v>
      </c>
      <c r="N183" s="14">
        <f>IF('Données projet'!$A$36&gt;35,N182+M183-V182,IF(A183&lt;'Données projet'!$A$36,$K$205^A183,IF(A183='Données projet'!$A$36,'Données projet'!$B$36,N182+M183-V182)))</f>
        <v>222.58823529411757</v>
      </c>
      <c r="O183" s="14">
        <f>N183*VLOOKUP('Données projet'!$B$9,Paramètres!$A$1:$I$89,3,0)*VLOOKUP('Données projet'!$B$9,Paramètres!$A$1:$I$89,5,0)</f>
        <v>201.39783529411756</v>
      </c>
      <c r="P183" s="14">
        <f t="shared" si="141"/>
        <v>50.051244978044025</v>
      </c>
      <c r="Q183" s="22">
        <f t="shared" si="162"/>
        <v>437.9404814740148</v>
      </c>
      <c r="R183" s="62">
        <f t="shared" si="109"/>
        <v>727.34570317786938</v>
      </c>
      <c r="S183" s="62">
        <f ca="1">AVERAGE(OFFSET($R$3,0,0,'Données projet'!$E$9+1,1))-AVERAGE(OFFSET($H$3,0,0,'Données projet'!$E$9+1,1))</f>
        <v>432.80275651765203</v>
      </c>
      <c r="T183" s="62">
        <f t="shared" si="142"/>
        <v>203.89279893419919</v>
      </c>
      <c r="U183" s="16" t="str">
        <f>IF(ISNA(VLOOKUP(A183,'Données projet'!$A$35:$I$55,3,0)),0,VLOOKUP(A183,'Données projet'!$A$35:$I$55,3,0))</f>
        <v>CR</v>
      </c>
      <c r="V183" s="16">
        <f>IF(ISNA(VLOOKUP(A183,'Données projet'!$A$35:$I$55,4,0)),0,VLOOKUP(A183,'Données projet'!$A$35:$I$55,4,0))</f>
        <v>368</v>
      </c>
      <c r="W183" s="17">
        <f>IF(ISNA(VLOOKUP(A183,'Données projet'!$A$35:$I$55,5,0)),0%,VLOOKUP(A183,'Données projet'!$A$35:$I$55,5,0)*VLOOKUP('Données projet'!$B$9,Paramètres!$A$1:$I$89,7,0))</f>
        <v>0.43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185.3837473300436</v>
      </c>
      <c r="AA183" s="23">
        <f>EXP(-LN(2)/25)*AA182+(1-EXP(-LN(2)/25))/(LN(2)/25)*Calculateur!V183*Calculateur!X183*VLOOKUP('Données projet'!$B$9,Paramètres!$A$1:$I$89,3,0)*0.475*44/12</f>
        <v>15.3634415812345</v>
      </c>
      <c r="AB183" s="23">
        <f>EXP(-LN(2)/2)*AB182+(1-EXP(-LN(2)/2))/(LN(2)/2)*V183*Y183*VLOOKUP('Données projet'!$B$9,Paramètres!$A$1:$I$89,3,0)*0.475*44/12</f>
        <v>0</v>
      </c>
      <c r="AC183" s="24">
        <f t="shared" si="163"/>
        <v>200.7471889112781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54.000000000000341</v>
      </c>
      <c r="AJ183" s="14">
        <f>AI183*VLOOKUP('Données projet'!$B$10,Paramètres!$A$1:$I$89,3,0)*VLOOKUP('Données projet'!$B$10,Paramètres!$A$1:$I$89,5,0)</f>
        <v>23.868000000000151</v>
      </c>
      <c r="AK183" s="14">
        <f t="shared" si="164"/>
        <v>7.6030930962115804</v>
      </c>
      <c r="AL183" s="22">
        <f t="shared" si="165"/>
        <v>54.812153809235433</v>
      </c>
      <c r="AM183" s="62">
        <f t="shared" si="113"/>
        <v>344.21737551309008</v>
      </c>
      <c r="AN183" s="62">
        <f ca="1">AVERAGE(OFFSET($AM$3,0,0,'Données projet'!$E$10+1,1))-AVERAGE(OFFSET($H$3,0,0,'Données projet'!$E$10+1,1))</f>
        <v>413.08876898406481</v>
      </c>
      <c r="AO183" s="62">
        <f t="shared" si="144"/>
        <v>520.31320932826566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25.517691165526617</v>
      </c>
      <c r="AV183" s="23">
        <f>EXP(-LN(2)/25)*AV182+(1-EXP(-LN(2)/25))/(LN(2)/25)*Calculateur!AQ183*Calculateur!AS183*VLOOKUP('Données projet'!$B$10,Paramètres!$A$1:$I$89,3,0)*0.475*44/12</f>
        <v>0.72433199152838046</v>
      </c>
      <c r="AW183" s="23">
        <f>EXP(-LN(2)/2)*AW182+(1-EXP(-LN(2)/2))/(LN(2)/2)*AQ183*AT183*VLOOKUP('Données projet'!$B$10,Paramètres!$A$1:$I$89,3,0)*0.475*44/12</f>
        <v>1.930090381934034E-20</v>
      </c>
      <c r="AX183" s="23">
        <f t="shared" si="166"/>
        <v>26.242023157054998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54.000000000000341</v>
      </c>
      <c r="BE183" s="14">
        <f>BD183*VLOOKUP('Données projet'!$B$11,Paramètres!$A$1:$I$89,3,0)*VLOOKUP('Données projet'!$B$11,Paramètres!$A$1:$I$89,5,0)</f>
        <v>30.186000000000188</v>
      </c>
      <c r="BF183" s="14">
        <f t="shared" si="167"/>
        <v>9.3563888882899153</v>
      </c>
      <c r="BG183" s="22">
        <f t="shared" si="168"/>
        <v>68.869660647105263</v>
      </c>
      <c r="BH183" s="62">
        <f t="shared" si="116"/>
        <v>358.2748823509599</v>
      </c>
      <c r="BI183" s="62">
        <f ca="1">AVERAGE(OFFSET($BH$3,0,0,'Données projet'!$E$11+1,1))-AVERAGE(OFFSET($H$3,0,0,'Données projet'!$E$11+1,1))</f>
        <v>507.66185230065889</v>
      </c>
      <c r="BJ183" s="62">
        <f t="shared" si="146"/>
        <v>640.14375617778342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32.272374121107148</v>
      </c>
      <c r="BQ183" s="23">
        <f>EXP(-LN(2)/25)*BQ182+(1-EXP(-LN(2)/25))/(LN(2)/25)*Calculateur!BL183*Calculateur!BN183*VLOOKUP('Données projet'!$B$11,Paramètres!$A$1:$I$89,3,0)*0.475*44/12</f>
        <v>0.91606693046236431</v>
      </c>
      <c r="BR183" s="23">
        <f>EXP(-LN(2)/2)*BR182+(1-EXP(-LN(2)/2))/(LN(2)/2)*BL183*BO183*VLOOKUP('Données projet'!$B$11,Paramètres!$A$1:$I$89,3,0)*0.475*44/12</f>
        <v>2.4409966595048093E-20</v>
      </c>
      <c r="BS183" s="24">
        <f t="shared" si="169"/>
        <v>33.188441051569512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417.04879970000007</v>
      </c>
      <c r="BZ183" s="14">
        <f>BY183*VLOOKUP('Données projet'!$B$12,Paramètres!$A$1:$I$89,3,0)*VLOOKUP('Données projet'!$B$12,Paramètres!$A$1:$I$89,5,0)</f>
        <v>195.17883825960004</v>
      </c>
      <c r="CA183" s="14">
        <f t="shared" si="170"/>
        <v>48.683122291673484</v>
      </c>
      <c r="CB183" s="22">
        <f t="shared" si="171"/>
        <v>424.72624796013469</v>
      </c>
      <c r="CC183" s="62">
        <f t="shared" si="119"/>
        <v>714.13146966398926</v>
      </c>
      <c r="CD183" s="62">
        <f ca="1">AVERAGE(OFFSET($CC$3,0,0,'Données projet'!$E$12+1,1))-AVERAGE(OFFSET($H$3,0,0,'Données projet'!$E$12+1,1))</f>
        <v>289.21044803824958</v>
      </c>
      <c r="CE183" s="62">
        <f t="shared" si="148"/>
        <v>196.11836398299445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>
        <f>EXP(-LN(2)/35)*CK182+(1-EXP(-LN(2)/35))/(LN(2)/35)*CG183*CH183*VLOOKUP('Données projet'!$B$12,Paramètres!$A$1:$I$89,3,0)*0.475*44/12</f>
        <v>14.124632655513409</v>
      </c>
      <c r="CL183" s="23">
        <f>EXP(-LN(2)/25)*CL182+(1-EXP(-LN(2)/25))/(LN(2)/25)*Calculateur!CG183*Calculateur!CI183*VLOOKUP('Données projet'!$B$12,Paramètres!$A$1:$I$89,3,0)*0.475*44/12</f>
        <v>3.4886312435977325</v>
      </c>
      <c r="CM183" s="23">
        <f>EXP(-LN(2)/2)*CM182+(1-EXP(-LN(2)/2))/(LN(2)/2)*CG183*CJ183*VLOOKUP('Données projet'!$B$12,Paramètres!$A$1:$I$89,3,0)*0.475*44/12</f>
        <v>0</v>
      </c>
      <c r="CN183" s="24">
        <f t="shared" si="172"/>
        <v>17.613263899111143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-5.6843418860808015E-14</v>
      </c>
      <c r="CU183" s="18">
        <f>CT183*VLOOKUP('Données projet'!$B$13,Paramètres!$A$1:$I$89,3,0)*VLOOKUP('Données projet'!$B$13,Paramètres!$A$1:$I$89,5,0)</f>
        <v>-5.1431925385259088E-14</v>
      </c>
      <c r="CV183" s="14" t="e">
        <f t="shared" si="173"/>
        <v>#NUM!</v>
      </c>
      <c r="CW183" s="22" t="e">
        <f t="shared" si="174"/>
        <v>#NUM!</v>
      </c>
      <c r="CX183" s="62" t="e">
        <f t="shared" si="122"/>
        <v>#NUM!</v>
      </c>
      <c r="CY183" s="62">
        <f ca="1">AVERAGE(OFFSET($CX$3,0,0,'Données projet'!$E$13+1,1))-AVERAGE(OFFSET($H$3,0,0,'Données projet'!$E$13+1,1))</f>
        <v>376.68007030857598</v>
      </c>
      <c r="CZ183" s="62">
        <f t="shared" si="150"/>
        <v>532.90758914457626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>
        <f>EXP(-LN(2)/35)*DF182+(1-EXP(-LN(2)/35))/(LN(2)/35)*DB183*DC183*VLOOKUP('Données projet'!$B$13,Paramètres!$A$1:$I$89,3,0)*0.475*44/12</f>
        <v>6.4604066199967214</v>
      </c>
      <c r="DG183" s="23">
        <f>EXP(-LN(2)/25)*DG182+(1-EXP(-LN(2)/25))/(LN(2)/25)*Calculateur!DB183*Calculateur!DD183*VLOOKUP('Données projet'!$B$13,Paramètres!$A$1:$I$89,3,0)*0.475*44/12</f>
        <v>0.20469143364058082</v>
      </c>
      <c r="DH183" s="23">
        <f>EXP(-LN(2)/2)*DH182+(1-EXP(-LN(2)/2))/(LN(2)/2)*DB183*DE183*VLOOKUP('Données projet'!$B$13,Paramètres!$A$1:$I$89,3,0)*0.475*44/12</f>
        <v>0</v>
      </c>
      <c r="DI183" s="24">
        <f t="shared" si="175"/>
        <v>6.6650980536373021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5.6843418860808015E-14</v>
      </c>
      <c r="DP183" s="18">
        <f>DO183*VLOOKUP('Données projet'!$B$14,Paramètres!$A$1:$I$89,3,0)*VLOOKUP('Données projet'!$B$14,Paramètres!$A$1:$I$89,5,0)</f>
        <v>5.4092197387944907E-14</v>
      </c>
      <c r="DQ183" s="14">
        <f t="shared" si="176"/>
        <v>8.7287050538073676E-13</v>
      </c>
      <c r="DR183" s="22">
        <f t="shared" si="177"/>
        <v>1.6144600406554537E-12</v>
      </c>
      <c r="DS183" s="62">
        <f t="shared" si="125"/>
        <v>289.40522170385623</v>
      </c>
      <c r="DT183" s="62">
        <f ca="1">AVERAGE(OFFSET($DS$3,0,0,'Données projet'!$E$14+1,1))-AVERAGE(OFFSET($H$3,0,0,'Données projet'!$E$14+1,1))</f>
        <v>364.63161066507769</v>
      </c>
      <c r="DU183" s="62">
        <f t="shared" si="152"/>
        <v>355.44729904860708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>
        <f>EXP(-LN(2)/35)*EA182+(1-EXP(-LN(2)/35))/(LN(2)/35)*DW183*DX183*VLOOKUP('Données projet'!$B$14,Paramètres!$A$1:$I$89,3,0)*0.475*44/12</f>
        <v>18.316106737684041</v>
      </c>
      <c r="EB183" s="23">
        <f>EXP(-LN(2)/25)*EB182+(1-EXP(-LN(2)/25))/(LN(2)/25)*Calculateur!DW183*Calculateur!DY183*VLOOKUP('Données projet'!$B$14,Paramètres!$A$1:$I$89,3,0)*0.475*44/12</f>
        <v>0</v>
      </c>
      <c r="EC183" s="23">
        <f>EXP(-LN(2)/2)*EC182+(1-EXP(-LN(2)/2))/(LN(2)/2)*DW183*DZ183*VLOOKUP('Données projet'!$B$14,Paramètres!$A$1:$I$89,3,0)*0.475*44/12</f>
        <v>0</v>
      </c>
      <c r="ED183" s="24">
        <f t="shared" si="178"/>
        <v>18.316106737684041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5.6843418860808015E-14</v>
      </c>
      <c r="EK183" s="18">
        <f>EJ183*VLOOKUP('Données projet'!$B$15,Paramètres!$A$1:$I$89,3,0)*VLOOKUP('Données projet'!$B$15,Paramètres!$A$1:$I$89,5,0)</f>
        <v>4.1677594708744434E-14</v>
      </c>
      <c r="EL183" s="14">
        <f t="shared" si="179"/>
        <v>6.9326303456159188E-13</v>
      </c>
      <c r="EM183" s="22">
        <f t="shared" si="180"/>
        <v>1.2800215959791691E-12</v>
      </c>
      <c r="EN183" s="62">
        <f t="shared" si="128"/>
        <v>289.40522170385594</v>
      </c>
      <c r="EO183" s="62">
        <f ca="1">AVERAGE(OFFSET($EN$3,0,0,'Données projet'!$E$15+1,1))-AVERAGE(OFFSET($H$3,0,0,'Données projet'!$E$15+1,1))</f>
        <v>293.59366973965774</v>
      </c>
      <c r="EP183" s="62">
        <f t="shared" si="154"/>
        <v>288.13804536120426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>
        <f>EXP(-LN(2)/35)*EV182+(1-EXP(-LN(2)/35))/(LN(2)/35)*ER183*ES183*VLOOKUP('Données projet'!$B$15,Paramètres!$A$1:$I$89,3,0)*0.475*44/12</f>
        <v>14.1124101093631</v>
      </c>
      <c r="EW183" s="23">
        <f>EXP(-LN(2)/25)*EW182+(1-EXP(-LN(2)/25))/(LN(2)/25)*Calculateur!ER183*Calculateur!ET183*VLOOKUP('Données projet'!$B$15,Paramètres!$A$1:$I$89,3,0)*0.475*44/12</f>
        <v>0</v>
      </c>
      <c r="EX183" s="23">
        <f>EXP(-LN(2)/2)*EX182+(1-EXP(-LN(2)/2))/(LN(2)/2)*ER183*EU183*VLOOKUP('Données projet'!$B$15,Paramètres!$A$1:$I$89,3,0)*0.475*44/12</f>
        <v>0</v>
      </c>
      <c r="EY183" s="24">
        <f t="shared" si="181"/>
        <v>14.1124101093631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5.6843418860808015E-14</v>
      </c>
      <c r="FF183" s="18">
        <f>FE183*VLOOKUP('Données projet'!$B$16,Paramètres!$A$1:$I$89,3,0)*VLOOKUP('Données projet'!$B$16,Paramètres!$A$1:$I$89,5,0)</f>
        <v>5.4978954722173515E-14</v>
      </c>
      <c r="FG183" s="14">
        <f t="shared" si="182"/>
        <v>8.8550225887742724E-13</v>
      </c>
      <c r="FH183" s="22">
        <f t="shared" si="183"/>
        <v>1.6380047803526383E-12</v>
      </c>
      <c r="FI183" s="62">
        <f t="shared" si="131"/>
        <v>289.40522170385628</v>
      </c>
      <c r="FJ183" s="62">
        <f ca="1">AVERAGE(OFFSET($FI$3,0,0,'Données projet'!$E$16+1,1))-AVERAGE(OFFSET($H$3,0,0,'Données projet'!$E$16+1,1))</f>
        <v>369.69145521630799</v>
      </c>
      <c r="FK183" s="62">
        <f t="shared" si="156"/>
        <v>360.24112103688719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>
        <f>EXP(-LN(2)/35)*FQ182+(1-EXP(-LN(2)/35))/(LN(2)/35)*FM183*FN183*VLOOKUP('Données projet'!$B$16,Paramètres!$A$1:$I$89,3,0)*0.475*44/12</f>
        <v>18.6163707825641</v>
      </c>
      <c r="FR183" s="23">
        <f>EXP(-LN(2)/25)*FR182+(1-EXP(-LN(2)/25))/(LN(2)/25)*Calculateur!FM183*Calculateur!FO183*VLOOKUP('Données projet'!$B$16,Paramètres!$A$1:$I$89,3,0)*0.475*44/12</f>
        <v>0</v>
      </c>
      <c r="FS183" s="23">
        <f>EXP(-LN(2)/2)*FS182+(1-EXP(-LN(2)/2))/(LN(2)/2)*FM183*FP183*VLOOKUP('Données projet'!$B$16,Paramètres!$A$1:$I$89,3,0)*0.475*44/12</f>
        <v>0</v>
      </c>
      <c r="FT183" s="24">
        <f t="shared" si="184"/>
        <v>18.6163707825641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5.6843418860808015E-14</v>
      </c>
      <c r="GA183" s="18">
        <f>FZ183*VLOOKUP('Données projet'!$B$17,Paramètres!$A$1:$I$89,3,0)*VLOOKUP('Données projet'!$B$17,Paramètres!$A$1:$I$89,5,0)</f>
        <v>6.1186256061773749E-14</v>
      </c>
      <c r="GB183" s="14">
        <f t="shared" si="185"/>
        <v>9.7328366192051127E-13</v>
      </c>
      <c r="GC183" s="22">
        <f t="shared" si="186"/>
        <v>1.8017017738191463E-12</v>
      </c>
      <c r="GD183" s="62">
        <f t="shared" si="134"/>
        <v>289.40522170385645</v>
      </c>
      <c r="GE183" s="62">
        <f ca="1">AVERAGE(OFFSET($GD$3,0,0,'Données projet'!$E$17+1,1))-AVERAGE(OFFSET($H$3,0,0,'Données projet'!$E$17+1,1))</f>
        <v>405.06394904053946</v>
      </c>
      <c r="GF183" s="62">
        <f t="shared" si="158"/>
        <v>393.75247087518198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>
        <f>EXP(-LN(2)/35)*GL182+(1-EXP(-LN(2)/35))/(LN(2)/35)*GH183*GI183*VLOOKUP('Données projet'!$B$17,Paramètres!$A$1:$I$89,3,0)*0.475*44/12</f>
        <v>20.71821909672455</v>
      </c>
      <c r="GM183" s="23">
        <f>EXP(-LN(2)/25)*GM182+(1-EXP(-LN(2)/25))/(LN(2)/25)*Calculateur!GH183*Calculateur!GJ183*VLOOKUP('Données projet'!$B$17,Paramètres!$A$1:$I$89,3,0)*0.475*44/12</f>
        <v>0</v>
      </c>
      <c r="GN183" s="23">
        <f>EXP(-LN(2)/2)*GN182+(1-EXP(-LN(2)/2))/(LN(2)/2)*GH183*GK183*VLOOKUP('Données projet'!$B$17,Paramètres!$A$1:$I$89,3,0)*0.475*44/12</f>
        <v>0</v>
      </c>
      <c r="GO183" s="23">
        <f t="shared" si="187"/>
        <v>20.71821909672455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5.6843418860808015E-14</v>
      </c>
      <c r="GV183" s="18">
        <f>GU183*VLOOKUP('Données projet'!$B$18,Paramètres!$A$1:$I$89,3,0)*VLOOKUP('Données projet'!$B$18,Paramètres!$A$1:$I$89,5,0)</f>
        <v>3.813056537183002E-14</v>
      </c>
      <c r="GW183" s="14">
        <f t="shared" si="188"/>
        <v>6.4086286045526829E-13</v>
      </c>
      <c r="GX183" s="22">
        <f t="shared" si="189"/>
        <v>1.1825802166488628E-12</v>
      </c>
      <c r="GY183" s="62">
        <f t="shared" si="137"/>
        <v>289.40522170385583</v>
      </c>
      <c r="GZ183" s="62">
        <f ca="1">AVERAGE(OFFSET($GY$3,0,0,'Données projet'!$E$18+1,1))-AVERAGE(OFFSET($H$3,0,0,'Données projet'!$E$18+1,1))</f>
        <v>273.21861937609918</v>
      </c>
      <c r="HA183" s="62">
        <f t="shared" si="160"/>
        <v>268.83004886965318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>
        <f>EXP(-LN(2)/35)*HG182+(1-EXP(-LN(2)/35))/(LN(2)/35)*HC183*HD183*VLOOKUP('Données projet'!$B$18,Paramètres!$A$1:$I$89,3,0)*0.475*44/12</f>
        <v>15.913994378643499</v>
      </c>
      <c r="HH183" s="23">
        <f>EXP(-LN(2)/25)*HH182+(1-EXP(-LN(2)/25))/(LN(2)/25)*Calculateur!HC183*Calculateur!HE183*VLOOKUP('Données projet'!$B$18,Paramètres!$A$1:$I$89,3,0)*0.475*44/12</f>
        <v>0</v>
      </c>
      <c r="HI183" s="23">
        <f>EXP(-LN(2)/2)*HI182+(1-EXP(-LN(2)/2))/(LN(2)/2)*HC183*HF183*VLOOKUP('Données projet'!$B$18,Paramètres!$A$1:$I$89,3,0)*0.475*44/12</f>
        <v>0</v>
      </c>
      <c r="HJ183" s="24">
        <f t="shared" si="190"/>
        <v>15.913994378643499</v>
      </c>
    </row>
    <row r="184" spans="1:218" x14ac:dyDescent="0.4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1.5675675675675675</v>
      </c>
      <c r="N184" s="14">
        <f>IF('Données projet'!$A$36&gt;35,N183+M184-V183,IF(A184&lt;'Données projet'!$A$36,$K$205^A184,IF(A184='Données projet'!$A$36,'Données projet'!$B$36,N183+M184-V183)))</f>
        <v>-143.84419713831485</v>
      </c>
      <c r="O184" s="14">
        <f>N184*VLOOKUP('Données projet'!$B$9,Paramètres!$A$1:$I$89,3,0)*VLOOKUP('Données projet'!$B$9,Paramètres!$A$1:$I$89,5,0)</f>
        <v>-130.15022957074726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432.80275651765203</v>
      </c>
      <c r="T184" s="62">
        <f t="shared" si="142"/>
        <v>203.89279893419919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181.7484851178223</v>
      </c>
      <c r="AA184" s="23">
        <f>EXP(-LN(2)/25)*AA183+(1-EXP(-LN(2)/25))/(LN(2)/25)*Calculateur!V184*Calculateur!X184*VLOOKUP('Données projet'!$B$9,Paramètres!$A$1:$I$89,3,0)*0.475*44/12</f>
        <v>14.943327463267364</v>
      </c>
      <c r="AB184" s="23">
        <f>EXP(-LN(2)/2)*AB183+(1-EXP(-LN(2)/2))/(LN(2)/2)*V184*Y184*VLOOKUP('Données projet'!$B$9,Paramètres!$A$1:$I$89,3,0)*0.475*44/12</f>
        <v>0</v>
      </c>
      <c r="AC184" s="24">
        <f t="shared" si="163"/>
        <v>196.69181258108966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54.000000000000341</v>
      </c>
      <c r="AJ184" s="14">
        <f>AI184*VLOOKUP('Données projet'!$B$10,Paramètres!$A$1:$I$89,3,0)*VLOOKUP('Données projet'!$B$10,Paramètres!$A$1:$I$89,5,0)</f>
        <v>23.868000000000151</v>
      </c>
      <c r="AK184" s="14">
        <f t="shared" si="164"/>
        <v>7.6030930962115804</v>
      </c>
      <c r="AL184" s="22">
        <f t="shared" si="165"/>
        <v>54.812153809235433</v>
      </c>
      <c r="AM184" s="62">
        <f t="shared" si="113"/>
        <v>344.28551946791953</v>
      </c>
      <c r="AN184" s="62">
        <f ca="1">AVERAGE(OFFSET($AM$3,0,0,'Données projet'!$E$10+1,1))-AVERAGE(OFFSET($H$3,0,0,'Données projet'!$E$10+1,1))</f>
        <v>413.08876898406481</v>
      </c>
      <c r="AO184" s="62">
        <f t="shared" si="144"/>
        <v>520.31320932826566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25.017304806025408</v>
      </c>
      <c r="AV184" s="23">
        <f>EXP(-LN(2)/25)*AV183+(1-EXP(-LN(2)/25))/(LN(2)/25)*Calculateur!AQ184*Calculateur!AS184*VLOOKUP('Données projet'!$B$10,Paramètres!$A$1:$I$89,3,0)*0.475*44/12</f>
        <v>0.70452509512907291</v>
      </c>
      <c r="AW184" s="23">
        <f>EXP(-LN(2)/2)*AW183+(1-EXP(-LN(2)/2))/(LN(2)/2)*AQ184*AT184*VLOOKUP('Données projet'!$B$10,Paramètres!$A$1:$I$89,3,0)*0.475*44/12</f>
        <v>1.3647799973684889E-20</v>
      </c>
      <c r="AX184" s="23">
        <f t="shared" si="166"/>
        <v>25.721829901154479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54.000000000000341</v>
      </c>
      <c r="BE184" s="14">
        <f>BD184*VLOOKUP('Données projet'!$B$11,Paramètres!$A$1:$I$89,3,0)*VLOOKUP('Données projet'!$B$11,Paramètres!$A$1:$I$89,5,0)</f>
        <v>30.186000000000188</v>
      </c>
      <c r="BF184" s="14">
        <f t="shared" si="167"/>
        <v>9.3563888882899153</v>
      </c>
      <c r="BG184" s="22">
        <f t="shared" si="168"/>
        <v>68.869660647105263</v>
      </c>
      <c r="BH184" s="62">
        <f t="shared" si="116"/>
        <v>358.34302630578935</v>
      </c>
      <c r="BI184" s="62">
        <f ca="1">AVERAGE(OFFSET($BH$3,0,0,'Données projet'!$E$11+1,1))-AVERAGE(OFFSET($H$3,0,0,'Données projet'!$E$11+1,1))</f>
        <v>507.66185230065889</v>
      </c>
      <c r="BJ184" s="62">
        <f t="shared" si="146"/>
        <v>640.14375617778342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31.639532548796797</v>
      </c>
      <c r="BQ184" s="23">
        <f>EXP(-LN(2)/25)*BQ183+(1-EXP(-LN(2)/25))/(LN(2)/25)*Calculateur!BL184*Calculateur!BN184*VLOOKUP('Données projet'!$B$11,Paramètres!$A$1:$I$89,3,0)*0.475*44/12</f>
        <v>0.89101703207500482</v>
      </c>
      <c r="BR184" s="23">
        <f>EXP(-LN(2)/2)*BR183+(1-EXP(-LN(2)/2))/(LN(2)/2)*BL184*BO184*VLOOKUP('Données projet'!$B$11,Paramètres!$A$1:$I$89,3,0)*0.475*44/12</f>
        <v>1.7260452907895606E-20</v>
      </c>
      <c r="BS184" s="24">
        <f t="shared" si="169"/>
        <v>32.530549580871799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417.04879970000007</v>
      </c>
      <c r="BZ184" s="14">
        <f>BY184*VLOOKUP('Données projet'!$B$12,Paramètres!$A$1:$I$89,3,0)*VLOOKUP('Données projet'!$B$12,Paramètres!$A$1:$I$89,5,0)</f>
        <v>195.17883825960004</v>
      </c>
      <c r="CA184" s="14">
        <f t="shared" si="170"/>
        <v>48.683122291673484</v>
      </c>
      <c r="CB184" s="22">
        <f t="shared" si="171"/>
        <v>424.72624796013469</v>
      </c>
      <c r="CC184" s="62">
        <f t="shared" si="119"/>
        <v>714.19961361881883</v>
      </c>
      <c r="CD184" s="62">
        <f ca="1">AVERAGE(OFFSET($CC$3,0,0,'Données projet'!$E$12+1,1))-AVERAGE(OFFSET($H$3,0,0,'Données projet'!$E$12+1,1))</f>
        <v>289.21044803824958</v>
      </c>
      <c r="CE184" s="62">
        <f t="shared" si="148"/>
        <v>196.11836398299445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>
        <f>EXP(-LN(2)/35)*CK183+(1-EXP(-LN(2)/35))/(LN(2)/35)*CG184*CH184*VLOOKUP('Données projet'!$B$12,Paramètres!$A$1:$I$89,3,0)*0.475*44/12</f>
        <v>13.847657224314032</v>
      </c>
      <c r="CL184" s="23">
        <f>EXP(-LN(2)/25)*CL183+(1-EXP(-LN(2)/25))/(LN(2)/25)*Calculateur!CG184*Calculateur!CI184*VLOOKUP('Données projet'!$B$12,Paramètres!$A$1:$I$89,3,0)*0.475*44/12</f>
        <v>3.3932344387824087</v>
      </c>
      <c r="CM184" s="23">
        <f>EXP(-LN(2)/2)*CM183+(1-EXP(-LN(2)/2))/(LN(2)/2)*CG184*CJ184*VLOOKUP('Données projet'!$B$12,Paramètres!$A$1:$I$89,3,0)*0.475*44/12</f>
        <v>0</v>
      </c>
      <c r="CN184" s="24">
        <f t="shared" si="172"/>
        <v>17.240891663096441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-5.6843418860808015E-14</v>
      </c>
      <c r="CU184" s="18">
        <f>CT184*VLOOKUP('Données projet'!$B$13,Paramètres!$A$1:$I$89,3,0)*VLOOKUP('Données projet'!$B$13,Paramètres!$A$1:$I$89,5,0)</f>
        <v>-5.1431925385259088E-14</v>
      </c>
      <c r="CV184" s="14" t="e">
        <f t="shared" si="173"/>
        <v>#NUM!</v>
      </c>
      <c r="CW184" s="22" t="e">
        <f t="shared" si="174"/>
        <v>#NUM!</v>
      </c>
      <c r="CX184" s="62" t="e">
        <f t="shared" si="122"/>
        <v>#NUM!</v>
      </c>
      <c r="CY184" s="62">
        <f ca="1">AVERAGE(OFFSET($CX$3,0,0,'Données projet'!$E$13+1,1))-AVERAGE(OFFSET($H$3,0,0,'Données projet'!$E$13+1,1))</f>
        <v>376.68007030857598</v>
      </c>
      <c r="CZ184" s="62">
        <f t="shared" si="150"/>
        <v>532.90758914457626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>
        <f>EXP(-LN(2)/35)*DF183+(1-EXP(-LN(2)/35))/(LN(2)/35)*DB184*DC184*VLOOKUP('Données projet'!$B$13,Paramètres!$A$1:$I$89,3,0)*0.475*44/12</f>
        <v>6.3337219866375358</v>
      </c>
      <c r="DG184" s="23">
        <f>EXP(-LN(2)/25)*DG183+(1-EXP(-LN(2)/25))/(LN(2)/25)*Calculateur!DB184*Calculateur!DD184*VLOOKUP('Données projet'!$B$13,Paramètres!$A$1:$I$89,3,0)*0.475*44/12</f>
        <v>0.19909413562342446</v>
      </c>
      <c r="DH184" s="23">
        <f>EXP(-LN(2)/2)*DH183+(1-EXP(-LN(2)/2))/(LN(2)/2)*DB184*DE184*VLOOKUP('Données projet'!$B$13,Paramètres!$A$1:$I$89,3,0)*0.475*44/12</f>
        <v>0</v>
      </c>
      <c r="DI184" s="24">
        <f t="shared" si="175"/>
        <v>6.53281612226096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5.6843418860808015E-14</v>
      </c>
      <c r="DP184" s="18">
        <f>DO184*VLOOKUP('Données projet'!$B$14,Paramètres!$A$1:$I$89,3,0)*VLOOKUP('Données projet'!$B$14,Paramètres!$A$1:$I$89,5,0)</f>
        <v>5.4092197387944907E-14</v>
      </c>
      <c r="DQ184" s="14">
        <f t="shared" si="176"/>
        <v>8.7287050538073676E-13</v>
      </c>
      <c r="DR184" s="22">
        <f t="shared" si="177"/>
        <v>1.6144600406554537E-12</v>
      </c>
      <c r="DS184" s="62">
        <f t="shared" si="125"/>
        <v>289.47336565868568</v>
      </c>
      <c r="DT184" s="62">
        <f ca="1">AVERAGE(OFFSET($DS$3,0,0,'Données projet'!$E$14+1,1))-AVERAGE(OFFSET($H$3,0,0,'Données projet'!$E$14+1,1))</f>
        <v>364.63161066507769</v>
      </c>
      <c r="DU184" s="62">
        <f t="shared" si="152"/>
        <v>355.44729904860708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>
        <f>EXP(-LN(2)/35)*EA183+(1-EXP(-LN(2)/35))/(LN(2)/35)*DW184*DX184*VLOOKUP('Données projet'!$B$14,Paramètres!$A$1:$I$89,3,0)*0.475*44/12</f>
        <v>17.956939056280053</v>
      </c>
      <c r="EB184" s="23">
        <f>EXP(-LN(2)/25)*EB183+(1-EXP(-LN(2)/25))/(LN(2)/25)*Calculateur!DW184*Calculateur!DY184*VLOOKUP('Données projet'!$B$14,Paramètres!$A$1:$I$89,3,0)*0.475*44/12</f>
        <v>0</v>
      </c>
      <c r="EC184" s="23">
        <f>EXP(-LN(2)/2)*EC183+(1-EXP(-LN(2)/2))/(LN(2)/2)*DW184*DZ184*VLOOKUP('Données projet'!$B$14,Paramètres!$A$1:$I$89,3,0)*0.475*44/12</f>
        <v>0</v>
      </c>
      <c r="ED184" s="24">
        <f t="shared" si="178"/>
        <v>17.956939056280053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5.6843418860808015E-14</v>
      </c>
      <c r="EK184" s="18">
        <f>EJ184*VLOOKUP('Données projet'!$B$15,Paramètres!$A$1:$I$89,3,0)*VLOOKUP('Données projet'!$B$15,Paramètres!$A$1:$I$89,5,0)</f>
        <v>4.1677594708744434E-14</v>
      </c>
      <c r="EL184" s="14">
        <f t="shared" si="179"/>
        <v>6.9326303456159188E-13</v>
      </c>
      <c r="EM184" s="22">
        <f t="shared" si="180"/>
        <v>1.2800215959791691E-12</v>
      </c>
      <c r="EN184" s="62">
        <f t="shared" si="128"/>
        <v>289.4733656586854</v>
      </c>
      <c r="EO184" s="62">
        <f ca="1">AVERAGE(OFFSET($EN$3,0,0,'Données projet'!$E$15+1,1))-AVERAGE(OFFSET($H$3,0,0,'Données projet'!$E$15+1,1))</f>
        <v>293.59366973965774</v>
      </c>
      <c r="EP184" s="62">
        <f t="shared" si="154"/>
        <v>288.13804536120426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>
        <f>EXP(-LN(2)/35)*EV183+(1-EXP(-LN(2)/35))/(LN(2)/35)*ER184*ES184*VLOOKUP('Données projet'!$B$15,Paramètres!$A$1:$I$89,3,0)*0.475*44/12</f>
        <v>13.835674354838716</v>
      </c>
      <c r="EW184" s="23">
        <f>EXP(-LN(2)/25)*EW183+(1-EXP(-LN(2)/25))/(LN(2)/25)*Calculateur!ER184*Calculateur!ET184*VLOOKUP('Données projet'!$B$15,Paramètres!$A$1:$I$89,3,0)*0.475*44/12</f>
        <v>0</v>
      </c>
      <c r="EX184" s="23">
        <f>EXP(-LN(2)/2)*EX183+(1-EXP(-LN(2)/2))/(LN(2)/2)*ER184*EU184*VLOOKUP('Données projet'!$B$15,Paramètres!$A$1:$I$89,3,0)*0.475*44/12</f>
        <v>0</v>
      </c>
      <c r="EY184" s="24">
        <f t="shared" si="181"/>
        <v>13.835674354838716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5.6843418860808015E-14</v>
      </c>
      <c r="FF184" s="18">
        <f>FE184*VLOOKUP('Données projet'!$B$16,Paramètres!$A$1:$I$89,3,0)*VLOOKUP('Données projet'!$B$16,Paramètres!$A$1:$I$89,5,0)</f>
        <v>5.4978954722173515E-14</v>
      </c>
      <c r="FG184" s="14">
        <f t="shared" si="182"/>
        <v>8.8550225887742724E-13</v>
      </c>
      <c r="FH184" s="22">
        <f t="shared" si="183"/>
        <v>1.6380047803526383E-12</v>
      </c>
      <c r="FI184" s="62">
        <f t="shared" si="131"/>
        <v>289.47336565868574</v>
      </c>
      <c r="FJ184" s="62">
        <f ca="1">AVERAGE(OFFSET($FI$3,0,0,'Données projet'!$E$16+1,1))-AVERAGE(OFFSET($H$3,0,0,'Données projet'!$E$16+1,1))</f>
        <v>369.69145521630799</v>
      </c>
      <c r="FK184" s="62">
        <f t="shared" si="156"/>
        <v>360.24112103688719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>
        <f>EXP(-LN(2)/35)*FQ183+(1-EXP(-LN(2)/35))/(LN(2)/35)*FM184*FN184*VLOOKUP('Données projet'!$B$16,Paramètres!$A$1:$I$89,3,0)*0.475*44/12</f>
        <v>18.251315106382997</v>
      </c>
      <c r="FR184" s="23">
        <f>EXP(-LN(2)/25)*FR183+(1-EXP(-LN(2)/25))/(LN(2)/25)*Calculateur!FM184*Calculateur!FO184*VLOOKUP('Données projet'!$B$16,Paramètres!$A$1:$I$89,3,0)*0.475*44/12</f>
        <v>0</v>
      </c>
      <c r="FS184" s="23">
        <f>EXP(-LN(2)/2)*FS183+(1-EXP(-LN(2)/2))/(LN(2)/2)*FM184*FP184*VLOOKUP('Données projet'!$B$16,Paramètres!$A$1:$I$89,3,0)*0.475*44/12</f>
        <v>0</v>
      </c>
      <c r="FT184" s="24">
        <f t="shared" si="184"/>
        <v>18.251315106382997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5.6843418860808015E-14</v>
      </c>
      <c r="GA184" s="18">
        <f>FZ184*VLOOKUP('Données projet'!$B$17,Paramètres!$A$1:$I$89,3,0)*VLOOKUP('Données projet'!$B$17,Paramètres!$A$1:$I$89,5,0)</f>
        <v>6.1186256061773749E-14</v>
      </c>
      <c r="GB184" s="14">
        <f t="shared" si="185"/>
        <v>9.7328366192051127E-13</v>
      </c>
      <c r="GC184" s="22">
        <f t="shared" si="186"/>
        <v>1.8017017738191463E-12</v>
      </c>
      <c r="GD184" s="62">
        <f t="shared" si="134"/>
        <v>289.47336565868591</v>
      </c>
      <c r="GE184" s="62">
        <f ca="1">AVERAGE(OFFSET($GD$3,0,0,'Données projet'!$E$17+1,1))-AVERAGE(OFFSET($H$3,0,0,'Données projet'!$E$17+1,1))</f>
        <v>405.06394904053946</v>
      </c>
      <c r="GF184" s="62">
        <f t="shared" si="158"/>
        <v>393.75247087518198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>
        <f>EXP(-LN(2)/35)*GL183+(1-EXP(-LN(2)/35))/(LN(2)/35)*GH184*GI184*VLOOKUP('Données projet'!$B$17,Paramètres!$A$1:$I$89,3,0)*0.475*44/12</f>
        <v>20.311947457103642</v>
      </c>
      <c r="GM184" s="23">
        <f>EXP(-LN(2)/25)*GM183+(1-EXP(-LN(2)/25))/(LN(2)/25)*Calculateur!GH184*Calculateur!GJ184*VLOOKUP('Données projet'!$B$17,Paramètres!$A$1:$I$89,3,0)*0.475*44/12</f>
        <v>0</v>
      </c>
      <c r="GN184" s="23">
        <f>EXP(-LN(2)/2)*GN183+(1-EXP(-LN(2)/2))/(LN(2)/2)*GH184*GK184*VLOOKUP('Données projet'!$B$17,Paramètres!$A$1:$I$89,3,0)*0.475*44/12</f>
        <v>0</v>
      </c>
      <c r="GO184" s="23">
        <f t="shared" si="187"/>
        <v>20.311947457103642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5.6843418860808015E-14</v>
      </c>
      <c r="GV184" s="18">
        <f>GU184*VLOOKUP('Données projet'!$B$18,Paramètres!$A$1:$I$89,3,0)*VLOOKUP('Données projet'!$B$18,Paramètres!$A$1:$I$89,5,0)</f>
        <v>3.813056537183002E-14</v>
      </c>
      <c r="GW184" s="14">
        <f t="shared" si="188"/>
        <v>6.4086286045526829E-13</v>
      </c>
      <c r="GX184" s="22">
        <f t="shared" si="189"/>
        <v>1.1825802166488628E-12</v>
      </c>
      <c r="GY184" s="62">
        <f t="shared" si="137"/>
        <v>289.47336565868528</v>
      </c>
      <c r="GZ184" s="62">
        <f ca="1">AVERAGE(OFFSET($GY$3,0,0,'Données projet'!$E$18+1,1))-AVERAGE(OFFSET($H$3,0,0,'Données projet'!$E$18+1,1))</f>
        <v>273.21861937609918</v>
      </c>
      <c r="HA184" s="62">
        <f t="shared" si="160"/>
        <v>268.83004886965318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>
        <f>EXP(-LN(2)/35)*HG183+(1-EXP(-LN(2)/35))/(LN(2)/35)*HC184*HD184*VLOOKUP('Données projet'!$B$18,Paramètres!$A$1:$I$89,3,0)*0.475*44/12</f>
        <v>15.601930655456426</v>
      </c>
      <c r="HH184" s="23">
        <f>EXP(-LN(2)/25)*HH183+(1-EXP(-LN(2)/25))/(LN(2)/25)*Calculateur!HC184*Calculateur!HE184*VLOOKUP('Données projet'!$B$18,Paramètres!$A$1:$I$89,3,0)*0.475*44/12</f>
        <v>0</v>
      </c>
      <c r="HI184" s="23">
        <f>EXP(-LN(2)/2)*HI183+(1-EXP(-LN(2)/2))/(LN(2)/2)*HC184*HF184*VLOOKUP('Données projet'!$B$18,Paramètres!$A$1:$I$89,3,0)*0.475*44/12</f>
        <v>0</v>
      </c>
      <c r="HJ184" s="24">
        <f t="shared" si="190"/>
        <v>15.601930655456426</v>
      </c>
    </row>
    <row r="185" spans="1:218" x14ac:dyDescent="0.4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1.5675675675675675</v>
      </c>
      <c r="N185" s="14">
        <f>IF('Données projet'!$A$36&gt;35,N184+M185-V184,IF(A185&lt;'Données projet'!$A$36,$K$205^A185,IF(A185='Données projet'!$A$36,'Données projet'!$B$36,N184+M185-V184)))</f>
        <v>-142.27662957074728</v>
      </c>
      <c r="O185" s="14">
        <f>N185*VLOOKUP('Données projet'!$B$9,Paramètres!$A$1:$I$89,3,0)*VLOOKUP('Données projet'!$B$9,Paramètres!$A$1:$I$89,5,0)</f>
        <v>-128.73189443561213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432.80275651765203</v>
      </c>
      <c r="T185" s="62">
        <f t="shared" si="142"/>
        <v>203.89279893419919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178.18450818029163</v>
      </c>
      <c r="AA185" s="23">
        <f>EXP(-LN(2)/25)*AA184+(1-EXP(-LN(2)/25))/(LN(2)/25)*Calculateur!V185*Calculateur!X185*VLOOKUP('Données projet'!$B$9,Paramètres!$A$1:$I$89,3,0)*0.475*44/12</f>
        <v>14.53470138794888</v>
      </c>
      <c r="AB185" s="23">
        <f>EXP(-LN(2)/2)*AB184+(1-EXP(-LN(2)/2))/(LN(2)/2)*V185*Y185*VLOOKUP('Données projet'!$B$9,Paramètres!$A$1:$I$89,3,0)*0.475*44/12</f>
        <v>0</v>
      </c>
      <c r="AC185" s="24">
        <f t="shared" si="163"/>
        <v>192.7192095682405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54.000000000000341</v>
      </c>
      <c r="AJ185" s="14">
        <f>AI185*VLOOKUP('Données projet'!$B$10,Paramètres!$A$1:$I$89,3,0)*VLOOKUP('Données projet'!$B$10,Paramètres!$A$1:$I$89,5,0)</f>
        <v>23.868000000000151</v>
      </c>
      <c r="AK185" s="14">
        <f t="shared" si="164"/>
        <v>7.6030930962115804</v>
      </c>
      <c r="AL185" s="22">
        <f t="shared" si="165"/>
        <v>54.812153809235433</v>
      </c>
      <c r="AM185" s="62">
        <f t="shared" si="113"/>
        <v>344.35248127747985</v>
      </c>
      <c r="AN185" s="62">
        <f ca="1">AVERAGE(OFFSET($AM$3,0,0,'Données projet'!$E$10+1,1))-AVERAGE(OFFSET($H$3,0,0,'Données projet'!$E$10+1,1))</f>
        <v>413.08876898406481</v>
      </c>
      <c r="AO185" s="62">
        <f t="shared" si="144"/>
        <v>520.31320932826566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24.526730717828475</v>
      </c>
      <c r="AV185" s="23">
        <f>EXP(-LN(2)/25)*AV184+(1-EXP(-LN(2)/25))/(LN(2)/25)*Calculateur!AQ185*Calculateur!AS185*VLOOKUP('Données projet'!$B$10,Paramètres!$A$1:$I$89,3,0)*0.475*44/12</f>
        <v>0.68525981935340385</v>
      </c>
      <c r="AW185" s="23">
        <f>EXP(-LN(2)/2)*AW184+(1-EXP(-LN(2)/2))/(LN(2)/2)*AQ185*AT185*VLOOKUP('Données projet'!$B$10,Paramètres!$A$1:$I$89,3,0)*0.475*44/12</f>
        <v>9.65045190967017E-21</v>
      </c>
      <c r="AX185" s="23">
        <f t="shared" si="166"/>
        <v>25.21199053718188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54.000000000000341</v>
      </c>
      <c r="BE185" s="14">
        <f>BD185*VLOOKUP('Données projet'!$B$11,Paramètres!$A$1:$I$89,3,0)*VLOOKUP('Données projet'!$B$11,Paramètres!$A$1:$I$89,5,0)</f>
        <v>30.186000000000188</v>
      </c>
      <c r="BF185" s="14">
        <f t="shared" si="167"/>
        <v>9.3563888882899153</v>
      </c>
      <c r="BG185" s="22">
        <f t="shared" si="168"/>
        <v>68.869660647105263</v>
      </c>
      <c r="BH185" s="62">
        <f t="shared" si="116"/>
        <v>358.40998811534968</v>
      </c>
      <c r="BI185" s="62">
        <f ca="1">AVERAGE(OFFSET($BH$3,0,0,'Données projet'!$E$11+1,1))-AVERAGE(OFFSET($H$3,0,0,'Données projet'!$E$11+1,1))</f>
        <v>507.66185230065889</v>
      </c>
      <c r="BJ185" s="62">
        <f t="shared" si="146"/>
        <v>640.14375617778342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31.019100613724206</v>
      </c>
      <c r="BQ185" s="23">
        <f>EXP(-LN(2)/25)*BQ184+(1-EXP(-LN(2)/25))/(LN(2)/25)*Calculateur!BL185*Calculateur!BN185*VLOOKUP('Données projet'!$B$11,Paramètres!$A$1:$I$89,3,0)*0.475*44/12</f>
        <v>0.86665212447636453</v>
      </c>
      <c r="BR185" s="23">
        <f>EXP(-LN(2)/2)*BR184+(1-EXP(-LN(2)/2))/(LN(2)/2)*BL185*BO185*VLOOKUP('Données projet'!$B$11,Paramètres!$A$1:$I$89,3,0)*0.475*44/12</f>
        <v>1.2204983297524047E-20</v>
      </c>
      <c r="BS185" s="24">
        <f t="shared" si="169"/>
        <v>31.885752738200569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417.04879970000007</v>
      </c>
      <c r="BZ185" s="14">
        <f>BY185*VLOOKUP('Données projet'!$B$12,Paramètres!$A$1:$I$89,3,0)*VLOOKUP('Données projet'!$B$12,Paramètres!$A$1:$I$89,5,0)</f>
        <v>195.17883825960004</v>
      </c>
      <c r="CA185" s="14">
        <f t="shared" si="170"/>
        <v>48.683122291673484</v>
      </c>
      <c r="CB185" s="22">
        <f t="shared" si="171"/>
        <v>424.72624796013469</v>
      </c>
      <c r="CC185" s="62">
        <f t="shared" si="119"/>
        <v>714.26657542837916</v>
      </c>
      <c r="CD185" s="62">
        <f ca="1">AVERAGE(OFFSET($CC$3,0,0,'Données projet'!$E$12+1,1))-AVERAGE(OFFSET($H$3,0,0,'Données projet'!$E$12+1,1))</f>
        <v>289.21044803824958</v>
      </c>
      <c r="CE185" s="62">
        <f t="shared" si="148"/>
        <v>196.11836398299445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>
        <f>EXP(-LN(2)/35)*CK184+(1-EXP(-LN(2)/35))/(LN(2)/35)*CG185*CH185*VLOOKUP('Données projet'!$B$12,Paramètres!$A$1:$I$89,3,0)*0.475*44/12</f>
        <v>13.576113112382144</v>
      </c>
      <c r="CL185" s="23">
        <f>EXP(-LN(2)/25)*CL184+(1-EXP(-LN(2)/25))/(LN(2)/25)*Calculateur!CG185*Calculateur!CI185*VLOOKUP('Données projet'!$B$12,Paramètres!$A$1:$I$89,3,0)*0.475*44/12</f>
        <v>3.3004462646114598</v>
      </c>
      <c r="CM185" s="23">
        <f>EXP(-LN(2)/2)*CM184+(1-EXP(-LN(2)/2))/(LN(2)/2)*CG185*CJ185*VLOOKUP('Données projet'!$B$12,Paramètres!$A$1:$I$89,3,0)*0.475*44/12</f>
        <v>0</v>
      </c>
      <c r="CN185" s="24">
        <f t="shared" si="172"/>
        <v>16.876559376993605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-5.6843418860808015E-14</v>
      </c>
      <c r="CU185" s="18">
        <f>CT185*VLOOKUP('Données projet'!$B$13,Paramètres!$A$1:$I$89,3,0)*VLOOKUP('Données projet'!$B$13,Paramètres!$A$1:$I$89,5,0)</f>
        <v>-5.1431925385259088E-14</v>
      </c>
      <c r="CV185" s="14" t="e">
        <f t="shared" si="173"/>
        <v>#NUM!</v>
      </c>
      <c r="CW185" s="22" t="e">
        <f t="shared" si="174"/>
        <v>#NUM!</v>
      </c>
      <c r="CX185" s="62" t="e">
        <f t="shared" si="122"/>
        <v>#NUM!</v>
      </c>
      <c r="CY185" s="62">
        <f ca="1">AVERAGE(OFFSET($CX$3,0,0,'Données projet'!$E$13+1,1))-AVERAGE(OFFSET($H$3,0,0,'Données projet'!$E$13+1,1))</f>
        <v>376.68007030857598</v>
      </c>
      <c r="CZ185" s="62">
        <f t="shared" si="150"/>
        <v>532.90758914457626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>
        <f>EXP(-LN(2)/35)*DF184+(1-EXP(-LN(2)/35))/(LN(2)/35)*DB185*DC185*VLOOKUP('Données projet'!$B$13,Paramètres!$A$1:$I$89,3,0)*0.475*44/12</f>
        <v>6.2095215616685273</v>
      </c>
      <c r="DG185" s="23">
        <f>EXP(-LN(2)/25)*DG184+(1-EXP(-LN(2)/25))/(LN(2)/25)*Calculateur!DB185*Calculateur!DD185*VLOOKUP('Données projet'!$B$13,Paramètres!$A$1:$I$89,3,0)*0.475*44/12</f>
        <v>0.19364989601489635</v>
      </c>
      <c r="DH185" s="23">
        <f>EXP(-LN(2)/2)*DH184+(1-EXP(-LN(2)/2))/(LN(2)/2)*DB185*DE185*VLOOKUP('Données projet'!$B$13,Paramètres!$A$1:$I$89,3,0)*0.475*44/12</f>
        <v>0</v>
      </c>
      <c r="DI185" s="24">
        <f t="shared" si="175"/>
        <v>6.403171457683424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5.6843418860808015E-14</v>
      </c>
      <c r="DP185" s="18">
        <f>DO185*VLOOKUP('Données projet'!$B$14,Paramètres!$A$1:$I$89,3,0)*VLOOKUP('Données projet'!$B$14,Paramètres!$A$1:$I$89,5,0)</f>
        <v>5.4092197387944907E-14</v>
      </c>
      <c r="DQ185" s="14">
        <f t="shared" si="176"/>
        <v>8.7287050538073676E-13</v>
      </c>
      <c r="DR185" s="22">
        <f t="shared" si="177"/>
        <v>1.6144600406554537E-12</v>
      </c>
      <c r="DS185" s="62">
        <f t="shared" si="125"/>
        <v>289.54032746824601</v>
      </c>
      <c r="DT185" s="62">
        <f ca="1">AVERAGE(OFFSET($DS$3,0,0,'Données projet'!$E$14+1,1))-AVERAGE(OFFSET($H$3,0,0,'Données projet'!$E$14+1,1))</f>
        <v>364.63161066507769</v>
      </c>
      <c r="DU185" s="62">
        <f t="shared" si="152"/>
        <v>355.44729904860708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>
        <f>EXP(-LN(2)/35)*EA184+(1-EXP(-LN(2)/35))/(LN(2)/35)*DW185*DX185*VLOOKUP('Données projet'!$B$14,Paramètres!$A$1:$I$89,3,0)*0.475*44/12</f>
        <v>17.604814434037742</v>
      </c>
      <c r="EB185" s="23">
        <f>EXP(-LN(2)/25)*EB184+(1-EXP(-LN(2)/25))/(LN(2)/25)*Calculateur!DW185*Calculateur!DY185*VLOOKUP('Données projet'!$B$14,Paramètres!$A$1:$I$89,3,0)*0.475*44/12</f>
        <v>0</v>
      </c>
      <c r="EC185" s="23">
        <f>EXP(-LN(2)/2)*EC184+(1-EXP(-LN(2)/2))/(LN(2)/2)*DW185*DZ185*VLOOKUP('Données projet'!$B$14,Paramètres!$A$1:$I$89,3,0)*0.475*44/12</f>
        <v>0</v>
      </c>
      <c r="ED185" s="24">
        <f t="shared" si="178"/>
        <v>17.604814434037742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5.6843418860808015E-14</v>
      </c>
      <c r="EK185" s="18">
        <f>EJ185*VLOOKUP('Données projet'!$B$15,Paramètres!$A$1:$I$89,3,0)*VLOOKUP('Données projet'!$B$15,Paramètres!$A$1:$I$89,5,0)</f>
        <v>4.1677594708744434E-14</v>
      </c>
      <c r="EL185" s="14">
        <f t="shared" si="179"/>
        <v>6.9326303456159188E-13</v>
      </c>
      <c r="EM185" s="22">
        <f t="shared" si="180"/>
        <v>1.2800215959791691E-12</v>
      </c>
      <c r="EN185" s="62">
        <f t="shared" si="128"/>
        <v>289.54032746824572</v>
      </c>
      <c r="EO185" s="62">
        <f ca="1">AVERAGE(OFFSET($EN$3,0,0,'Données projet'!$E$15+1,1))-AVERAGE(OFFSET($H$3,0,0,'Données projet'!$E$15+1,1))</f>
        <v>293.59366973965774</v>
      </c>
      <c r="EP185" s="62">
        <f t="shared" si="154"/>
        <v>288.13804536120426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>
        <f>EXP(-LN(2)/35)*EV184+(1-EXP(-LN(2)/35))/(LN(2)/35)*ER185*ES185*VLOOKUP('Données projet'!$B$15,Paramètres!$A$1:$I$89,3,0)*0.475*44/12</f>
        <v>13.56436521966841</v>
      </c>
      <c r="EW185" s="23">
        <f>EXP(-LN(2)/25)*EW184+(1-EXP(-LN(2)/25))/(LN(2)/25)*Calculateur!ER185*Calculateur!ET185*VLOOKUP('Données projet'!$B$15,Paramètres!$A$1:$I$89,3,0)*0.475*44/12</f>
        <v>0</v>
      </c>
      <c r="EX185" s="23">
        <f>EXP(-LN(2)/2)*EX184+(1-EXP(-LN(2)/2))/(LN(2)/2)*ER185*EU185*VLOOKUP('Données projet'!$B$15,Paramètres!$A$1:$I$89,3,0)*0.475*44/12</f>
        <v>0</v>
      </c>
      <c r="EY185" s="24">
        <f t="shared" si="181"/>
        <v>13.56436521966841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5.6843418860808015E-14</v>
      </c>
      <c r="FF185" s="18">
        <f>FE185*VLOOKUP('Données projet'!$B$16,Paramètres!$A$1:$I$89,3,0)*VLOOKUP('Données projet'!$B$16,Paramètres!$A$1:$I$89,5,0)</f>
        <v>5.4978954722173515E-14</v>
      </c>
      <c r="FG185" s="14">
        <f t="shared" si="182"/>
        <v>8.8550225887742724E-13</v>
      </c>
      <c r="FH185" s="22">
        <f t="shared" si="183"/>
        <v>1.6380047803526383E-12</v>
      </c>
      <c r="FI185" s="62">
        <f t="shared" si="131"/>
        <v>289.54032746824606</v>
      </c>
      <c r="FJ185" s="62">
        <f ca="1">AVERAGE(OFFSET($FI$3,0,0,'Données projet'!$E$16+1,1))-AVERAGE(OFFSET($H$3,0,0,'Données projet'!$E$16+1,1))</f>
        <v>369.69145521630799</v>
      </c>
      <c r="FK185" s="62">
        <f t="shared" si="156"/>
        <v>360.24112103688719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>
        <f>EXP(-LN(2)/35)*FQ184+(1-EXP(-LN(2)/35))/(LN(2)/35)*FM185*FN185*VLOOKUP('Données projet'!$B$16,Paramètres!$A$1:$I$89,3,0)*0.475*44/12</f>
        <v>17.893417949349828</v>
      </c>
      <c r="FR185" s="23">
        <f>EXP(-LN(2)/25)*FR184+(1-EXP(-LN(2)/25))/(LN(2)/25)*Calculateur!FM185*Calculateur!FO185*VLOOKUP('Données projet'!$B$16,Paramètres!$A$1:$I$89,3,0)*0.475*44/12</f>
        <v>0</v>
      </c>
      <c r="FS185" s="23">
        <f>EXP(-LN(2)/2)*FS184+(1-EXP(-LN(2)/2))/(LN(2)/2)*FM185*FP185*VLOOKUP('Données projet'!$B$16,Paramètres!$A$1:$I$89,3,0)*0.475*44/12</f>
        <v>0</v>
      </c>
      <c r="FT185" s="24">
        <f t="shared" si="184"/>
        <v>17.893417949349828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5.6843418860808015E-14</v>
      </c>
      <c r="GA185" s="18">
        <f>FZ185*VLOOKUP('Données projet'!$B$17,Paramètres!$A$1:$I$89,3,0)*VLOOKUP('Données projet'!$B$17,Paramètres!$A$1:$I$89,5,0)</f>
        <v>6.1186256061773749E-14</v>
      </c>
      <c r="GB185" s="14">
        <f t="shared" si="185"/>
        <v>9.7328366192051127E-13</v>
      </c>
      <c r="GC185" s="22">
        <f t="shared" si="186"/>
        <v>1.8017017738191463E-12</v>
      </c>
      <c r="GD185" s="62">
        <f t="shared" si="134"/>
        <v>289.54032746824623</v>
      </c>
      <c r="GE185" s="62">
        <f ca="1">AVERAGE(OFFSET($GD$3,0,0,'Données projet'!$E$17+1,1))-AVERAGE(OFFSET($H$3,0,0,'Données projet'!$E$17+1,1))</f>
        <v>405.06394904053946</v>
      </c>
      <c r="GF185" s="62">
        <f t="shared" si="158"/>
        <v>393.75247087518198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>
        <f>EXP(-LN(2)/35)*GL184+(1-EXP(-LN(2)/35))/(LN(2)/35)*GH185*GI185*VLOOKUP('Données projet'!$B$17,Paramètres!$A$1:$I$89,3,0)*0.475*44/12</f>
        <v>19.913642556534469</v>
      </c>
      <c r="GM185" s="23">
        <f>EXP(-LN(2)/25)*GM184+(1-EXP(-LN(2)/25))/(LN(2)/25)*Calculateur!GH185*Calculateur!GJ185*VLOOKUP('Données projet'!$B$17,Paramètres!$A$1:$I$89,3,0)*0.475*44/12</f>
        <v>0</v>
      </c>
      <c r="GN185" s="23">
        <f>EXP(-LN(2)/2)*GN184+(1-EXP(-LN(2)/2))/(LN(2)/2)*GH185*GK185*VLOOKUP('Données projet'!$B$17,Paramètres!$A$1:$I$89,3,0)*0.475*44/12</f>
        <v>0</v>
      </c>
      <c r="GO185" s="23">
        <f t="shared" si="187"/>
        <v>19.913642556534469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5.6843418860808015E-14</v>
      </c>
      <c r="GV185" s="18">
        <f>GU185*VLOOKUP('Données projet'!$B$18,Paramètres!$A$1:$I$89,3,0)*VLOOKUP('Données projet'!$B$18,Paramètres!$A$1:$I$89,5,0)</f>
        <v>3.813056537183002E-14</v>
      </c>
      <c r="GW185" s="14">
        <f t="shared" si="188"/>
        <v>6.4086286045526829E-13</v>
      </c>
      <c r="GX185" s="22">
        <f t="shared" si="189"/>
        <v>1.1825802166488628E-12</v>
      </c>
      <c r="GY185" s="62">
        <f t="shared" si="137"/>
        <v>289.54032746824561</v>
      </c>
      <c r="GZ185" s="62">
        <f ca="1">AVERAGE(OFFSET($GY$3,0,0,'Données projet'!$E$18+1,1))-AVERAGE(OFFSET($H$3,0,0,'Données projet'!$E$18+1,1))</f>
        <v>273.21861937609918</v>
      </c>
      <c r="HA185" s="62">
        <f t="shared" si="160"/>
        <v>268.83004886965318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>
        <f>EXP(-LN(2)/35)*HG184+(1-EXP(-LN(2)/35))/(LN(2)/35)*HC185*HD185*VLOOKUP('Données projet'!$B$18,Paramètres!$A$1:$I$89,3,0)*0.475*44/12</f>
        <v>15.295986311540975</v>
      </c>
      <c r="HH185" s="23">
        <f>EXP(-LN(2)/25)*HH184+(1-EXP(-LN(2)/25))/(LN(2)/25)*Calculateur!HC185*Calculateur!HE185*VLOOKUP('Données projet'!$B$18,Paramètres!$A$1:$I$89,3,0)*0.475*44/12</f>
        <v>0</v>
      </c>
      <c r="HI185" s="23">
        <f>EXP(-LN(2)/2)*HI184+(1-EXP(-LN(2)/2))/(LN(2)/2)*HC185*HF185*VLOOKUP('Données projet'!$B$18,Paramètres!$A$1:$I$89,3,0)*0.475*44/12</f>
        <v>0</v>
      </c>
      <c r="HJ185" s="24">
        <f t="shared" si="190"/>
        <v>15.295986311540975</v>
      </c>
    </row>
    <row r="186" spans="1:218" x14ac:dyDescent="0.4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1.5675675675675675</v>
      </c>
      <c r="N186" s="14">
        <f>IF('Données projet'!$A$36&gt;35,N185+M186-V185,IF(A186&lt;'Données projet'!$A$36,$K$205^A186,IF(A186='Données projet'!$A$36,'Données projet'!$B$36,N185+M186-V185)))</f>
        <v>-140.7090620031797</v>
      </c>
      <c r="O186" s="14">
        <f>N186*VLOOKUP('Données projet'!$B$9,Paramètres!$A$1:$I$89,3,0)*VLOOKUP('Données projet'!$B$9,Paramètres!$A$1:$I$89,5,0)</f>
        <v>-127.313559300477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432.80275651765203</v>
      </c>
      <c r="T186" s="62">
        <f t="shared" si="142"/>
        <v>203.89279893419919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174.69041865669467</v>
      </c>
      <c r="AA186" s="23">
        <f>EXP(-LN(2)/25)*AA185+(1-EXP(-LN(2)/25))/(LN(2)/25)*Calculateur!V186*Calculateur!X186*VLOOKUP('Données projet'!$B$9,Paramètres!$A$1:$I$89,3,0)*0.475*44/12</f>
        <v>14.137249214148692</v>
      </c>
      <c r="AB186" s="23">
        <f>EXP(-LN(2)/2)*AB185+(1-EXP(-LN(2)/2))/(LN(2)/2)*V186*Y186*VLOOKUP('Données projet'!$B$9,Paramètres!$A$1:$I$89,3,0)*0.475*44/12</f>
        <v>0</v>
      </c>
      <c r="AC186" s="24">
        <f t="shared" si="163"/>
        <v>188.82766787084336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54.000000000000341</v>
      </c>
      <c r="AJ186" s="14">
        <f>AI186*VLOOKUP('Données projet'!$B$10,Paramètres!$A$1:$I$89,3,0)*VLOOKUP('Données projet'!$B$10,Paramètres!$A$1:$I$89,5,0)</f>
        <v>23.868000000000151</v>
      </c>
      <c r="AK186" s="14">
        <f t="shared" si="164"/>
        <v>7.6030930962115804</v>
      </c>
      <c r="AL186" s="22">
        <f t="shared" si="165"/>
        <v>54.812153809235433</v>
      </c>
      <c r="AM186" s="62">
        <f t="shared" si="113"/>
        <v>344.4182814493484</v>
      </c>
      <c r="AN186" s="62">
        <f ca="1">AVERAGE(OFFSET($AM$3,0,0,'Données projet'!$E$10+1,1))-AVERAGE(OFFSET($H$3,0,0,'Données projet'!$E$10+1,1))</f>
        <v>413.08876898406481</v>
      </c>
      <c r="AO186" s="62">
        <f t="shared" si="144"/>
        <v>520.31320932826566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24.045776488280435</v>
      </c>
      <c r="AV186" s="23">
        <f>EXP(-LN(2)/25)*AV185+(1-EXP(-LN(2)/25))/(LN(2)/25)*Calculateur!AQ186*Calculateur!AS186*VLOOKUP('Données projet'!$B$10,Paramètres!$A$1:$I$89,3,0)*0.475*44/12</f>
        <v>0.66652135355693731</v>
      </c>
      <c r="AW186" s="23">
        <f>EXP(-LN(2)/2)*AW185+(1-EXP(-LN(2)/2))/(LN(2)/2)*AQ186*AT186*VLOOKUP('Données projet'!$B$10,Paramètres!$A$1:$I$89,3,0)*0.475*44/12</f>
        <v>6.8238999868424443E-21</v>
      </c>
      <c r="AX186" s="23">
        <f t="shared" si="166"/>
        <v>24.712297841837373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54.000000000000341</v>
      </c>
      <c r="BE186" s="14">
        <f>BD186*VLOOKUP('Données projet'!$B$11,Paramètres!$A$1:$I$89,3,0)*VLOOKUP('Données projet'!$B$11,Paramètres!$A$1:$I$89,5,0)</f>
        <v>30.186000000000188</v>
      </c>
      <c r="BF186" s="14">
        <f t="shared" si="167"/>
        <v>9.3563888882899153</v>
      </c>
      <c r="BG186" s="22">
        <f t="shared" si="168"/>
        <v>68.869660647105263</v>
      </c>
      <c r="BH186" s="62">
        <f t="shared" si="116"/>
        <v>358.47578828721822</v>
      </c>
      <c r="BI186" s="62">
        <f ca="1">AVERAGE(OFFSET($BH$3,0,0,'Données projet'!$E$11+1,1))-AVERAGE(OFFSET($H$3,0,0,'Données projet'!$E$11+1,1))</f>
        <v>507.66185230065889</v>
      </c>
      <c r="BJ186" s="62">
        <f t="shared" si="146"/>
        <v>640.14375617778342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30.410834970472276</v>
      </c>
      <c r="BQ186" s="23">
        <f>EXP(-LN(2)/25)*BQ185+(1-EXP(-LN(2)/25))/(LN(2)/25)*Calculateur!BL186*Calculateur!BN186*VLOOKUP('Données projet'!$B$11,Paramètres!$A$1:$I$89,3,0)*0.475*44/12</f>
        <v>0.8429534765573039</v>
      </c>
      <c r="BR186" s="23">
        <f>EXP(-LN(2)/2)*BR185+(1-EXP(-LN(2)/2))/(LN(2)/2)*BL186*BO186*VLOOKUP('Données projet'!$B$11,Paramètres!$A$1:$I$89,3,0)*0.475*44/12</f>
        <v>8.6302264539478032E-21</v>
      </c>
      <c r="BS186" s="24">
        <f t="shared" si="169"/>
        <v>31.253788447029581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417.04879970000007</v>
      </c>
      <c r="BZ186" s="14">
        <f>BY186*VLOOKUP('Données projet'!$B$12,Paramètres!$A$1:$I$89,3,0)*VLOOKUP('Données projet'!$B$12,Paramètres!$A$1:$I$89,5,0)</f>
        <v>195.17883825960004</v>
      </c>
      <c r="CA186" s="14">
        <f t="shared" si="170"/>
        <v>48.683122291673484</v>
      </c>
      <c r="CB186" s="22">
        <f t="shared" si="171"/>
        <v>424.72624796013469</v>
      </c>
      <c r="CC186" s="62">
        <f t="shared" si="119"/>
        <v>714.33237560024759</v>
      </c>
      <c r="CD186" s="62">
        <f ca="1">AVERAGE(OFFSET($CC$3,0,0,'Données projet'!$E$12+1,1))-AVERAGE(OFFSET($H$3,0,0,'Données projet'!$E$12+1,1))</f>
        <v>289.21044803824958</v>
      </c>
      <c r="CE186" s="62">
        <f t="shared" si="148"/>
        <v>196.11836398299445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>
        <f>EXP(-LN(2)/35)*CK185+(1-EXP(-LN(2)/35))/(LN(2)/35)*CG186*CH186*VLOOKUP('Données projet'!$B$12,Paramètres!$A$1:$I$89,3,0)*0.475*44/12</f>
        <v>13.309893814859686</v>
      </c>
      <c r="CL186" s="23">
        <f>EXP(-LN(2)/25)*CL185+(1-EXP(-LN(2)/25))/(LN(2)/25)*Calculateur!CG186*Calculateur!CI186*VLOOKUP('Données projet'!$B$12,Paramètres!$A$1:$I$89,3,0)*0.475*44/12</f>
        <v>3.2101953879427336</v>
      </c>
      <c r="CM186" s="23">
        <f>EXP(-LN(2)/2)*CM185+(1-EXP(-LN(2)/2))/(LN(2)/2)*CG186*CJ186*VLOOKUP('Données projet'!$B$12,Paramètres!$A$1:$I$89,3,0)*0.475*44/12</f>
        <v>0</v>
      </c>
      <c r="CN186" s="24">
        <f t="shared" si="172"/>
        <v>16.520089202802421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-5.6843418860808015E-14</v>
      </c>
      <c r="CU186" s="18">
        <f>CT186*VLOOKUP('Données projet'!$B$13,Paramètres!$A$1:$I$89,3,0)*VLOOKUP('Données projet'!$B$13,Paramètres!$A$1:$I$89,5,0)</f>
        <v>-5.1431925385259088E-14</v>
      </c>
      <c r="CV186" s="14" t="e">
        <f t="shared" si="173"/>
        <v>#NUM!</v>
      </c>
      <c r="CW186" s="22" t="e">
        <f t="shared" si="174"/>
        <v>#NUM!</v>
      </c>
      <c r="CX186" s="62" t="e">
        <f t="shared" si="122"/>
        <v>#NUM!</v>
      </c>
      <c r="CY186" s="62">
        <f ca="1">AVERAGE(OFFSET($CX$3,0,0,'Données projet'!$E$13+1,1))-AVERAGE(OFFSET($H$3,0,0,'Données projet'!$E$13+1,1))</f>
        <v>376.68007030857598</v>
      </c>
      <c r="CZ186" s="62">
        <f t="shared" si="150"/>
        <v>532.90758914457626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>
        <f>EXP(-LN(2)/35)*DF185+(1-EXP(-LN(2)/35))/(LN(2)/35)*DB186*DC186*VLOOKUP('Données projet'!$B$13,Paramètres!$A$1:$I$89,3,0)*0.475*44/12</f>
        <v>6.0877566312783822</v>
      </c>
      <c r="DG186" s="23">
        <f>EXP(-LN(2)/25)*DG185+(1-EXP(-LN(2)/25))/(LN(2)/25)*Calculateur!DB186*Calculateur!DD186*VLOOKUP('Données projet'!$B$13,Paramètres!$A$1:$I$89,3,0)*0.475*44/12</f>
        <v>0.18835452942476358</v>
      </c>
      <c r="DH186" s="23">
        <f>EXP(-LN(2)/2)*DH185+(1-EXP(-LN(2)/2))/(LN(2)/2)*DB186*DE186*VLOOKUP('Données projet'!$B$13,Paramètres!$A$1:$I$89,3,0)*0.475*44/12</f>
        <v>0</v>
      </c>
      <c r="DI186" s="24">
        <f t="shared" si="175"/>
        <v>6.2761111607031461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5.6843418860808015E-14</v>
      </c>
      <c r="DP186" s="18">
        <f>DO186*VLOOKUP('Données projet'!$B$14,Paramètres!$A$1:$I$89,3,0)*VLOOKUP('Données projet'!$B$14,Paramètres!$A$1:$I$89,5,0)</f>
        <v>5.4092197387944907E-14</v>
      </c>
      <c r="DQ186" s="14">
        <f t="shared" si="176"/>
        <v>8.7287050538073676E-13</v>
      </c>
      <c r="DR186" s="22">
        <f t="shared" si="177"/>
        <v>1.6144600406554537E-12</v>
      </c>
      <c r="DS186" s="62">
        <f t="shared" si="125"/>
        <v>289.60612764011455</v>
      </c>
      <c r="DT186" s="62">
        <f ca="1">AVERAGE(OFFSET($DS$3,0,0,'Données projet'!$E$14+1,1))-AVERAGE(OFFSET($H$3,0,0,'Données projet'!$E$14+1,1))</f>
        <v>364.63161066507769</v>
      </c>
      <c r="DU186" s="62">
        <f t="shared" si="152"/>
        <v>355.44729904860708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>
        <f>EXP(-LN(2)/35)*EA185+(1-EXP(-LN(2)/35))/(LN(2)/35)*DW186*DX186*VLOOKUP('Données projet'!$B$14,Paramètres!$A$1:$I$89,3,0)*0.475*44/12</f>
        <v>17.25959476086279</v>
      </c>
      <c r="EB186" s="23">
        <f>EXP(-LN(2)/25)*EB185+(1-EXP(-LN(2)/25))/(LN(2)/25)*Calculateur!DW186*Calculateur!DY186*VLOOKUP('Données projet'!$B$14,Paramètres!$A$1:$I$89,3,0)*0.475*44/12</f>
        <v>0</v>
      </c>
      <c r="EC186" s="23">
        <f>EXP(-LN(2)/2)*EC185+(1-EXP(-LN(2)/2))/(LN(2)/2)*DW186*DZ186*VLOOKUP('Données projet'!$B$14,Paramètres!$A$1:$I$89,3,0)*0.475*44/12</f>
        <v>0</v>
      </c>
      <c r="ED186" s="24">
        <f t="shared" si="178"/>
        <v>17.25959476086279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5.6843418860808015E-14</v>
      </c>
      <c r="EK186" s="18">
        <f>EJ186*VLOOKUP('Données projet'!$B$15,Paramètres!$A$1:$I$89,3,0)*VLOOKUP('Données projet'!$B$15,Paramètres!$A$1:$I$89,5,0)</f>
        <v>4.1677594708744434E-14</v>
      </c>
      <c r="EL186" s="14">
        <f t="shared" si="179"/>
        <v>6.9326303456159188E-13</v>
      </c>
      <c r="EM186" s="22">
        <f t="shared" si="180"/>
        <v>1.2800215959791691E-12</v>
      </c>
      <c r="EN186" s="62">
        <f t="shared" si="128"/>
        <v>289.60612764011427</v>
      </c>
      <c r="EO186" s="62">
        <f ca="1">AVERAGE(OFFSET($EN$3,0,0,'Données projet'!$E$15+1,1))-AVERAGE(OFFSET($H$3,0,0,'Données projet'!$E$15+1,1))</f>
        <v>293.59366973965774</v>
      </c>
      <c r="EP186" s="62">
        <f t="shared" si="154"/>
        <v>288.13804536120426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>
        <f>EXP(-LN(2)/35)*EV185+(1-EXP(-LN(2)/35))/(LN(2)/35)*ER186*ES186*VLOOKUP('Données projet'!$B$15,Paramètres!$A$1:$I$89,3,0)*0.475*44/12</f>
        <v>13.298376291156561</v>
      </c>
      <c r="EW186" s="23">
        <f>EXP(-LN(2)/25)*EW185+(1-EXP(-LN(2)/25))/(LN(2)/25)*Calculateur!ER186*Calculateur!ET186*VLOOKUP('Données projet'!$B$15,Paramètres!$A$1:$I$89,3,0)*0.475*44/12</f>
        <v>0</v>
      </c>
      <c r="EX186" s="23">
        <f>EXP(-LN(2)/2)*EX185+(1-EXP(-LN(2)/2))/(LN(2)/2)*ER186*EU186*VLOOKUP('Données projet'!$B$15,Paramètres!$A$1:$I$89,3,0)*0.475*44/12</f>
        <v>0</v>
      </c>
      <c r="EY186" s="24">
        <f t="shared" si="181"/>
        <v>13.298376291156561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5.6843418860808015E-14</v>
      </c>
      <c r="FF186" s="18">
        <f>FE186*VLOOKUP('Données projet'!$B$16,Paramètres!$A$1:$I$89,3,0)*VLOOKUP('Données projet'!$B$16,Paramètres!$A$1:$I$89,5,0)</f>
        <v>5.4978954722173515E-14</v>
      </c>
      <c r="FG186" s="14">
        <f t="shared" si="182"/>
        <v>8.8550225887742724E-13</v>
      </c>
      <c r="FH186" s="22">
        <f t="shared" si="183"/>
        <v>1.6380047803526383E-12</v>
      </c>
      <c r="FI186" s="62">
        <f t="shared" si="131"/>
        <v>289.60612764011461</v>
      </c>
      <c r="FJ186" s="62">
        <f ca="1">AVERAGE(OFFSET($FI$3,0,0,'Données projet'!$E$16+1,1))-AVERAGE(OFFSET($H$3,0,0,'Données projet'!$E$16+1,1))</f>
        <v>369.69145521630799</v>
      </c>
      <c r="FK186" s="62">
        <f t="shared" si="156"/>
        <v>360.24112103688719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>
        <f>EXP(-LN(2)/35)*FQ185+(1-EXP(-LN(2)/35))/(LN(2)/35)*FM186*FN186*VLOOKUP('Données projet'!$B$16,Paramètres!$A$1:$I$89,3,0)*0.475*44/12</f>
        <v>17.542538937270368</v>
      </c>
      <c r="FR186" s="23">
        <f>EXP(-LN(2)/25)*FR185+(1-EXP(-LN(2)/25))/(LN(2)/25)*Calculateur!FM186*Calculateur!FO186*VLOOKUP('Données projet'!$B$16,Paramètres!$A$1:$I$89,3,0)*0.475*44/12</f>
        <v>0</v>
      </c>
      <c r="FS186" s="23">
        <f>EXP(-LN(2)/2)*FS185+(1-EXP(-LN(2)/2))/(LN(2)/2)*FM186*FP186*VLOOKUP('Données projet'!$B$16,Paramètres!$A$1:$I$89,3,0)*0.475*44/12</f>
        <v>0</v>
      </c>
      <c r="FT186" s="24">
        <f t="shared" si="184"/>
        <v>17.542538937270368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5.6843418860808015E-14</v>
      </c>
      <c r="GA186" s="18">
        <f>FZ186*VLOOKUP('Données projet'!$B$17,Paramètres!$A$1:$I$89,3,0)*VLOOKUP('Données projet'!$B$17,Paramètres!$A$1:$I$89,5,0)</f>
        <v>6.1186256061773749E-14</v>
      </c>
      <c r="GB186" s="14">
        <f t="shared" si="185"/>
        <v>9.7328366192051127E-13</v>
      </c>
      <c r="GC186" s="22">
        <f t="shared" si="186"/>
        <v>1.8017017738191463E-12</v>
      </c>
      <c r="GD186" s="62">
        <f t="shared" si="134"/>
        <v>289.60612764011478</v>
      </c>
      <c r="GE186" s="62">
        <f ca="1">AVERAGE(OFFSET($GD$3,0,0,'Données projet'!$E$17+1,1))-AVERAGE(OFFSET($H$3,0,0,'Données projet'!$E$17+1,1))</f>
        <v>405.06394904053946</v>
      </c>
      <c r="GF186" s="62">
        <f t="shared" si="158"/>
        <v>393.75247087518198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>
        <f>EXP(-LN(2)/35)*GL185+(1-EXP(-LN(2)/35))/(LN(2)/35)*GH186*GI186*VLOOKUP('Données projet'!$B$17,Paramètres!$A$1:$I$89,3,0)*0.475*44/12</f>
        <v>19.523148172123459</v>
      </c>
      <c r="GM186" s="23">
        <f>EXP(-LN(2)/25)*GM185+(1-EXP(-LN(2)/25))/(LN(2)/25)*Calculateur!GH186*Calculateur!GJ186*VLOOKUP('Données projet'!$B$17,Paramètres!$A$1:$I$89,3,0)*0.475*44/12</f>
        <v>0</v>
      </c>
      <c r="GN186" s="23">
        <f>EXP(-LN(2)/2)*GN185+(1-EXP(-LN(2)/2))/(LN(2)/2)*GH186*GK186*VLOOKUP('Données projet'!$B$17,Paramètres!$A$1:$I$89,3,0)*0.475*44/12</f>
        <v>0</v>
      </c>
      <c r="GO186" s="23">
        <f t="shared" si="187"/>
        <v>19.523148172123459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5.6843418860808015E-14</v>
      </c>
      <c r="GV186" s="18">
        <f>GU186*VLOOKUP('Données projet'!$B$18,Paramètres!$A$1:$I$89,3,0)*VLOOKUP('Données projet'!$B$18,Paramètres!$A$1:$I$89,5,0)</f>
        <v>3.813056537183002E-14</v>
      </c>
      <c r="GW186" s="14">
        <f t="shared" si="188"/>
        <v>6.4086286045526829E-13</v>
      </c>
      <c r="GX186" s="22">
        <f t="shared" si="189"/>
        <v>1.1825802166488628E-12</v>
      </c>
      <c r="GY186" s="62">
        <f t="shared" si="137"/>
        <v>289.60612764011415</v>
      </c>
      <c r="GZ186" s="62">
        <f ca="1">AVERAGE(OFFSET($GY$3,0,0,'Données projet'!$E$18+1,1))-AVERAGE(OFFSET($H$3,0,0,'Données projet'!$E$18+1,1))</f>
        <v>273.21861937609918</v>
      </c>
      <c r="HA186" s="62">
        <f t="shared" si="160"/>
        <v>268.83004886965318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>
        <f>EXP(-LN(2)/35)*HG185+(1-EXP(-LN(2)/35))/(LN(2)/35)*HC186*HD186*VLOOKUP('Données projet'!$B$18,Paramètres!$A$1:$I$89,3,0)*0.475*44/12</f>
        <v>14.996041349602082</v>
      </c>
      <c r="HH186" s="23">
        <f>EXP(-LN(2)/25)*HH185+(1-EXP(-LN(2)/25))/(LN(2)/25)*Calculateur!HC186*Calculateur!HE186*VLOOKUP('Données projet'!$B$18,Paramètres!$A$1:$I$89,3,0)*0.475*44/12</f>
        <v>0</v>
      </c>
      <c r="HI186" s="23">
        <f>EXP(-LN(2)/2)*HI185+(1-EXP(-LN(2)/2))/(LN(2)/2)*HC186*HF186*VLOOKUP('Données projet'!$B$18,Paramètres!$A$1:$I$89,3,0)*0.475*44/12</f>
        <v>0</v>
      </c>
      <c r="HJ186" s="24">
        <f t="shared" si="190"/>
        <v>14.996041349602082</v>
      </c>
    </row>
    <row r="187" spans="1:218" x14ac:dyDescent="0.4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1.5675675675675675</v>
      </c>
      <c r="N187" s="14">
        <f>IF('Données projet'!$A$36&gt;35,N186+M187-V186,IF(A187&lt;'Données projet'!$A$36,$K$205^A187,IF(A187='Données projet'!$A$36,'Données projet'!$B$36,N186+M187-V186)))</f>
        <v>-139.14149443561212</v>
      </c>
      <c r="O187" s="14">
        <f>N187*VLOOKUP('Données projet'!$B$9,Paramètres!$A$1:$I$89,3,0)*VLOOKUP('Données projet'!$B$9,Paramètres!$A$1:$I$89,5,0)</f>
        <v>-125.89522416534183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432.80275651765203</v>
      </c>
      <c r="T187" s="62">
        <f t="shared" si="142"/>
        <v>203.89279893419919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171.26484609747126</v>
      </c>
      <c r="AA187" s="23">
        <f>EXP(-LN(2)/25)*AA186+(1-EXP(-LN(2)/25))/(LN(2)/25)*Calculateur!V187*Calculateur!X187*VLOOKUP('Données projet'!$B$9,Paramètres!$A$1:$I$89,3,0)*0.475*44/12</f>
        <v>13.750665390942171</v>
      </c>
      <c r="AB187" s="23">
        <f>EXP(-LN(2)/2)*AB186+(1-EXP(-LN(2)/2))/(LN(2)/2)*V187*Y187*VLOOKUP('Données projet'!$B$9,Paramètres!$A$1:$I$89,3,0)*0.475*44/12</f>
        <v>0</v>
      </c>
      <c r="AC187" s="24">
        <f t="shared" si="163"/>
        <v>185.01551148841344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54.000000000000341</v>
      </c>
      <c r="AJ187" s="14">
        <f>AI187*VLOOKUP('Données projet'!$B$10,Paramètres!$A$1:$I$89,3,0)*VLOOKUP('Données projet'!$B$10,Paramètres!$A$1:$I$89,5,0)</f>
        <v>23.868000000000151</v>
      </c>
      <c r="AK187" s="14">
        <f t="shared" si="164"/>
        <v>7.6030930962115804</v>
      </c>
      <c r="AL187" s="22">
        <f t="shared" si="165"/>
        <v>54.812153809235433</v>
      </c>
      <c r="AM187" s="62">
        <f t="shared" si="113"/>
        <v>344.48294013534218</v>
      </c>
      <c r="AN187" s="62">
        <f ca="1">AVERAGE(OFFSET($AM$3,0,0,'Données projet'!$E$10+1,1))-AVERAGE(OFFSET($H$3,0,0,'Données projet'!$E$10+1,1))</f>
        <v>413.08876898406481</v>
      </c>
      <c r="AO187" s="62">
        <f t="shared" si="144"/>
        <v>520.31320932826566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23.574253477820719</v>
      </c>
      <c r="AV187" s="23">
        <f>EXP(-LN(2)/25)*AV186+(1-EXP(-LN(2)/25))/(LN(2)/25)*Calculateur!AQ187*Calculateur!AS187*VLOOKUP('Données projet'!$B$10,Paramètres!$A$1:$I$89,3,0)*0.475*44/12</f>
        <v>0.64829529209308823</v>
      </c>
      <c r="AW187" s="23">
        <f>EXP(-LN(2)/2)*AW186+(1-EXP(-LN(2)/2))/(LN(2)/2)*AQ187*AT187*VLOOKUP('Données projet'!$B$10,Paramètres!$A$1:$I$89,3,0)*0.475*44/12</f>
        <v>4.825225954835085E-21</v>
      </c>
      <c r="AX187" s="23">
        <f t="shared" si="166"/>
        <v>24.222548769913807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54.000000000000341</v>
      </c>
      <c r="BE187" s="14">
        <f>BD187*VLOOKUP('Données projet'!$B$11,Paramètres!$A$1:$I$89,3,0)*VLOOKUP('Données projet'!$B$11,Paramètres!$A$1:$I$89,5,0)</f>
        <v>30.186000000000188</v>
      </c>
      <c r="BF187" s="14">
        <f t="shared" si="167"/>
        <v>9.3563888882899153</v>
      </c>
      <c r="BG187" s="22">
        <f t="shared" si="168"/>
        <v>68.869660647105263</v>
      </c>
      <c r="BH187" s="62">
        <f t="shared" si="116"/>
        <v>358.540446973212</v>
      </c>
      <c r="BI187" s="62">
        <f ca="1">AVERAGE(OFFSET($BH$3,0,0,'Données projet'!$E$11+1,1))-AVERAGE(OFFSET($H$3,0,0,'Données projet'!$E$11+1,1))</f>
        <v>507.66185230065889</v>
      </c>
      <c r="BJ187" s="62">
        <f t="shared" si="146"/>
        <v>640.14375617778342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29.814497045479108</v>
      </c>
      <c r="BQ187" s="23">
        <f>EXP(-LN(2)/25)*BQ186+(1-EXP(-LN(2)/25))/(LN(2)/25)*Calculateur!BL187*Calculateur!BN187*VLOOKUP('Données projet'!$B$11,Paramètres!$A$1:$I$89,3,0)*0.475*44/12</f>
        <v>0.81990286941184765</v>
      </c>
      <c r="BR187" s="23">
        <f>EXP(-LN(2)/2)*BR186+(1-EXP(-LN(2)/2))/(LN(2)/2)*BL187*BO187*VLOOKUP('Données projet'!$B$11,Paramètres!$A$1:$I$89,3,0)*0.475*44/12</f>
        <v>6.1024916487620233E-21</v>
      </c>
      <c r="BS187" s="24">
        <f t="shared" si="169"/>
        <v>30.634399914890956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417.04879970000007</v>
      </c>
      <c r="BZ187" s="14">
        <f>BY187*VLOOKUP('Données projet'!$B$12,Paramètres!$A$1:$I$89,3,0)*VLOOKUP('Données projet'!$B$12,Paramètres!$A$1:$I$89,5,0)</f>
        <v>195.17883825960004</v>
      </c>
      <c r="CA187" s="14">
        <f t="shared" si="170"/>
        <v>48.683122291673484</v>
      </c>
      <c r="CB187" s="22">
        <f t="shared" si="171"/>
        <v>424.72624796013469</v>
      </c>
      <c r="CC187" s="62">
        <f t="shared" si="119"/>
        <v>714.39703428624148</v>
      </c>
      <c r="CD187" s="62">
        <f ca="1">AVERAGE(OFFSET($CC$3,0,0,'Données projet'!$E$12+1,1))-AVERAGE(OFFSET($H$3,0,0,'Données projet'!$E$12+1,1))</f>
        <v>289.21044803824958</v>
      </c>
      <c r="CE187" s="62">
        <f t="shared" si="148"/>
        <v>196.11836398299445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>
        <f>EXP(-LN(2)/35)*CK186+(1-EXP(-LN(2)/35))/(LN(2)/35)*CG187*CH187*VLOOKUP('Données projet'!$B$12,Paramètres!$A$1:$I$89,3,0)*0.475*44/12</f>
        <v>13.048894915383906</v>
      </c>
      <c r="CL187" s="23">
        <f>EXP(-LN(2)/25)*CL186+(1-EXP(-LN(2)/25))/(LN(2)/25)*Calculateur!CG187*Calculateur!CI187*VLOOKUP('Données projet'!$B$12,Paramètres!$A$1:$I$89,3,0)*0.475*44/12</f>
        <v>3.122412426242601</v>
      </c>
      <c r="CM187" s="23">
        <f>EXP(-LN(2)/2)*CM186+(1-EXP(-LN(2)/2))/(LN(2)/2)*CG187*CJ187*VLOOKUP('Données projet'!$B$12,Paramètres!$A$1:$I$89,3,0)*0.475*44/12</f>
        <v>0</v>
      </c>
      <c r="CN187" s="24">
        <f t="shared" si="172"/>
        <v>16.171307341626509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-5.6843418860808015E-14</v>
      </c>
      <c r="CU187" s="18">
        <f>CT187*VLOOKUP('Données projet'!$B$13,Paramètres!$A$1:$I$89,3,0)*VLOOKUP('Données projet'!$B$13,Paramètres!$A$1:$I$89,5,0)</f>
        <v>-5.1431925385259088E-14</v>
      </c>
      <c r="CV187" s="14" t="e">
        <f t="shared" si="173"/>
        <v>#NUM!</v>
      </c>
      <c r="CW187" s="22" t="e">
        <f t="shared" si="174"/>
        <v>#NUM!</v>
      </c>
      <c r="CX187" s="62" t="e">
        <f t="shared" si="122"/>
        <v>#NUM!</v>
      </c>
      <c r="CY187" s="62">
        <f ca="1">AVERAGE(OFFSET($CX$3,0,0,'Données projet'!$E$13+1,1))-AVERAGE(OFFSET($H$3,0,0,'Données projet'!$E$13+1,1))</f>
        <v>376.68007030857598</v>
      </c>
      <c r="CZ187" s="62">
        <f t="shared" si="150"/>
        <v>532.90758914457626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>
        <f>EXP(-LN(2)/35)*DF186+(1-EXP(-LN(2)/35))/(LN(2)/35)*DB187*DC187*VLOOKUP('Données projet'!$B$13,Paramètres!$A$1:$I$89,3,0)*0.475*44/12</f>
        <v>5.9683794369039136</v>
      </c>
      <c r="DG187" s="23">
        <f>EXP(-LN(2)/25)*DG186+(1-EXP(-LN(2)/25))/(LN(2)/25)*Calculateur!DB187*Calculateur!DD187*VLOOKUP('Données projet'!$B$13,Paramètres!$A$1:$I$89,3,0)*0.475*44/12</f>
        <v>0.1832039649125092</v>
      </c>
      <c r="DH187" s="23">
        <f>EXP(-LN(2)/2)*DH186+(1-EXP(-LN(2)/2))/(LN(2)/2)*DB187*DE187*VLOOKUP('Données projet'!$B$13,Paramètres!$A$1:$I$89,3,0)*0.475*44/12</f>
        <v>0</v>
      </c>
      <c r="DI187" s="24">
        <f t="shared" si="175"/>
        <v>6.1515834018164224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5.6843418860808015E-14</v>
      </c>
      <c r="DP187" s="18">
        <f>DO187*VLOOKUP('Données projet'!$B$14,Paramètres!$A$1:$I$89,3,0)*VLOOKUP('Données projet'!$B$14,Paramètres!$A$1:$I$89,5,0)</f>
        <v>5.4092197387944907E-14</v>
      </c>
      <c r="DQ187" s="14">
        <f t="shared" si="176"/>
        <v>8.7287050538073676E-13</v>
      </c>
      <c r="DR187" s="22">
        <f t="shared" si="177"/>
        <v>1.6144600406554537E-12</v>
      </c>
      <c r="DS187" s="62">
        <f t="shared" si="125"/>
        <v>289.67078632610833</v>
      </c>
      <c r="DT187" s="62">
        <f ca="1">AVERAGE(OFFSET($DS$3,0,0,'Données projet'!$E$14+1,1))-AVERAGE(OFFSET($H$3,0,0,'Données projet'!$E$14+1,1))</f>
        <v>364.63161066507769</v>
      </c>
      <c r="DU187" s="62">
        <f t="shared" si="152"/>
        <v>355.44729904860708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>
        <f>EXP(-LN(2)/35)*EA186+(1-EXP(-LN(2)/35))/(LN(2)/35)*DW187*DX187*VLOOKUP('Données projet'!$B$14,Paramètres!$A$1:$I$89,3,0)*0.475*44/12</f>
        <v>16.921144634915589</v>
      </c>
      <c r="EB187" s="23">
        <f>EXP(-LN(2)/25)*EB186+(1-EXP(-LN(2)/25))/(LN(2)/25)*Calculateur!DW187*Calculateur!DY187*VLOOKUP('Données projet'!$B$14,Paramètres!$A$1:$I$89,3,0)*0.475*44/12</f>
        <v>0</v>
      </c>
      <c r="EC187" s="23">
        <f>EXP(-LN(2)/2)*EC186+(1-EXP(-LN(2)/2))/(LN(2)/2)*DW187*DZ187*VLOOKUP('Données projet'!$B$14,Paramètres!$A$1:$I$89,3,0)*0.475*44/12</f>
        <v>0</v>
      </c>
      <c r="ED187" s="24">
        <f t="shared" si="178"/>
        <v>16.921144634915589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5.6843418860808015E-14</v>
      </c>
      <c r="EK187" s="18">
        <f>EJ187*VLOOKUP('Données projet'!$B$15,Paramètres!$A$1:$I$89,3,0)*VLOOKUP('Données projet'!$B$15,Paramètres!$A$1:$I$89,5,0)</f>
        <v>4.1677594708744434E-14</v>
      </c>
      <c r="EL187" s="14">
        <f t="shared" si="179"/>
        <v>6.9326303456159188E-13</v>
      </c>
      <c r="EM187" s="22">
        <f t="shared" si="180"/>
        <v>1.2800215959791691E-12</v>
      </c>
      <c r="EN187" s="62">
        <f t="shared" si="128"/>
        <v>289.67078632610804</v>
      </c>
      <c r="EO187" s="62">
        <f ca="1">AVERAGE(OFFSET($EN$3,0,0,'Données projet'!$E$15+1,1))-AVERAGE(OFFSET($H$3,0,0,'Données projet'!$E$15+1,1))</f>
        <v>293.59366973965774</v>
      </c>
      <c r="EP187" s="62">
        <f t="shared" si="154"/>
        <v>288.13804536120426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>
        <f>EXP(-LN(2)/35)*EV186+(1-EXP(-LN(2)/35))/(LN(2)/35)*ER187*ES187*VLOOKUP('Données projet'!$B$15,Paramètres!$A$1:$I$89,3,0)*0.475*44/12</f>
        <v>13.037603243295603</v>
      </c>
      <c r="EW187" s="23">
        <f>EXP(-LN(2)/25)*EW186+(1-EXP(-LN(2)/25))/(LN(2)/25)*Calculateur!ER187*Calculateur!ET187*VLOOKUP('Données projet'!$B$15,Paramètres!$A$1:$I$89,3,0)*0.475*44/12</f>
        <v>0</v>
      </c>
      <c r="EX187" s="23">
        <f>EXP(-LN(2)/2)*EX186+(1-EXP(-LN(2)/2))/(LN(2)/2)*ER187*EU187*VLOOKUP('Données projet'!$B$15,Paramètres!$A$1:$I$89,3,0)*0.475*44/12</f>
        <v>0</v>
      </c>
      <c r="EY187" s="24">
        <f t="shared" si="181"/>
        <v>13.037603243295603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5.6843418860808015E-14</v>
      </c>
      <c r="FF187" s="18">
        <f>FE187*VLOOKUP('Données projet'!$B$16,Paramètres!$A$1:$I$89,3,0)*VLOOKUP('Données projet'!$B$16,Paramètres!$A$1:$I$89,5,0)</f>
        <v>5.4978954722173515E-14</v>
      </c>
      <c r="FG187" s="14">
        <f t="shared" si="182"/>
        <v>8.8550225887742724E-13</v>
      </c>
      <c r="FH187" s="22">
        <f t="shared" si="183"/>
        <v>1.6380047803526383E-12</v>
      </c>
      <c r="FI187" s="62">
        <f t="shared" si="131"/>
        <v>289.67078632610838</v>
      </c>
      <c r="FJ187" s="62">
        <f ca="1">AVERAGE(OFFSET($FI$3,0,0,'Données projet'!$E$16+1,1))-AVERAGE(OFFSET($H$3,0,0,'Données projet'!$E$16+1,1))</f>
        <v>369.69145521630799</v>
      </c>
      <c r="FK187" s="62">
        <f t="shared" si="156"/>
        <v>360.24112103688719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>
        <f>EXP(-LN(2)/35)*FQ186+(1-EXP(-LN(2)/35))/(LN(2)/35)*FM187*FN187*VLOOKUP('Données projet'!$B$16,Paramètres!$A$1:$I$89,3,0)*0.475*44/12</f>
        <v>17.198540448602721</v>
      </c>
      <c r="FR187" s="23">
        <f>EXP(-LN(2)/25)*FR186+(1-EXP(-LN(2)/25))/(LN(2)/25)*Calculateur!FM187*Calculateur!FO187*VLOOKUP('Données projet'!$B$16,Paramètres!$A$1:$I$89,3,0)*0.475*44/12</f>
        <v>0</v>
      </c>
      <c r="FS187" s="23">
        <f>EXP(-LN(2)/2)*FS186+(1-EXP(-LN(2)/2))/(LN(2)/2)*FM187*FP187*VLOOKUP('Données projet'!$B$16,Paramètres!$A$1:$I$89,3,0)*0.475*44/12</f>
        <v>0</v>
      </c>
      <c r="FT187" s="24">
        <f t="shared" si="184"/>
        <v>17.198540448602721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5.6843418860808015E-14</v>
      </c>
      <c r="GA187" s="18">
        <f>FZ187*VLOOKUP('Données projet'!$B$17,Paramètres!$A$1:$I$89,3,0)*VLOOKUP('Données projet'!$B$17,Paramètres!$A$1:$I$89,5,0)</f>
        <v>6.1186256061773749E-14</v>
      </c>
      <c r="GB187" s="14">
        <f t="shared" si="185"/>
        <v>9.7328366192051127E-13</v>
      </c>
      <c r="GC187" s="22">
        <f t="shared" si="186"/>
        <v>1.8017017738191463E-12</v>
      </c>
      <c r="GD187" s="62">
        <f t="shared" si="134"/>
        <v>289.67078632610855</v>
      </c>
      <c r="GE187" s="62">
        <f ca="1">AVERAGE(OFFSET($GD$3,0,0,'Données projet'!$E$17+1,1))-AVERAGE(OFFSET($H$3,0,0,'Données projet'!$E$17+1,1))</f>
        <v>405.06394904053946</v>
      </c>
      <c r="GF187" s="62">
        <f t="shared" si="158"/>
        <v>393.75247087518198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>
        <f>EXP(-LN(2)/35)*GL186+(1-EXP(-LN(2)/35))/(LN(2)/35)*GH187*GI187*VLOOKUP('Données projet'!$B$17,Paramètres!$A$1:$I$89,3,0)*0.475*44/12</f>
        <v>19.140311144412692</v>
      </c>
      <c r="GM187" s="23">
        <f>EXP(-LN(2)/25)*GM186+(1-EXP(-LN(2)/25))/(LN(2)/25)*Calculateur!GH187*Calculateur!GJ187*VLOOKUP('Données projet'!$B$17,Paramètres!$A$1:$I$89,3,0)*0.475*44/12</f>
        <v>0</v>
      </c>
      <c r="GN187" s="23">
        <f>EXP(-LN(2)/2)*GN186+(1-EXP(-LN(2)/2))/(LN(2)/2)*GH187*GK187*VLOOKUP('Données projet'!$B$17,Paramètres!$A$1:$I$89,3,0)*0.475*44/12</f>
        <v>0</v>
      </c>
      <c r="GO187" s="23">
        <f t="shared" si="187"/>
        <v>19.140311144412692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5.6843418860808015E-14</v>
      </c>
      <c r="GV187" s="18">
        <f>GU187*VLOOKUP('Données projet'!$B$18,Paramètres!$A$1:$I$89,3,0)*VLOOKUP('Données projet'!$B$18,Paramètres!$A$1:$I$89,5,0)</f>
        <v>3.813056537183002E-14</v>
      </c>
      <c r="GW187" s="14">
        <f t="shared" si="188"/>
        <v>6.4086286045526829E-13</v>
      </c>
      <c r="GX187" s="22">
        <f t="shared" si="189"/>
        <v>1.1825802166488628E-12</v>
      </c>
      <c r="GY187" s="62">
        <f t="shared" si="137"/>
        <v>289.67078632610793</v>
      </c>
      <c r="GZ187" s="62">
        <f ca="1">AVERAGE(OFFSET($GY$3,0,0,'Données projet'!$E$18+1,1))-AVERAGE(OFFSET($H$3,0,0,'Données projet'!$E$18+1,1))</f>
        <v>273.21861937609918</v>
      </c>
      <c r="HA187" s="62">
        <f t="shared" si="160"/>
        <v>268.83004886965318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>
        <f>EXP(-LN(2)/35)*HG186+(1-EXP(-LN(2)/35))/(LN(2)/35)*HC187*HD187*VLOOKUP('Données projet'!$B$18,Paramètres!$A$1:$I$89,3,0)*0.475*44/12</f>
        <v>14.701978125418449</v>
      </c>
      <c r="HH187" s="23">
        <f>EXP(-LN(2)/25)*HH186+(1-EXP(-LN(2)/25))/(LN(2)/25)*Calculateur!HC187*Calculateur!HE187*VLOOKUP('Données projet'!$B$18,Paramètres!$A$1:$I$89,3,0)*0.475*44/12</f>
        <v>0</v>
      </c>
      <c r="HI187" s="23">
        <f>EXP(-LN(2)/2)*HI186+(1-EXP(-LN(2)/2))/(LN(2)/2)*HC187*HF187*VLOOKUP('Données projet'!$B$18,Paramètres!$A$1:$I$89,3,0)*0.475*44/12</f>
        <v>0</v>
      </c>
      <c r="HJ187" s="24">
        <f t="shared" si="190"/>
        <v>14.701978125418449</v>
      </c>
    </row>
    <row r="188" spans="1:218" x14ac:dyDescent="0.4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>
        <f>VLOOKUP(A188,'Données projet'!$A$35:$I$55,2,0)</f>
        <v>351</v>
      </c>
      <c r="L188" s="13">
        <f>VLOOKUP(A188,'Données projet'!$A$35:$I$55,9,0)</f>
        <v>1.5675675675675675</v>
      </c>
      <c r="M188" s="13">
        <f t="array" ref="M188">INDEX(L:L,MIN(IF(ISNUMBER(L188:L384),ROW(L188:L384),"")))</f>
        <v>1.5675675675675675</v>
      </c>
      <c r="N188" s="14">
        <f>IF('Données projet'!$A$36&gt;35,N187+M188-V187,IF(A188&lt;'Données projet'!$A$36,$K$205^A188,IF(A188='Données projet'!$A$36,'Données projet'!$B$36,N187+M188-V187)))</f>
        <v>-137.57392686804454</v>
      </c>
      <c r="O188" s="14">
        <f>N188*VLOOKUP('Données projet'!$B$9,Paramètres!$A$1:$I$89,3,0)*VLOOKUP('Données projet'!$B$9,Paramètres!$A$1:$I$89,5,0)</f>
        <v>-124.47688903020669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432.80275651765203</v>
      </c>
      <c r="T188" s="62">
        <f t="shared" si="142"/>
        <v>203.89279893419919</v>
      </c>
      <c r="U188" s="16">
        <f>IF(ISNA(VLOOKUP(A188,'Données projet'!$A$35:$I$55,3,0)),0,VLOOKUP(A188,'Données projet'!$A$35:$I$55,3,0))</f>
        <v>12</v>
      </c>
      <c r="V188" s="16">
        <f>IF(ISNA(VLOOKUP(A188,'Données projet'!$A$35:$I$55,4,0)),0,VLOOKUP(A188,'Données projet'!$A$35:$I$55,4,0))</f>
        <v>41</v>
      </c>
      <c r="W188" s="17">
        <f>IF(ISNA(VLOOKUP(A188,'Données projet'!$A$35:$I$55,5,0)),0%,VLOOKUP(A188,'Données projet'!$A$35:$I$55,5,0)*VLOOKUP('Données projet'!$B$9,Paramètres!$A$1:$I$89,7,0))</f>
        <v>0.215</v>
      </c>
      <c r="X188" s="17">
        <f>IF(ISNA(VLOOKUP(A188,'Données projet'!$A$35:$I$55,6,0)),0%,VLOOKUP(A188,'Données projet'!$A$35:$I$55,6,0)*VLOOKUP('Données projet'!$B$9,Paramètres!$A$1:$I$89,7,0))</f>
        <v>0.17200000000000001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176.72347084546473</v>
      </c>
      <c r="AA188" s="23">
        <f>EXP(-LN(2)/25)*AA187+(1-EXP(-LN(2)/25))/(LN(2)/25)*Calculateur!V188*Calculateur!X188*VLOOKUP('Données projet'!$B$9,Paramètres!$A$1:$I$89,3,0)*0.475*44/12</f>
        <v>20.400499071515551</v>
      </c>
      <c r="AB188" s="23">
        <f>EXP(-LN(2)/2)*AB187+(1-EXP(-LN(2)/2))/(LN(2)/2)*V188*Y188*VLOOKUP('Données projet'!$B$9,Paramètres!$A$1:$I$89,3,0)*0.475*44/12</f>
        <v>0</v>
      </c>
      <c r="AC188" s="24">
        <f t="shared" si="163"/>
        <v>197.12396991698029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54.000000000000341</v>
      </c>
      <c r="AJ188" s="14">
        <f>AI188*VLOOKUP('Données projet'!$B$10,Paramètres!$A$1:$I$89,3,0)*VLOOKUP('Données projet'!$B$10,Paramètres!$A$1:$I$89,5,0)</f>
        <v>23.868000000000151</v>
      </c>
      <c r="AK188" s="14">
        <f t="shared" si="164"/>
        <v>7.6030930962115804</v>
      </c>
      <c r="AL188" s="22">
        <f t="shared" si="165"/>
        <v>54.812153809235433</v>
      </c>
      <c r="AM188" s="62">
        <f t="shared" si="113"/>
        <v>344.54647713768918</v>
      </c>
      <c r="AN188" s="62">
        <f ca="1">AVERAGE(OFFSET($AM$3,0,0,'Données projet'!$E$10+1,1))-AVERAGE(OFFSET($H$3,0,0,'Données projet'!$E$10+1,1))</f>
        <v>413.08876898406481</v>
      </c>
      <c r="AO188" s="62">
        <f t="shared" si="144"/>
        <v>520.31320932826566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23.111976745995481</v>
      </c>
      <c r="AV188" s="23">
        <f>EXP(-LN(2)/25)*AV187+(1-EXP(-LN(2)/25))/(LN(2)/25)*Calculateur!AQ188*Calculateur!AS188*VLOOKUP('Données projet'!$B$10,Paramètres!$A$1:$I$89,3,0)*0.475*44/12</f>
        <v>0.63056762323843507</v>
      </c>
      <c r="AW188" s="23">
        <f>EXP(-LN(2)/2)*AW187+(1-EXP(-LN(2)/2))/(LN(2)/2)*AQ188*AT188*VLOOKUP('Données projet'!$B$10,Paramètres!$A$1:$I$89,3,0)*0.475*44/12</f>
        <v>3.4119499934212221E-21</v>
      </c>
      <c r="AX188" s="23">
        <f t="shared" si="166"/>
        <v>23.742544369233915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54.000000000000341</v>
      </c>
      <c r="BE188" s="14">
        <f>BD188*VLOOKUP('Données projet'!$B$11,Paramètres!$A$1:$I$89,3,0)*VLOOKUP('Données projet'!$B$11,Paramètres!$A$1:$I$89,5,0)</f>
        <v>30.186000000000188</v>
      </c>
      <c r="BF188" s="14">
        <f t="shared" si="167"/>
        <v>9.3563888882899153</v>
      </c>
      <c r="BG188" s="22">
        <f t="shared" si="168"/>
        <v>68.869660647105263</v>
      </c>
      <c r="BH188" s="62">
        <f t="shared" si="116"/>
        <v>358.603983975559</v>
      </c>
      <c r="BI188" s="62">
        <f ca="1">AVERAGE(OFFSET($BH$3,0,0,'Données projet'!$E$11+1,1))-AVERAGE(OFFSET($H$3,0,0,'Données projet'!$E$11+1,1))</f>
        <v>507.66185230065889</v>
      </c>
      <c r="BJ188" s="62">
        <f t="shared" si="146"/>
        <v>640.14375617778342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29.229852943464834</v>
      </c>
      <c r="BQ188" s="23">
        <f>EXP(-LN(2)/25)*BQ187+(1-EXP(-LN(2)/25))/(LN(2)/25)*Calculateur!BL188*Calculateur!BN188*VLOOKUP('Données projet'!$B$11,Paramètres!$A$1:$I$89,3,0)*0.475*44/12</f>
        <v>0.7974825823309627</v>
      </c>
      <c r="BR188" s="23">
        <f>EXP(-LN(2)/2)*BR187+(1-EXP(-LN(2)/2))/(LN(2)/2)*BL188*BO188*VLOOKUP('Données projet'!$B$11,Paramètres!$A$1:$I$89,3,0)*0.475*44/12</f>
        <v>4.3151132269739016E-21</v>
      </c>
      <c r="BS188" s="24">
        <f t="shared" si="169"/>
        <v>30.027335525795799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417.04879970000007</v>
      </c>
      <c r="BZ188" s="14">
        <f>BY188*VLOOKUP('Données projet'!$B$12,Paramètres!$A$1:$I$89,3,0)*VLOOKUP('Données projet'!$B$12,Paramètres!$A$1:$I$89,5,0)</f>
        <v>195.17883825960004</v>
      </c>
      <c r="CA188" s="14">
        <f t="shared" si="170"/>
        <v>48.683122291673484</v>
      </c>
      <c r="CB188" s="22">
        <f t="shared" si="171"/>
        <v>424.72624796013469</v>
      </c>
      <c r="CC188" s="62">
        <f t="shared" si="119"/>
        <v>714.46057128858843</v>
      </c>
      <c r="CD188" s="62">
        <f ca="1">AVERAGE(OFFSET($CC$3,0,0,'Données projet'!$E$12+1,1))-AVERAGE(OFFSET($H$3,0,0,'Données projet'!$E$12+1,1))</f>
        <v>289.21044803824958</v>
      </c>
      <c r="CE188" s="62">
        <f t="shared" si="148"/>
        <v>196.11836398299445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>
        <f>EXP(-LN(2)/35)*CK187+(1-EXP(-LN(2)/35))/(LN(2)/35)*CG188*CH188*VLOOKUP('Données projet'!$B$12,Paramètres!$A$1:$I$89,3,0)*0.475*44/12</f>
        <v>12.793014045133237</v>
      </c>
      <c r="CL188" s="23">
        <f>EXP(-LN(2)/25)*CL187+(1-EXP(-LN(2)/25))/(LN(2)/25)*Calculateur!CG188*Calculateur!CI188*VLOOKUP('Données projet'!$B$12,Paramètres!$A$1:$I$89,3,0)*0.475*44/12</f>
        <v>3.037029894246464</v>
      </c>
      <c r="CM188" s="23">
        <f>EXP(-LN(2)/2)*CM187+(1-EXP(-LN(2)/2))/(LN(2)/2)*CG188*CJ188*VLOOKUP('Données projet'!$B$12,Paramètres!$A$1:$I$89,3,0)*0.475*44/12</f>
        <v>0</v>
      </c>
      <c r="CN188" s="24">
        <f t="shared" si="172"/>
        <v>15.830043939379701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-5.6843418860808015E-14</v>
      </c>
      <c r="CU188" s="18">
        <f>CT188*VLOOKUP('Données projet'!$B$13,Paramètres!$A$1:$I$89,3,0)*VLOOKUP('Données projet'!$B$13,Paramètres!$A$1:$I$89,5,0)</f>
        <v>-5.1431925385259088E-14</v>
      </c>
      <c r="CV188" s="14" t="e">
        <f t="shared" si="173"/>
        <v>#NUM!</v>
      </c>
      <c r="CW188" s="22" t="e">
        <f t="shared" si="174"/>
        <v>#NUM!</v>
      </c>
      <c r="CX188" s="62" t="e">
        <f t="shared" si="122"/>
        <v>#NUM!</v>
      </c>
      <c r="CY188" s="62">
        <f ca="1">AVERAGE(OFFSET($CX$3,0,0,'Données projet'!$E$13+1,1))-AVERAGE(OFFSET($H$3,0,0,'Données projet'!$E$13+1,1))</f>
        <v>376.68007030857598</v>
      </c>
      <c r="CZ188" s="62">
        <f t="shared" si="150"/>
        <v>532.90758914457626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>
        <f>EXP(-LN(2)/35)*DF187+(1-EXP(-LN(2)/35))/(LN(2)/35)*DB188*DC188*VLOOKUP('Données projet'!$B$13,Paramètres!$A$1:$I$89,3,0)*0.475*44/12</f>
        <v>5.8513431564982294</v>
      </c>
      <c r="DG188" s="23">
        <f>EXP(-LN(2)/25)*DG187+(1-EXP(-LN(2)/25))/(LN(2)/25)*Calculateur!DB188*Calculateur!DD188*VLOOKUP('Données projet'!$B$13,Paramètres!$A$1:$I$89,3,0)*0.475*44/12</f>
        <v>0.17819424285769883</v>
      </c>
      <c r="DH188" s="23">
        <f>EXP(-LN(2)/2)*DH187+(1-EXP(-LN(2)/2))/(LN(2)/2)*DB188*DE188*VLOOKUP('Données projet'!$B$13,Paramètres!$A$1:$I$89,3,0)*0.475*44/12</f>
        <v>0</v>
      </c>
      <c r="DI188" s="24">
        <f t="shared" si="175"/>
        <v>6.0295373993559283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5.6843418860808015E-14</v>
      </c>
      <c r="DP188" s="18">
        <f>DO188*VLOOKUP('Données projet'!$B$14,Paramètres!$A$1:$I$89,3,0)*VLOOKUP('Données projet'!$B$14,Paramètres!$A$1:$I$89,5,0)</f>
        <v>5.4092197387944907E-14</v>
      </c>
      <c r="DQ188" s="14">
        <f t="shared" si="176"/>
        <v>8.7287050538073676E-13</v>
      </c>
      <c r="DR188" s="22">
        <f t="shared" si="177"/>
        <v>1.6144600406554537E-12</v>
      </c>
      <c r="DS188" s="62">
        <f t="shared" si="125"/>
        <v>289.73432332845533</v>
      </c>
      <c r="DT188" s="62">
        <f ca="1">AVERAGE(OFFSET($DS$3,0,0,'Données projet'!$E$14+1,1))-AVERAGE(OFFSET($H$3,0,0,'Données projet'!$E$14+1,1))</f>
        <v>364.63161066507769</v>
      </c>
      <c r="DU188" s="62">
        <f t="shared" si="152"/>
        <v>355.44729904860708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>
        <f>EXP(-LN(2)/35)*EA187+(1-EXP(-LN(2)/35))/(LN(2)/35)*DW188*DX188*VLOOKUP('Données projet'!$B$14,Paramètres!$A$1:$I$89,3,0)*0.475*44/12</f>
        <v>16.589331309504018</v>
      </c>
      <c r="EB188" s="23">
        <f>EXP(-LN(2)/25)*EB187+(1-EXP(-LN(2)/25))/(LN(2)/25)*Calculateur!DW188*Calculateur!DY188*VLOOKUP('Données projet'!$B$14,Paramètres!$A$1:$I$89,3,0)*0.475*44/12</f>
        <v>0</v>
      </c>
      <c r="EC188" s="23">
        <f>EXP(-LN(2)/2)*EC187+(1-EXP(-LN(2)/2))/(LN(2)/2)*DW188*DZ188*VLOOKUP('Données projet'!$B$14,Paramètres!$A$1:$I$89,3,0)*0.475*44/12</f>
        <v>0</v>
      </c>
      <c r="ED188" s="24">
        <f t="shared" si="178"/>
        <v>16.589331309504018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5.6843418860808015E-14</v>
      </c>
      <c r="EK188" s="18">
        <f>EJ188*VLOOKUP('Données projet'!$B$15,Paramètres!$A$1:$I$89,3,0)*VLOOKUP('Données projet'!$B$15,Paramètres!$A$1:$I$89,5,0)</f>
        <v>4.1677594708744434E-14</v>
      </c>
      <c r="EL188" s="14">
        <f t="shared" si="179"/>
        <v>6.9326303456159188E-13</v>
      </c>
      <c r="EM188" s="22">
        <f t="shared" si="180"/>
        <v>1.2800215959791691E-12</v>
      </c>
      <c r="EN188" s="62">
        <f t="shared" si="128"/>
        <v>289.73432332845505</v>
      </c>
      <c r="EO188" s="62">
        <f ca="1">AVERAGE(OFFSET($EN$3,0,0,'Données projet'!$E$15+1,1))-AVERAGE(OFFSET($H$3,0,0,'Données projet'!$E$15+1,1))</f>
        <v>293.59366973965774</v>
      </c>
      <c r="EP188" s="62">
        <f t="shared" si="154"/>
        <v>288.13804536120426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>
        <f>EXP(-LN(2)/35)*EV187+(1-EXP(-LN(2)/35))/(LN(2)/35)*ER188*ES188*VLOOKUP('Données projet'!$B$15,Paramètres!$A$1:$I$89,3,0)*0.475*44/12</f>
        <v>12.781943795847345</v>
      </c>
      <c r="EW188" s="23">
        <f>EXP(-LN(2)/25)*EW187+(1-EXP(-LN(2)/25))/(LN(2)/25)*Calculateur!ER188*Calculateur!ET188*VLOOKUP('Données projet'!$B$15,Paramètres!$A$1:$I$89,3,0)*0.475*44/12</f>
        <v>0</v>
      </c>
      <c r="EX188" s="23">
        <f>EXP(-LN(2)/2)*EX187+(1-EXP(-LN(2)/2))/(LN(2)/2)*ER188*EU188*VLOOKUP('Données projet'!$B$15,Paramètres!$A$1:$I$89,3,0)*0.475*44/12</f>
        <v>0</v>
      </c>
      <c r="EY188" s="24">
        <f t="shared" si="181"/>
        <v>12.781943795847345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5.6843418860808015E-14</v>
      </c>
      <c r="FF188" s="18">
        <f>FE188*VLOOKUP('Données projet'!$B$16,Paramètres!$A$1:$I$89,3,0)*VLOOKUP('Données projet'!$B$16,Paramètres!$A$1:$I$89,5,0)</f>
        <v>5.4978954722173515E-14</v>
      </c>
      <c r="FG188" s="14">
        <f t="shared" si="182"/>
        <v>8.8550225887742724E-13</v>
      </c>
      <c r="FH188" s="22">
        <f t="shared" si="183"/>
        <v>1.6380047803526383E-12</v>
      </c>
      <c r="FI188" s="62">
        <f t="shared" si="131"/>
        <v>289.73432332845539</v>
      </c>
      <c r="FJ188" s="62">
        <f ca="1">AVERAGE(OFFSET($FI$3,0,0,'Données projet'!$E$16+1,1))-AVERAGE(OFFSET($H$3,0,0,'Données projet'!$E$16+1,1))</f>
        <v>369.69145521630799</v>
      </c>
      <c r="FK188" s="62">
        <f t="shared" si="156"/>
        <v>360.24112103688719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>
        <f>EXP(-LN(2)/35)*FQ187+(1-EXP(-LN(2)/35))/(LN(2)/35)*FM188*FN188*VLOOKUP('Données projet'!$B$16,Paramètres!$A$1:$I$89,3,0)*0.475*44/12</f>
        <v>16.861287560479486</v>
      </c>
      <c r="FR188" s="23">
        <f>EXP(-LN(2)/25)*FR187+(1-EXP(-LN(2)/25))/(LN(2)/25)*Calculateur!FM188*Calculateur!FO188*VLOOKUP('Données projet'!$B$16,Paramètres!$A$1:$I$89,3,0)*0.475*44/12</f>
        <v>0</v>
      </c>
      <c r="FS188" s="23">
        <f>EXP(-LN(2)/2)*FS187+(1-EXP(-LN(2)/2))/(LN(2)/2)*FM188*FP188*VLOOKUP('Données projet'!$B$16,Paramètres!$A$1:$I$89,3,0)*0.475*44/12</f>
        <v>0</v>
      </c>
      <c r="FT188" s="24">
        <f t="shared" si="184"/>
        <v>16.861287560479486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5.6843418860808015E-14</v>
      </c>
      <c r="GA188" s="18">
        <f>FZ188*VLOOKUP('Données projet'!$B$17,Paramètres!$A$1:$I$89,3,0)*VLOOKUP('Données projet'!$B$17,Paramètres!$A$1:$I$89,5,0)</f>
        <v>6.1186256061773749E-14</v>
      </c>
      <c r="GB188" s="14">
        <f t="shared" si="185"/>
        <v>9.7328366192051127E-13</v>
      </c>
      <c r="GC188" s="22">
        <f t="shared" si="186"/>
        <v>1.8017017738191463E-12</v>
      </c>
      <c r="GD188" s="62">
        <f t="shared" si="134"/>
        <v>289.73432332845556</v>
      </c>
      <c r="GE188" s="62">
        <f ca="1">AVERAGE(OFFSET($GD$3,0,0,'Données projet'!$E$17+1,1))-AVERAGE(OFFSET($H$3,0,0,'Données projet'!$E$17+1,1))</f>
        <v>405.06394904053946</v>
      </c>
      <c r="GF188" s="62">
        <f t="shared" si="158"/>
        <v>393.75247087518198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>
        <f>EXP(-LN(2)/35)*GL187+(1-EXP(-LN(2)/35))/(LN(2)/35)*GH188*GI188*VLOOKUP('Données projet'!$B$17,Paramètres!$A$1:$I$89,3,0)*0.475*44/12</f>
        <v>18.764981317307804</v>
      </c>
      <c r="GM188" s="23">
        <f>EXP(-LN(2)/25)*GM187+(1-EXP(-LN(2)/25))/(LN(2)/25)*Calculateur!GH188*Calculateur!GJ188*VLOOKUP('Données projet'!$B$17,Paramètres!$A$1:$I$89,3,0)*0.475*44/12</f>
        <v>0</v>
      </c>
      <c r="GN188" s="23">
        <f>EXP(-LN(2)/2)*GN187+(1-EXP(-LN(2)/2))/(LN(2)/2)*GH188*GK188*VLOOKUP('Données projet'!$B$17,Paramètres!$A$1:$I$89,3,0)*0.475*44/12</f>
        <v>0</v>
      </c>
      <c r="GO188" s="23">
        <f t="shared" si="187"/>
        <v>18.764981317307804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5.6843418860808015E-14</v>
      </c>
      <c r="GV188" s="18">
        <f>GU188*VLOOKUP('Données projet'!$B$18,Paramètres!$A$1:$I$89,3,0)*VLOOKUP('Données projet'!$B$18,Paramètres!$A$1:$I$89,5,0)</f>
        <v>3.813056537183002E-14</v>
      </c>
      <c r="GW188" s="14">
        <f t="shared" si="188"/>
        <v>6.4086286045526829E-13</v>
      </c>
      <c r="GX188" s="22">
        <f t="shared" si="189"/>
        <v>1.1825802166488628E-12</v>
      </c>
      <c r="GY188" s="62">
        <f t="shared" si="137"/>
        <v>289.73432332845493</v>
      </c>
      <c r="GZ188" s="62">
        <f ca="1">AVERAGE(OFFSET($GY$3,0,0,'Données projet'!$E$18+1,1))-AVERAGE(OFFSET($H$3,0,0,'Données projet'!$E$18+1,1))</f>
        <v>273.21861937609918</v>
      </c>
      <c r="HA188" s="62">
        <f t="shared" si="160"/>
        <v>268.83004886965318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>
        <f>EXP(-LN(2)/35)*HG187+(1-EXP(-LN(2)/35))/(LN(2)/35)*HC188*HD188*VLOOKUP('Données projet'!$B$18,Paramètres!$A$1:$I$89,3,0)*0.475*44/12</f>
        <v>14.413681301700201</v>
      </c>
      <c r="HH188" s="23">
        <f>EXP(-LN(2)/25)*HH187+(1-EXP(-LN(2)/25))/(LN(2)/25)*Calculateur!HC188*Calculateur!HE188*VLOOKUP('Données projet'!$B$18,Paramètres!$A$1:$I$89,3,0)*0.475*44/12</f>
        <v>0</v>
      </c>
      <c r="HI188" s="23">
        <f>EXP(-LN(2)/2)*HI187+(1-EXP(-LN(2)/2))/(LN(2)/2)*HC188*HF188*VLOOKUP('Données projet'!$B$18,Paramètres!$A$1:$I$89,3,0)*0.475*44/12</f>
        <v>0</v>
      </c>
      <c r="HJ188" s="24">
        <f t="shared" si="190"/>
        <v>14.413681301700201</v>
      </c>
    </row>
    <row r="189" spans="1:218" x14ac:dyDescent="0.4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-178.57392686804454</v>
      </c>
      <c r="O189" s="14">
        <f>N189*VLOOKUP('Données projet'!$B$9,Paramètres!$A$1:$I$89,3,0)*VLOOKUP('Données projet'!$B$9,Paramètres!$A$1:$I$89,5,0)</f>
        <v>-161.57368903020668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432.80275651765203</v>
      </c>
      <c r="T189" s="62">
        <f t="shared" si="142"/>
        <v>203.89279893419919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173.25803137285894</v>
      </c>
      <c r="AA189" s="23">
        <f>EXP(-LN(2)/25)*AA188+(1-EXP(-LN(2)/25))/(LN(2)/25)*Calculateur!V189*Calculateur!X189*VLOOKUP('Données projet'!$B$9,Paramètres!$A$1:$I$89,3,0)*0.475*44/12</f>
        <v>19.842646351589337</v>
      </c>
      <c r="AB189" s="23">
        <f>EXP(-LN(2)/2)*AB188+(1-EXP(-LN(2)/2))/(LN(2)/2)*V189*Y189*VLOOKUP('Données projet'!$B$9,Paramètres!$A$1:$I$89,3,0)*0.475*44/12</f>
        <v>0</v>
      </c>
      <c r="AC189" s="24">
        <f t="shared" si="163"/>
        <v>193.10067772444827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54.000000000000341</v>
      </c>
      <c r="AJ189" s="14">
        <f>AI189*VLOOKUP('Données projet'!$B$10,Paramètres!$A$1:$I$89,3,0)*VLOOKUP('Données projet'!$B$10,Paramètres!$A$1:$I$89,5,0)</f>
        <v>23.868000000000151</v>
      </c>
      <c r="AK189" s="14">
        <f t="shared" si="164"/>
        <v>7.6030930962115804</v>
      </c>
      <c r="AL189" s="22">
        <f t="shared" si="165"/>
        <v>54.812153809235433</v>
      </c>
      <c r="AM189" s="62">
        <f t="shared" si="113"/>
        <v>344.60891191509285</v>
      </c>
      <c r="AN189" s="62">
        <f ca="1">AVERAGE(OFFSET($AM$3,0,0,'Données projet'!$E$10+1,1))-AVERAGE(OFFSET($H$3,0,0,'Données projet'!$E$10+1,1))</f>
        <v>413.08876898406481</v>
      </c>
      <c r="AO189" s="62">
        <f t="shared" si="144"/>
        <v>520.31320932826566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22.65876497892037</v>
      </c>
      <c r="AV189" s="23">
        <f>EXP(-LN(2)/25)*AV188+(1-EXP(-LN(2)/25))/(LN(2)/25)*Calculateur!AQ189*Calculateur!AS189*VLOOKUP('Données projet'!$B$10,Paramètres!$A$1:$I$89,3,0)*0.475*44/12</f>
        <v>0.61332471842086989</v>
      </c>
      <c r="AW189" s="23">
        <f>EXP(-LN(2)/2)*AW188+(1-EXP(-LN(2)/2))/(LN(2)/2)*AQ189*AT189*VLOOKUP('Données projet'!$B$10,Paramètres!$A$1:$I$89,3,0)*0.475*44/12</f>
        <v>2.4126129774175425E-21</v>
      </c>
      <c r="AX189" s="23">
        <f t="shared" si="166"/>
        <v>23.27208969734124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54.000000000000341</v>
      </c>
      <c r="BE189" s="14">
        <f>BD189*VLOOKUP('Données projet'!$B$11,Paramètres!$A$1:$I$89,3,0)*VLOOKUP('Données projet'!$B$11,Paramètres!$A$1:$I$89,5,0)</f>
        <v>30.186000000000188</v>
      </c>
      <c r="BF189" s="14">
        <f t="shared" si="167"/>
        <v>9.3563888882899153</v>
      </c>
      <c r="BG189" s="22">
        <f t="shared" si="168"/>
        <v>68.869660647105263</v>
      </c>
      <c r="BH189" s="62">
        <f t="shared" si="116"/>
        <v>358.66641875296267</v>
      </c>
      <c r="BI189" s="62">
        <f ca="1">AVERAGE(OFFSET($BH$3,0,0,'Données projet'!$E$11+1,1))-AVERAGE(OFFSET($H$3,0,0,'Données projet'!$E$11+1,1))</f>
        <v>507.66185230065889</v>
      </c>
      <c r="BJ189" s="62">
        <f t="shared" si="146"/>
        <v>640.14375617778342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28.656673355693371</v>
      </c>
      <c r="BQ189" s="23">
        <f>EXP(-LN(2)/25)*BQ188+(1-EXP(-LN(2)/25))/(LN(2)/25)*Calculateur!BL189*Calculateur!BN189*VLOOKUP('Données projet'!$B$11,Paramètres!$A$1:$I$89,3,0)*0.475*44/12</f>
        <v>0.77567537917933616</v>
      </c>
      <c r="BR189" s="23">
        <f>EXP(-LN(2)/2)*BR188+(1-EXP(-LN(2)/2))/(LN(2)/2)*BL189*BO189*VLOOKUP('Données projet'!$B$11,Paramètres!$A$1:$I$89,3,0)*0.475*44/12</f>
        <v>3.0512458243810116E-21</v>
      </c>
      <c r="BS189" s="24">
        <f t="shared" si="169"/>
        <v>29.432348734872708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417.04879970000007</v>
      </c>
      <c r="BZ189" s="14">
        <f>BY189*VLOOKUP('Données projet'!$B$12,Paramètres!$A$1:$I$89,3,0)*VLOOKUP('Données projet'!$B$12,Paramètres!$A$1:$I$89,5,0)</f>
        <v>195.17883825960004</v>
      </c>
      <c r="CA189" s="14">
        <f t="shared" si="170"/>
        <v>48.683122291673484</v>
      </c>
      <c r="CB189" s="22">
        <f t="shared" si="171"/>
        <v>424.72624796013469</v>
      </c>
      <c r="CC189" s="62">
        <f t="shared" si="119"/>
        <v>714.52300606599215</v>
      </c>
      <c r="CD189" s="62">
        <f ca="1">AVERAGE(OFFSET($CC$3,0,0,'Données projet'!$E$12+1,1))-AVERAGE(OFFSET($H$3,0,0,'Données projet'!$E$12+1,1))</f>
        <v>289.21044803824958</v>
      </c>
      <c r="CE189" s="62">
        <f t="shared" si="148"/>
        <v>196.11836398299445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>
        <f>EXP(-LN(2)/35)*CK188+(1-EXP(-LN(2)/35))/(LN(2)/35)*CG189*CH189*VLOOKUP('Données projet'!$B$12,Paramètres!$A$1:$I$89,3,0)*0.475*44/12</f>
        <v>12.542150842676262</v>
      </c>
      <c r="CL189" s="23">
        <f>EXP(-LN(2)/25)*CL188+(1-EXP(-LN(2)/25))/(LN(2)/25)*Calculateur!CG189*Calculateur!CI189*VLOOKUP('Données projet'!$B$12,Paramètres!$A$1:$I$89,3,0)*0.475*44/12</f>
        <v>2.9539821520778333</v>
      </c>
      <c r="CM189" s="23">
        <f>EXP(-LN(2)/2)*CM188+(1-EXP(-LN(2)/2))/(LN(2)/2)*CG189*CJ189*VLOOKUP('Données projet'!$B$12,Paramètres!$A$1:$I$89,3,0)*0.475*44/12</f>
        <v>0</v>
      </c>
      <c r="CN189" s="24">
        <f t="shared" si="172"/>
        <v>15.496132994754095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-5.6843418860808015E-14</v>
      </c>
      <c r="CU189" s="18">
        <f>CT189*VLOOKUP('Données projet'!$B$13,Paramètres!$A$1:$I$89,3,0)*VLOOKUP('Données projet'!$B$13,Paramètres!$A$1:$I$89,5,0)</f>
        <v>-5.1431925385259088E-14</v>
      </c>
      <c r="CV189" s="14" t="e">
        <f t="shared" si="173"/>
        <v>#NUM!</v>
      </c>
      <c r="CW189" s="22" t="e">
        <f t="shared" si="174"/>
        <v>#NUM!</v>
      </c>
      <c r="CX189" s="62" t="e">
        <f t="shared" si="122"/>
        <v>#NUM!</v>
      </c>
      <c r="CY189" s="62">
        <f ca="1">AVERAGE(OFFSET($CX$3,0,0,'Données projet'!$E$13+1,1))-AVERAGE(OFFSET($H$3,0,0,'Données projet'!$E$13+1,1))</f>
        <v>376.68007030857598</v>
      </c>
      <c r="CZ189" s="62">
        <f t="shared" si="150"/>
        <v>532.90758914457626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>
        <f>EXP(-LN(2)/35)*DF188+(1-EXP(-LN(2)/35))/(LN(2)/35)*DB189*DC189*VLOOKUP('Données projet'!$B$13,Paramètres!$A$1:$I$89,3,0)*0.475*44/12</f>
        <v>5.736601886166218</v>
      </c>
      <c r="DG189" s="23">
        <f>EXP(-LN(2)/25)*DG188+(1-EXP(-LN(2)/25))/(LN(2)/25)*Calculateur!DB189*Calculateur!DD189*VLOOKUP('Données projet'!$B$13,Paramètres!$A$1:$I$89,3,0)*0.475*44/12</f>
        <v>0.1733215119159271</v>
      </c>
      <c r="DH189" s="23">
        <f>EXP(-LN(2)/2)*DH188+(1-EXP(-LN(2)/2))/(LN(2)/2)*DB189*DE189*VLOOKUP('Données projet'!$B$13,Paramètres!$A$1:$I$89,3,0)*0.475*44/12</f>
        <v>0</v>
      </c>
      <c r="DI189" s="24">
        <f t="shared" si="175"/>
        <v>5.9099233980821451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5.6843418860808015E-14</v>
      </c>
      <c r="DP189" s="18">
        <f>DO189*VLOOKUP('Données projet'!$B$14,Paramètres!$A$1:$I$89,3,0)*VLOOKUP('Données projet'!$B$14,Paramètres!$A$1:$I$89,5,0)</f>
        <v>5.4092197387944907E-14</v>
      </c>
      <c r="DQ189" s="14">
        <f t="shared" si="176"/>
        <v>8.7287050538073676E-13</v>
      </c>
      <c r="DR189" s="22">
        <f t="shared" si="177"/>
        <v>1.6144600406554537E-12</v>
      </c>
      <c r="DS189" s="62">
        <f t="shared" si="125"/>
        <v>289.796758105859</v>
      </c>
      <c r="DT189" s="62">
        <f ca="1">AVERAGE(OFFSET($DS$3,0,0,'Données projet'!$E$14+1,1))-AVERAGE(OFFSET($H$3,0,0,'Données projet'!$E$14+1,1))</f>
        <v>364.63161066507769</v>
      </c>
      <c r="DU189" s="62">
        <f t="shared" si="152"/>
        <v>355.44729904860708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>
        <f>EXP(-LN(2)/35)*EA188+(1-EXP(-LN(2)/35))/(LN(2)/35)*DW189*DX189*VLOOKUP('Données projet'!$B$14,Paramètres!$A$1:$I$89,3,0)*0.475*44/12</f>
        <v>16.264024641017624</v>
      </c>
      <c r="EB189" s="23">
        <f>EXP(-LN(2)/25)*EB188+(1-EXP(-LN(2)/25))/(LN(2)/25)*Calculateur!DW189*Calculateur!DY189*VLOOKUP('Données projet'!$B$14,Paramètres!$A$1:$I$89,3,0)*0.475*44/12</f>
        <v>0</v>
      </c>
      <c r="EC189" s="23">
        <f>EXP(-LN(2)/2)*EC188+(1-EXP(-LN(2)/2))/(LN(2)/2)*DW189*DZ189*VLOOKUP('Données projet'!$B$14,Paramètres!$A$1:$I$89,3,0)*0.475*44/12</f>
        <v>0</v>
      </c>
      <c r="ED189" s="24">
        <f t="shared" si="178"/>
        <v>16.264024641017624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5.6843418860808015E-14</v>
      </c>
      <c r="EK189" s="18">
        <f>EJ189*VLOOKUP('Données projet'!$B$15,Paramètres!$A$1:$I$89,3,0)*VLOOKUP('Données projet'!$B$15,Paramètres!$A$1:$I$89,5,0)</f>
        <v>4.1677594708744434E-14</v>
      </c>
      <c r="EL189" s="14">
        <f t="shared" si="179"/>
        <v>6.9326303456159188E-13</v>
      </c>
      <c r="EM189" s="22">
        <f t="shared" si="180"/>
        <v>1.2800215959791691E-12</v>
      </c>
      <c r="EN189" s="62">
        <f t="shared" si="128"/>
        <v>289.79675810585871</v>
      </c>
      <c r="EO189" s="62">
        <f ca="1">AVERAGE(OFFSET($EN$3,0,0,'Données projet'!$E$15+1,1))-AVERAGE(OFFSET($H$3,0,0,'Données projet'!$E$15+1,1))</f>
        <v>293.59366973965774</v>
      </c>
      <c r="EP189" s="62">
        <f t="shared" si="154"/>
        <v>288.13804536120426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>
        <f>EXP(-LN(2)/35)*EV188+(1-EXP(-LN(2)/35))/(LN(2)/35)*ER189*ES189*VLOOKUP('Données projet'!$B$15,Paramètres!$A$1:$I$89,3,0)*0.475*44/12</f>
        <v>12.531297674226682</v>
      </c>
      <c r="EW189" s="23">
        <f>EXP(-LN(2)/25)*EW188+(1-EXP(-LN(2)/25))/(LN(2)/25)*Calculateur!ER189*Calculateur!ET189*VLOOKUP('Données projet'!$B$15,Paramètres!$A$1:$I$89,3,0)*0.475*44/12</f>
        <v>0</v>
      </c>
      <c r="EX189" s="23">
        <f>EXP(-LN(2)/2)*EX188+(1-EXP(-LN(2)/2))/(LN(2)/2)*ER189*EU189*VLOOKUP('Données projet'!$B$15,Paramètres!$A$1:$I$89,3,0)*0.475*44/12</f>
        <v>0</v>
      </c>
      <c r="EY189" s="24">
        <f t="shared" si="181"/>
        <v>12.531297674226682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5.6843418860808015E-14</v>
      </c>
      <c r="FF189" s="18">
        <f>FE189*VLOOKUP('Données projet'!$B$16,Paramètres!$A$1:$I$89,3,0)*VLOOKUP('Données projet'!$B$16,Paramètres!$A$1:$I$89,5,0)</f>
        <v>5.4978954722173515E-14</v>
      </c>
      <c r="FG189" s="14">
        <f t="shared" si="182"/>
        <v>8.8550225887742724E-13</v>
      </c>
      <c r="FH189" s="22">
        <f t="shared" si="183"/>
        <v>1.6380047803526383E-12</v>
      </c>
      <c r="FI189" s="62">
        <f t="shared" si="131"/>
        <v>289.79675810585906</v>
      </c>
      <c r="FJ189" s="62">
        <f ca="1">AVERAGE(OFFSET($FI$3,0,0,'Données projet'!$E$16+1,1))-AVERAGE(OFFSET($H$3,0,0,'Données projet'!$E$16+1,1))</f>
        <v>369.69145521630799</v>
      </c>
      <c r="FK189" s="62">
        <f t="shared" si="156"/>
        <v>360.24112103688719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>
        <f>EXP(-LN(2)/35)*FQ188+(1-EXP(-LN(2)/35))/(LN(2)/35)*FM189*FN189*VLOOKUP('Données projet'!$B$16,Paramètres!$A$1:$I$89,3,0)*0.475*44/12</f>
        <v>16.530647995788399</v>
      </c>
      <c r="FR189" s="23">
        <f>EXP(-LN(2)/25)*FR188+(1-EXP(-LN(2)/25))/(LN(2)/25)*Calculateur!FM189*Calculateur!FO189*VLOOKUP('Données projet'!$B$16,Paramètres!$A$1:$I$89,3,0)*0.475*44/12</f>
        <v>0</v>
      </c>
      <c r="FS189" s="23">
        <f>EXP(-LN(2)/2)*FS188+(1-EXP(-LN(2)/2))/(LN(2)/2)*FM189*FP189*VLOOKUP('Données projet'!$B$16,Paramètres!$A$1:$I$89,3,0)*0.475*44/12</f>
        <v>0</v>
      </c>
      <c r="FT189" s="24">
        <f t="shared" si="184"/>
        <v>16.530647995788399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5.6843418860808015E-14</v>
      </c>
      <c r="GA189" s="18">
        <f>FZ189*VLOOKUP('Données projet'!$B$17,Paramètres!$A$1:$I$89,3,0)*VLOOKUP('Données projet'!$B$17,Paramètres!$A$1:$I$89,5,0)</f>
        <v>6.1186256061773749E-14</v>
      </c>
      <c r="GB189" s="14">
        <f t="shared" si="185"/>
        <v>9.7328366192051127E-13</v>
      </c>
      <c r="GC189" s="22">
        <f t="shared" si="186"/>
        <v>1.8017017738191463E-12</v>
      </c>
      <c r="GD189" s="62">
        <f t="shared" si="134"/>
        <v>289.79675810585923</v>
      </c>
      <c r="GE189" s="62">
        <f ca="1">AVERAGE(OFFSET($GD$3,0,0,'Données projet'!$E$17+1,1))-AVERAGE(OFFSET($H$3,0,0,'Données projet'!$E$17+1,1))</f>
        <v>405.06394904053946</v>
      </c>
      <c r="GF189" s="62">
        <f t="shared" si="158"/>
        <v>393.75247087518198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>
        <f>EXP(-LN(2)/35)*GL188+(1-EXP(-LN(2)/35))/(LN(2)/35)*GH189*GI189*VLOOKUP('Données projet'!$B$17,Paramètres!$A$1:$I$89,3,0)*0.475*44/12</f>
        <v>18.397011479183853</v>
      </c>
      <c r="GM189" s="23">
        <f>EXP(-LN(2)/25)*GM188+(1-EXP(-LN(2)/25))/(LN(2)/25)*Calculateur!GH189*Calculateur!GJ189*VLOOKUP('Données projet'!$B$17,Paramètres!$A$1:$I$89,3,0)*0.475*44/12</f>
        <v>0</v>
      </c>
      <c r="GN189" s="23">
        <f>EXP(-LN(2)/2)*GN188+(1-EXP(-LN(2)/2))/(LN(2)/2)*GH189*GK189*VLOOKUP('Données projet'!$B$17,Paramètres!$A$1:$I$89,3,0)*0.475*44/12</f>
        <v>0</v>
      </c>
      <c r="GO189" s="23">
        <f t="shared" si="187"/>
        <v>18.397011479183853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5.6843418860808015E-14</v>
      </c>
      <c r="GV189" s="18">
        <f>GU189*VLOOKUP('Données projet'!$B$18,Paramètres!$A$1:$I$89,3,0)*VLOOKUP('Données projet'!$B$18,Paramètres!$A$1:$I$89,5,0)</f>
        <v>3.813056537183002E-14</v>
      </c>
      <c r="GW189" s="14">
        <f t="shared" si="188"/>
        <v>6.4086286045526829E-13</v>
      </c>
      <c r="GX189" s="22">
        <f t="shared" si="189"/>
        <v>1.1825802166488628E-12</v>
      </c>
      <c r="GY189" s="62">
        <f t="shared" si="137"/>
        <v>289.7967581058586</v>
      </c>
      <c r="GZ189" s="62">
        <f ca="1">AVERAGE(OFFSET($GY$3,0,0,'Données projet'!$E$18+1,1))-AVERAGE(OFFSET($H$3,0,0,'Données projet'!$E$18+1,1))</f>
        <v>273.21861937609918</v>
      </c>
      <c r="HA189" s="62">
        <f t="shared" si="160"/>
        <v>268.83004886965318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>
        <f>EXP(-LN(2)/35)*HG188+(1-EXP(-LN(2)/35))/(LN(2)/35)*HC189*HD189*VLOOKUP('Données projet'!$B$18,Paramètres!$A$1:$I$89,3,0)*0.475*44/12</f>
        <v>14.131037802851369</v>
      </c>
      <c r="HH189" s="23">
        <f>EXP(-LN(2)/25)*HH188+(1-EXP(-LN(2)/25))/(LN(2)/25)*Calculateur!HC189*Calculateur!HE189*VLOOKUP('Données projet'!$B$18,Paramètres!$A$1:$I$89,3,0)*0.475*44/12</f>
        <v>0</v>
      </c>
      <c r="HI189" s="23">
        <f>EXP(-LN(2)/2)*HI188+(1-EXP(-LN(2)/2))/(LN(2)/2)*HC189*HF189*VLOOKUP('Données projet'!$B$18,Paramètres!$A$1:$I$89,3,0)*0.475*44/12</f>
        <v>0</v>
      </c>
      <c r="HJ189" s="24">
        <f t="shared" si="190"/>
        <v>14.131037802851369</v>
      </c>
    </row>
    <row r="190" spans="1:218" x14ac:dyDescent="0.4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-178.57392686804454</v>
      </c>
      <c r="O190" s="14">
        <f>N190*VLOOKUP('Données projet'!$B$9,Paramètres!$A$1:$I$89,3,0)*VLOOKUP('Données projet'!$B$9,Paramètres!$A$1:$I$89,5,0)</f>
        <v>-161.57368903020668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432.80275651765203</v>
      </c>
      <c r="T190" s="62">
        <f t="shared" si="142"/>
        <v>203.89279893419919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169.86054705460157</v>
      </c>
      <c r="AA190" s="23">
        <f>EXP(-LN(2)/25)*AA189+(1-EXP(-LN(2)/25))/(LN(2)/25)*Calculateur!V190*Calculateur!X190*VLOOKUP('Données projet'!$B$9,Paramètres!$A$1:$I$89,3,0)*0.475*44/12</f>
        <v>19.300048143625705</v>
      </c>
      <c r="AB190" s="23">
        <f>EXP(-LN(2)/2)*AB189+(1-EXP(-LN(2)/2))/(LN(2)/2)*V190*Y190*VLOOKUP('Données projet'!$B$9,Paramètres!$A$1:$I$89,3,0)*0.475*44/12</f>
        <v>0</v>
      </c>
      <c r="AC190" s="24">
        <f t="shared" si="163"/>
        <v>189.16059519822727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54.000000000000341</v>
      </c>
      <c r="AJ190" s="14">
        <f>AI190*VLOOKUP('Données projet'!$B$10,Paramètres!$A$1:$I$89,3,0)*VLOOKUP('Données projet'!$B$10,Paramètres!$A$1:$I$89,5,0)</f>
        <v>23.868000000000151</v>
      </c>
      <c r="AK190" s="14">
        <f t="shared" si="164"/>
        <v>7.6030930962115804</v>
      </c>
      <c r="AL190" s="22">
        <f t="shared" si="165"/>
        <v>54.812153809235433</v>
      </c>
      <c r="AM190" s="62">
        <f t="shared" si="113"/>
        <v>344.67026358869185</v>
      </c>
      <c r="AN190" s="62">
        <f ca="1">AVERAGE(OFFSET($AM$3,0,0,'Données projet'!$E$10+1,1))-AVERAGE(OFFSET($H$3,0,0,'Données projet'!$E$10+1,1))</f>
        <v>413.08876898406481</v>
      </c>
      <c r="AO190" s="62">
        <f t="shared" si="144"/>
        <v>520.31320932826566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22.214440418165719</v>
      </c>
      <c r="AV190" s="23">
        <f>EXP(-LN(2)/25)*AV189+(1-EXP(-LN(2)/25))/(LN(2)/25)*Calculateur!AQ190*Calculateur!AS190*VLOOKUP('Données projet'!$B$10,Paramètres!$A$1:$I$89,3,0)*0.475*44/12</f>
        <v>0.59655332174230602</v>
      </c>
      <c r="AW190" s="23">
        <f>EXP(-LN(2)/2)*AW189+(1-EXP(-LN(2)/2))/(LN(2)/2)*AQ190*AT190*VLOOKUP('Données projet'!$B$10,Paramètres!$A$1:$I$89,3,0)*0.475*44/12</f>
        <v>1.7059749967106111E-21</v>
      </c>
      <c r="AX190" s="23">
        <f t="shared" si="166"/>
        <v>22.810993739908024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54.000000000000341</v>
      </c>
      <c r="BE190" s="14">
        <f>BD190*VLOOKUP('Données projet'!$B$11,Paramètres!$A$1:$I$89,3,0)*VLOOKUP('Données projet'!$B$11,Paramètres!$A$1:$I$89,5,0)</f>
        <v>30.186000000000188</v>
      </c>
      <c r="BF190" s="14">
        <f t="shared" si="167"/>
        <v>9.3563888882899153</v>
      </c>
      <c r="BG190" s="22">
        <f t="shared" si="168"/>
        <v>68.869660647105263</v>
      </c>
      <c r="BH190" s="62">
        <f t="shared" si="116"/>
        <v>358.72777042656168</v>
      </c>
      <c r="BI190" s="62">
        <f ca="1">AVERAGE(OFFSET($BH$3,0,0,'Données projet'!$E$11+1,1))-AVERAGE(OFFSET($H$3,0,0,'Données projet'!$E$11+1,1))</f>
        <v>507.66185230065889</v>
      </c>
      <c r="BJ190" s="62">
        <f t="shared" si="146"/>
        <v>640.14375617778342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28.094733470033077</v>
      </c>
      <c r="BQ190" s="23">
        <f>EXP(-LN(2)/25)*BQ189+(1-EXP(-LN(2)/25))/(LN(2)/25)*Calculateur!BL190*Calculateur!BN190*VLOOKUP('Données projet'!$B$11,Paramètres!$A$1:$I$89,3,0)*0.475*44/12</f>
        <v>0.75446449514468183</v>
      </c>
      <c r="BR190" s="23">
        <f>EXP(-LN(2)/2)*BR189+(1-EXP(-LN(2)/2))/(LN(2)/2)*BL190*BO190*VLOOKUP('Données projet'!$B$11,Paramètres!$A$1:$I$89,3,0)*0.475*44/12</f>
        <v>2.1575566134869508E-21</v>
      </c>
      <c r="BS190" s="24">
        <f t="shared" si="169"/>
        <v>28.849197965177758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417.04879970000007</v>
      </c>
      <c r="BZ190" s="14">
        <f>BY190*VLOOKUP('Données projet'!$B$12,Paramètres!$A$1:$I$89,3,0)*VLOOKUP('Données projet'!$B$12,Paramètres!$A$1:$I$89,5,0)</f>
        <v>195.17883825960004</v>
      </c>
      <c r="CA190" s="14">
        <f t="shared" si="170"/>
        <v>48.683122291673484</v>
      </c>
      <c r="CB190" s="22">
        <f t="shared" si="171"/>
        <v>424.72624796013469</v>
      </c>
      <c r="CC190" s="62">
        <f t="shared" si="119"/>
        <v>714.58435773959104</v>
      </c>
      <c r="CD190" s="62">
        <f ca="1">AVERAGE(OFFSET($CC$3,0,0,'Données projet'!$E$12+1,1))-AVERAGE(OFFSET($H$3,0,0,'Données projet'!$E$12+1,1))</f>
        <v>289.21044803824958</v>
      </c>
      <c r="CE190" s="62">
        <f t="shared" si="148"/>
        <v>196.11836398299445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>
        <f>EXP(-LN(2)/35)*CK189+(1-EXP(-LN(2)/35))/(LN(2)/35)*CG190*CH190*VLOOKUP('Données projet'!$B$12,Paramètres!$A$1:$I$89,3,0)*0.475*44/12</f>
        <v>12.296206914608025</v>
      </c>
      <c r="CL190" s="23">
        <f>EXP(-LN(2)/25)*CL189+(1-EXP(-LN(2)/25))/(LN(2)/25)*Calculateur!CG190*Calculateur!CI190*VLOOKUP('Données projet'!$B$12,Paramètres!$A$1:$I$89,3,0)*0.475*44/12</f>
        <v>2.8732053547860952</v>
      </c>
      <c r="CM190" s="23">
        <f>EXP(-LN(2)/2)*CM189+(1-EXP(-LN(2)/2))/(LN(2)/2)*CG190*CJ190*VLOOKUP('Données projet'!$B$12,Paramètres!$A$1:$I$89,3,0)*0.475*44/12</f>
        <v>0</v>
      </c>
      <c r="CN190" s="24">
        <f t="shared" si="172"/>
        <v>15.169412269394119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-5.6843418860808015E-14</v>
      </c>
      <c r="CU190" s="18">
        <f>CT190*VLOOKUP('Données projet'!$B$13,Paramètres!$A$1:$I$89,3,0)*VLOOKUP('Données projet'!$B$13,Paramètres!$A$1:$I$89,5,0)</f>
        <v>-5.1431925385259088E-14</v>
      </c>
      <c r="CV190" s="14" t="e">
        <f t="shared" si="173"/>
        <v>#NUM!</v>
      </c>
      <c r="CW190" s="22" t="e">
        <f t="shared" si="174"/>
        <v>#NUM!</v>
      </c>
      <c r="CX190" s="62" t="e">
        <f t="shared" si="122"/>
        <v>#NUM!</v>
      </c>
      <c r="CY190" s="62">
        <f ca="1">AVERAGE(OFFSET($CX$3,0,0,'Données projet'!$E$13+1,1))-AVERAGE(OFFSET($H$3,0,0,'Données projet'!$E$13+1,1))</f>
        <v>376.68007030857598</v>
      </c>
      <c r="CZ190" s="62">
        <f t="shared" si="150"/>
        <v>532.90758914457626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>
        <f>EXP(-LN(2)/35)*DF189+(1-EXP(-LN(2)/35))/(LN(2)/35)*DB190*DC190*VLOOKUP('Données projet'!$B$13,Paramètres!$A$1:$I$89,3,0)*0.475*44/12</f>
        <v>5.6241106221601536</v>
      </c>
      <c r="DG190" s="23">
        <f>EXP(-LN(2)/25)*DG189+(1-EXP(-LN(2)/25))/(LN(2)/25)*Calculateur!DB190*Calculateur!DD190*VLOOKUP('Données projet'!$B$13,Paramètres!$A$1:$I$89,3,0)*0.475*44/12</f>
        <v>0.16858202605800388</v>
      </c>
      <c r="DH190" s="23">
        <f>EXP(-LN(2)/2)*DH189+(1-EXP(-LN(2)/2))/(LN(2)/2)*DB190*DE190*VLOOKUP('Données projet'!$B$13,Paramètres!$A$1:$I$89,3,0)*0.475*44/12</f>
        <v>0</v>
      </c>
      <c r="DI190" s="24">
        <f t="shared" si="175"/>
        <v>5.7926926482181571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5.6843418860808015E-14</v>
      </c>
      <c r="DP190" s="18">
        <f>DO190*VLOOKUP('Données projet'!$B$14,Paramètres!$A$1:$I$89,3,0)*VLOOKUP('Données projet'!$B$14,Paramètres!$A$1:$I$89,5,0)</f>
        <v>5.4092197387944907E-14</v>
      </c>
      <c r="DQ190" s="14">
        <f t="shared" si="176"/>
        <v>8.7287050538073676E-13</v>
      </c>
      <c r="DR190" s="22">
        <f t="shared" si="177"/>
        <v>1.6144600406554537E-12</v>
      </c>
      <c r="DS190" s="62">
        <f t="shared" si="125"/>
        <v>289.858109779458</v>
      </c>
      <c r="DT190" s="62">
        <f ca="1">AVERAGE(OFFSET($DS$3,0,0,'Données projet'!$E$14+1,1))-AVERAGE(OFFSET($H$3,0,0,'Données projet'!$E$14+1,1))</f>
        <v>364.63161066507769</v>
      </c>
      <c r="DU190" s="62">
        <f t="shared" si="152"/>
        <v>355.44729904860708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>
        <f>EXP(-LN(2)/35)*EA189+(1-EXP(-LN(2)/35))/(LN(2)/35)*DW190*DX190*VLOOKUP('Données projet'!$B$14,Paramètres!$A$1:$I$89,3,0)*0.475*44/12</f>
        <v>15.945097037882773</v>
      </c>
      <c r="EB190" s="23">
        <f>EXP(-LN(2)/25)*EB189+(1-EXP(-LN(2)/25))/(LN(2)/25)*Calculateur!DW190*Calculateur!DY190*VLOOKUP('Données projet'!$B$14,Paramètres!$A$1:$I$89,3,0)*0.475*44/12</f>
        <v>0</v>
      </c>
      <c r="EC190" s="23">
        <f>EXP(-LN(2)/2)*EC189+(1-EXP(-LN(2)/2))/(LN(2)/2)*DW190*DZ190*VLOOKUP('Données projet'!$B$14,Paramètres!$A$1:$I$89,3,0)*0.475*44/12</f>
        <v>0</v>
      </c>
      <c r="ED190" s="24">
        <f t="shared" si="178"/>
        <v>15.945097037882773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5.6843418860808015E-14</v>
      </c>
      <c r="EK190" s="18">
        <f>EJ190*VLOOKUP('Données projet'!$B$15,Paramètres!$A$1:$I$89,3,0)*VLOOKUP('Données projet'!$B$15,Paramètres!$A$1:$I$89,5,0)</f>
        <v>4.1677594708744434E-14</v>
      </c>
      <c r="EL190" s="14">
        <f t="shared" si="179"/>
        <v>6.9326303456159188E-13</v>
      </c>
      <c r="EM190" s="22">
        <f t="shared" si="180"/>
        <v>1.2800215959791691E-12</v>
      </c>
      <c r="EN190" s="62">
        <f t="shared" si="128"/>
        <v>289.85810977945772</v>
      </c>
      <c r="EO190" s="62">
        <f ca="1">AVERAGE(OFFSET($EN$3,0,0,'Données projet'!$E$15+1,1))-AVERAGE(OFFSET($H$3,0,0,'Données projet'!$E$15+1,1))</f>
        <v>293.59366973965774</v>
      </c>
      <c r="EP190" s="62">
        <f t="shared" si="154"/>
        <v>288.13804536120426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>
        <f>EXP(-LN(2)/35)*EV189+(1-EXP(-LN(2)/35))/(LN(2)/35)*ER190*ES190*VLOOKUP('Données projet'!$B$15,Paramètres!$A$1:$I$89,3,0)*0.475*44/12</f>
        <v>12.285566570171961</v>
      </c>
      <c r="EW190" s="23">
        <f>EXP(-LN(2)/25)*EW189+(1-EXP(-LN(2)/25))/(LN(2)/25)*Calculateur!ER190*Calculateur!ET190*VLOOKUP('Données projet'!$B$15,Paramètres!$A$1:$I$89,3,0)*0.475*44/12</f>
        <v>0</v>
      </c>
      <c r="EX190" s="23">
        <f>EXP(-LN(2)/2)*EX189+(1-EXP(-LN(2)/2))/(LN(2)/2)*ER190*EU190*VLOOKUP('Données projet'!$B$15,Paramètres!$A$1:$I$89,3,0)*0.475*44/12</f>
        <v>0</v>
      </c>
      <c r="EY190" s="24">
        <f t="shared" si="181"/>
        <v>12.285566570171961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5.6843418860808015E-14</v>
      </c>
      <c r="FF190" s="18">
        <f>FE190*VLOOKUP('Données projet'!$B$16,Paramètres!$A$1:$I$89,3,0)*VLOOKUP('Données projet'!$B$16,Paramètres!$A$1:$I$89,5,0)</f>
        <v>5.4978954722173515E-14</v>
      </c>
      <c r="FG190" s="14">
        <f t="shared" si="182"/>
        <v>8.8550225887742724E-13</v>
      </c>
      <c r="FH190" s="22">
        <f t="shared" si="183"/>
        <v>1.6380047803526383E-12</v>
      </c>
      <c r="FI190" s="62">
        <f t="shared" si="131"/>
        <v>289.85810977945806</v>
      </c>
      <c r="FJ190" s="62">
        <f ca="1">AVERAGE(OFFSET($FI$3,0,0,'Données projet'!$E$16+1,1))-AVERAGE(OFFSET($H$3,0,0,'Données projet'!$E$16+1,1))</f>
        <v>369.69145521630799</v>
      </c>
      <c r="FK190" s="62">
        <f t="shared" si="156"/>
        <v>360.24112103688719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>
        <f>EXP(-LN(2)/35)*FQ189+(1-EXP(-LN(2)/35))/(LN(2)/35)*FM190*FN190*VLOOKUP('Données projet'!$B$16,Paramètres!$A$1:$I$89,3,0)*0.475*44/12</f>
        <v>16.206492071290683</v>
      </c>
      <c r="FR190" s="23">
        <f>EXP(-LN(2)/25)*FR189+(1-EXP(-LN(2)/25))/(LN(2)/25)*Calculateur!FM190*Calculateur!FO190*VLOOKUP('Données projet'!$B$16,Paramètres!$A$1:$I$89,3,0)*0.475*44/12</f>
        <v>0</v>
      </c>
      <c r="FS190" s="23">
        <f>EXP(-LN(2)/2)*FS189+(1-EXP(-LN(2)/2))/(LN(2)/2)*FM190*FP190*VLOOKUP('Données projet'!$B$16,Paramètres!$A$1:$I$89,3,0)*0.475*44/12</f>
        <v>0</v>
      </c>
      <c r="FT190" s="24">
        <f t="shared" si="184"/>
        <v>16.206492071290683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5.6843418860808015E-14</v>
      </c>
      <c r="GA190" s="18">
        <f>FZ190*VLOOKUP('Données projet'!$B$17,Paramètres!$A$1:$I$89,3,0)*VLOOKUP('Données projet'!$B$17,Paramètres!$A$1:$I$89,5,0)</f>
        <v>6.1186256061773749E-14</v>
      </c>
      <c r="GB190" s="14">
        <f t="shared" si="185"/>
        <v>9.7328366192051127E-13</v>
      </c>
      <c r="GC190" s="22">
        <f t="shared" si="186"/>
        <v>1.8017017738191463E-12</v>
      </c>
      <c r="GD190" s="62">
        <f t="shared" si="134"/>
        <v>289.85810977945823</v>
      </c>
      <c r="GE190" s="62">
        <f ca="1">AVERAGE(OFFSET($GD$3,0,0,'Données projet'!$E$17+1,1))-AVERAGE(OFFSET($H$3,0,0,'Données projet'!$E$17+1,1))</f>
        <v>405.06394904053946</v>
      </c>
      <c r="GF190" s="62">
        <f t="shared" si="158"/>
        <v>393.75247087518198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>
        <f>EXP(-LN(2)/35)*GL189+(1-EXP(-LN(2)/35))/(LN(2)/35)*GH190*GI190*VLOOKUP('Données projet'!$B$17,Paramètres!$A$1:$I$89,3,0)*0.475*44/12</f>
        <v>18.036257305146069</v>
      </c>
      <c r="GM190" s="23">
        <f>EXP(-LN(2)/25)*GM189+(1-EXP(-LN(2)/25))/(LN(2)/25)*Calculateur!GH190*Calculateur!GJ190*VLOOKUP('Données projet'!$B$17,Paramètres!$A$1:$I$89,3,0)*0.475*44/12</f>
        <v>0</v>
      </c>
      <c r="GN190" s="23">
        <f>EXP(-LN(2)/2)*GN189+(1-EXP(-LN(2)/2))/(LN(2)/2)*GH190*GK190*VLOOKUP('Données projet'!$B$17,Paramètres!$A$1:$I$89,3,0)*0.475*44/12</f>
        <v>0</v>
      </c>
      <c r="GO190" s="23">
        <f t="shared" si="187"/>
        <v>18.036257305146069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5.6843418860808015E-14</v>
      </c>
      <c r="GV190" s="18">
        <f>GU190*VLOOKUP('Données projet'!$B$18,Paramètres!$A$1:$I$89,3,0)*VLOOKUP('Données projet'!$B$18,Paramètres!$A$1:$I$89,5,0)</f>
        <v>3.813056537183002E-14</v>
      </c>
      <c r="GW190" s="14">
        <f t="shared" si="188"/>
        <v>6.4086286045526829E-13</v>
      </c>
      <c r="GX190" s="22">
        <f t="shared" si="189"/>
        <v>1.1825802166488628E-12</v>
      </c>
      <c r="GY190" s="62">
        <f t="shared" si="137"/>
        <v>289.85810977945761</v>
      </c>
      <c r="GZ190" s="62">
        <f ca="1">AVERAGE(OFFSET($GY$3,0,0,'Données projet'!$E$18+1,1))-AVERAGE(OFFSET($H$3,0,0,'Données projet'!$E$18+1,1))</f>
        <v>273.21861937609918</v>
      </c>
      <c r="HA190" s="62">
        <f t="shared" si="160"/>
        <v>268.83004886965318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>
        <f>EXP(-LN(2)/35)*HG189+(1-EXP(-LN(2)/35))/(LN(2)/35)*HC190*HD190*VLOOKUP('Données projet'!$B$18,Paramètres!$A$1:$I$89,3,0)*0.475*44/12</f>
        <v>13.85393677061945</v>
      </c>
      <c r="HH190" s="23">
        <f>EXP(-LN(2)/25)*HH189+(1-EXP(-LN(2)/25))/(LN(2)/25)*Calculateur!HC190*Calculateur!HE190*VLOOKUP('Données projet'!$B$18,Paramètres!$A$1:$I$89,3,0)*0.475*44/12</f>
        <v>0</v>
      </c>
      <c r="HI190" s="23">
        <f>EXP(-LN(2)/2)*HI189+(1-EXP(-LN(2)/2))/(LN(2)/2)*HC190*HF190*VLOOKUP('Données projet'!$B$18,Paramètres!$A$1:$I$89,3,0)*0.475*44/12</f>
        <v>0</v>
      </c>
      <c r="HJ190" s="24">
        <f t="shared" si="190"/>
        <v>13.85393677061945</v>
      </c>
    </row>
    <row r="191" spans="1:218" x14ac:dyDescent="0.4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-178.57392686804454</v>
      </c>
      <c r="O191" s="14">
        <f>N191*VLOOKUP('Données projet'!$B$9,Paramètres!$A$1:$I$89,3,0)*VLOOKUP('Données projet'!$B$9,Paramètres!$A$1:$I$89,5,0)</f>
        <v>-161.57368903020668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432.80275651765203</v>
      </c>
      <c r="T191" s="62">
        <f t="shared" si="142"/>
        <v>203.89279893419919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166.52968533156442</v>
      </c>
      <c r="AA191" s="23">
        <f>EXP(-LN(2)/25)*AA190+(1-EXP(-LN(2)/25))/(LN(2)/25)*Calculateur!V191*Calculateur!X191*VLOOKUP('Données projet'!$B$9,Paramètres!$A$1:$I$89,3,0)*0.475*44/12</f>
        <v>18.772287312192841</v>
      </c>
      <c r="AB191" s="23">
        <f>EXP(-LN(2)/2)*AB190+(1-EXP(-LN(2)/2))/(LN(2)/2)*V191*Y191*VLOOKUP('Données projet'!$B$9,Paramètres!$A$1:$I$89,3,0)*0.475*44/12</f>
        <v>0</v>
      </c>
      <c r="AC191" s="24">
        <f t="shared" si="163"/>
        <v>185.30197264375727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54.000000000000341</v>
      </c>
      <c r="AJ191" s="14">
        <f>AI191*VLOOKUP('Données projet'!$B$10,Paramètres!$A$1:$I$89,3,0)*VLOOKUP('Données projet'!$B$10,Paramètres!$A$1:$I$89,5,0)</f>
        <v>23.868000000000151</v>
      </c>
      <c r="AK191" s="14">
        <f t="shared" si="164"/>
        <v>7.6030930962115804</v>
      </c>
      <c r="AL191" s="22">
        <f t="shared" si="165"/>
        <v>54.812153809235433</v>
      </c>
      <c r="AM191" s="62">
        <f t="shared" si="113"/>
        <v>344.73055094791567</v>
      </c>
      <c r="AN191" s="62">
        <f ca="1">AVERAGE(OFFSET($AM$3,0,0,'Données projet'!$E$10+1,1))-AVERAGE(OFFSET($H$3,0,0,'Données projet'!$E$10+1,1))</f>
        <v>413.08876898406481</v>
      </c>
      <c r="AO191" s="62">
        <f t="shared" si="144"/>
        <v>520.31320932826566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21.778828791036243</v>
      </c>
      <c r="AV191" s="23">
        <f>EXP(-LN(2)/25)*AV190+(1-EXP(-LN(2)/25))/(LN(2)/25)*Calculateur!AQ191*Calculateur!AS191*VLOOKUP('Données projet'!$B$10,Paramètres!$A$1:$I$89,3,0)*0.475*44/12</f>
        <v>0.58024053978788692</v>
      </c>
      <c r="AW191" s="23">
        <f>EXP(-LN(2)/2)*AW190+(1-EXP(-LN(2)/2))/(LN(2)/2)*AQ191*AT191*VLOOKUP('Données projet'!$B$10,Paramètres!$A$1:$I$89,3,0)*0.475*44/12</f>
        <v>1.2063064887087712E-21</v>
      </c>
      <c r="AX191" s="23">
        <f t="shared" si="166"/>
        <v>22.359069330824131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54.000000000000341</v>
      </c>
      <c r="BE191" s="14">
        <f>BD191*VLOOKUP('Données projet'!$B$11,Paramètres!$A$1:$I$89,3,0)*VLOOKUP('Données projet'!$B$11,Paramètres!$A$1:$I$89,5,0)</f>
        <v>30.186000000000188</v>
      </c>
      <c r="BF191" s="14">
        <f t="shared" si="167"/>
        <v>9.3563888882899153</v>
      </c>
      <c r="BG191" s="22">
        <f t="shared" si="168"/>
        <v>68.869660647105263</v>
      </c>
      <c r="BH191" s="62">
        <f t="shared" si="116"/>
        <v>358.7880577857855</v>
      </c>
      <c r="BI191" s="62">
        <f ca="1">AVERAGE(OFFSET($BH$3,0,0,'Données projet'!$E$11+1,1))-AVERAGE(OFFSET($H$3,0,0,'Données projet'!$E$11+1,1))</f>
        <v>507.66185230065889</v>
      </c>
      <c r="BJ191" s="62">
        <f t="shared" si="146"/>
        <v>640.14375617778342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27.543812882781097</v>
      </c>
      <c r="BQ191" s="23">
        <f>EXP(-LN(2)/25)*BQ190+(1-EXP(-LN(2)/25))/(LN(2)/25)*Calculateur!BL191*Calculateur!BN191*VLOOKUP('Données projet'!$B$11,Paramètres!$A$1:$I$89,3,0)*0.475*44/12</f>
        <v>0.73383362384938711</v>
      </c>
      <c r="BR191" s="23">
        <f>EXP(-LN(2)/2)*BR190+(1-EXP(-LN(2)/2))/(LN(2)/2)*BL191*BO191*VLOOKUP('Données projet'!$B$11,Paramètres!$A$1:$I$89,3,0)*0.475*44/12</f>
        <v>1.5256229121905058E-21</v>
      </c>
      <c r="BS191" s="24">
        <f t="shared" si="169"/>
        <v>28.277646506630486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417.04879970000007</v>
      </c>
      <c r="BZ191" s="14">
        <f>BY191*VLOOKUP('Données projet'!$B$12,Paramètres!$A$1:$I$89,3,0)*VLOOKUP('Données projet'!$B$12,Paramètres!$A$1:$I$89,5,0)</f>
        <v>195.17883825960004</v>
      </c>
      <c r="CA191" s="14">
        <f t="shared" si="170"/>
        <v>48.683122291673484</v>
      </c>
      <c r="CB191" s="22">
        <f t="shared" si="171"/>
        <v>424.72624796013469</v>
      </c>
      <c r="CC191" s="62">
        <f t="shared" si="119"/>
        <v>714.64464509881486</v>
      </c>
      <c r="CD191" s="62">
        <f ca="1">AVERAGE(OFFSET($CC$3,0,0,'Données projet'!$E$12+1,1))-AVERAGE(OFFSET($H$3,0,0,'Données projet'!$E$12+1,1))</f>
        <v>289.21044803824958</v>
      </c>
      <c r="CE191" s="62">
        <f t="shared" si="148"/>
        <v>196.11836398299445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>
        <f>EXP(-LN(2)/35)*CK190+(1-EXP(-LN(2)/35))/(LN(2)/35)*CG191*CH191*VLOOKUP('Données projet'!$B$12,Paramètres!$A$1:$I$89,3,0)*0.475*44/12</f>
        <v>12.05508579695822</v>
      </c>
      <c r="CL191" s="23">
        <f>EXP(-LN(2)/25)*CL190+(1-EXP(-LN(2)/25))/(LN(2)/25)*Calculateur!CG191*Calculateur!CI191*VLOOKUP('Données projet'!$B$12,Paramètres!$A$1:$I$89,3,0)*0.475*44/12</f>
        <v>2.7946374032641668</v>
      </c>
      <c r="CM191" s="23">
        <f>EXP(-LN(2)/2)*CM190+(1-EXP(-LN(2)/2))/(LN(2)/2)*CG191*CJ191*VLOOKUP('Données projet'!$B$12,Paramètres!$A$1:$I$89,3,0)*0.475*44/12</f>
        <v>0</v>
      </c>
      <c r="CN191" s="24">
        <f t="shared" si="172"/>
        <v>14.849723200222387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-5.6843418860808015E-14</v>
      </c>
      <c r="CU191" s="18">
        <f>CT191*VLOOKUP('Données projet'!$B$13,Paramètres!$A$1:$I$89,3,0)*VLOOKUP('Données projet'!$B$13,Paramètres!$A$1:$I$89,5,0)</f>
        <v>-5.1431925385259088E-14</v>
      </c>
      <c r="CV191" s="14" t="e">
        <f t="shared" si="173"/>
        <v>#NUM!</v>
      </c>
      <c r="CW191" s="22" t="e">
        <f t="shared" si="174"/>
        <v>#NUM!</v>
      </c>
      <c r="CX191" s="62" t="e">
        <f t="shared" si="122"/>
        <v>#NUM!</v>
      </c>
      <c r="CY191" s="62">
        <f ca="1">AVERAGE(OFFSET($CX$3,0,0,'Données projet'!$E$13+1,1))-AVERAGE(OFFSET($H$3,0,0,'Données projet'!$E$13+1,1))</f>
        <v>376.68007030857598</v>
      </c>
      <c r="CZ191" s="62">
        <f t="shared" si="150"/>
        <v>532.90758914457626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>
        <f>EXP(-LN(2)/35)*DF190+(1-EXP(-LN(2)/35))/(LN(2)/35)*DB191*DC191*VLOOKUP('Données projet'!$B$13,Paramètres!$A$1:$I$89,3,0)*0.475*44/12</f>
        <v>5.5138252432283519</v>
      </c>
      <c r="DG191" s="23">
        <f>EXP(-LN(2)/25)*DG190+(1-EXP(-LN(2)/25))/(LN(2)/25)*Calculateur!DB191*Calculateur!DD191*VLOOKUP('Données projet'!$B$13,Paramètres!$A$1:$I$89,3,0)*0.475*44/12</f>
        <v>0.16397214169010429</v>
      </c>
      <c r="DH191" s="23">
        <f>EXP(-LN(2)/2)*DH190+(1-EXP(-LN(2)/2))/(LN(2)/2)*DB191*DE191*VLOOKUP('Données projet'!$B$13,Paramètres!$A$1:$I$89,3,0)*0.475*44/12</f>
        <v>0</v>
      </c>
      <c r="DI191" s="24">
        <f t="shared" si="175"/>
        <v>5.6777973849184562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5.6843418860808015E-14</v>
      </c>
      <c r="DP191" s="18">
        <f>DO191*VLOOKUP('Données projet'!$B$14,Paramètres!$A$1:$I$89,3,0)*VLOOKUP('Données projet'!$B$14,Paramètres!$A$1:$I$89,5,0)</f>
        <v>5.4092197387944907E-14</v>
      </c>
      <c r="DQ191" s="14">
        <f t="shared" si="176"/>
        <v>8.7287050538073676E-13</v>
      </c>
      <c r="DR191" s="22">
        <f t="shared" si="177"/>
        <v>1.6144600406554537E-12</v>
      </c>
      <c r="DS191" s="62">
        <f t="shared" si="125"/>
        <v>289.91839713868183</v>
      </c>
      <c r="DT191" s="62">
        <f ca="1">AVERAGE(OFFSET($DS$3,0,0,'Données projet'!$E$14+1,1))-AVERAGE(OFFSET($H$3,0,0,'Données projet'!$E$14+1,1))</f>
        <v>364.63161066507769</v>
      </c>
      <c r="DU191" s="62">
        <f t="shared" si="152"/>
        <v>355.44729904860708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>
        <f>EXP(-LN(2)/35)*EA190+(1-EXP(-LN(2)/35))/(LN(2)/35)*DW191*DX191*VLOOKUP('Données projet'!$B$14,Paramètres!$A$1:$I$89,3,0)*0.475*44/12</f>
        <v>15.632423410518767</v>
      </c>
      <c r="EB191" s="23">
        <f>EXP(-LN(2)/25)*EB190+(1-EXP(-LN(2)/25))/(LN(2)/25)*Calculateur!DW191*Calculateur!DY191*VLOOKUP('Données projet'!$B$14,Paramètres!$A$1:$I$89,3,0)*0.475*44/12</f>
        <v>0</v>
      </c>
      <c r="EC191" s="23">
        <f>EXP(-LN(2)/2)*EC190+(1-EXP(-LN(2)/2))/(LN(2)/2)*DW191*DZ191*VLOOKUP('Données projet'!$B$14,Paramètres!$A$1:$I$89,3,0)*0.475*44/12</f>
        <v>0</v>
      </c>
      <c r="ED191" s="24">
        <f t="shared" si="178"/>
        <v>15.632423410518767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5.6843418860808015E-14</v>
      </c>
      <c r="EK191" s="18">
        <f>EJ191*VLOOKUP('Données projet'!$B$15,Paramètres!$A$1:$I$89,3,0)*VLOOKUP('Données projet'!$B$15,Paramètres!$A$1:$I$89,5,0)</f>
        <v>4.1677594708744434E-14</v>
      </c>
      <c r="EL191" s="14">
        <f t="shared" si="179"/>
        <v>6.9326303456159188E-13</v>
      </c>
      <c r="EM191" s="22">
        <f t="shared" si="180"/>
        <v>1.2800215959791691E-12</v>
      </c>
      <c r="EN191" s="62">
        <f t="shared" si="128"/>
        <v>289.91839713868154</v>
      </c>
      <c r="EO191" s="62">
        <f ca="1">AVERAGE(OFFSET($EN$3,0,0,'Données projet'!$E$15+1,1))-AVERAGE(OFFSET($H$3,0,0,'Données projet'!$E$15+1,1))</f>
        <v>293.59366973965774</v>
      </c>
      <c r="EP191" s="62">
        <f t="shared" si="154"/>
        <v>288.13804536120426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>
        <f>EXP(-LN(2)/35)*EV190+(1-EXP(-LN(2)/35))/(LN(2)/35)*ER191*ES191*VLOOKUP('Données projet'!$B$15,Paramètres!$A$1:$I$89,3,0)*0.475*44/12</f>
        <v>12.044654103186579</v>
      </c>
      <c r="EW191" s="23">
        <f>EXP(-LN(2)/25)*EW190+(1-EXP(-LN(2)/25))/(LN(2)/25)*Calculateur!ER191*Calculateur!ET191*VLOOKUP('Données projet'!$B$15,Paramètres!$A$1:$I$89,3,0)*0.475*44/12</f>
        <v>0</v>
      </c>
      <c r="EX191" s="23">
        <f>EXP(-LN(2)/2)*EX190+(1-EXP(-LN(2)/2))/(LN(2)/2)*ER191*EU191*VLOOKUP('Données projet'!$B$15,Paramètres!$A$1:$I$89,3,0)*0.475*44/12</f>
        <v>0</v>
      </c>
      <c r="EY191" s="24">
        <f t="shared" si="181"/>
        <v>12.044654103186579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5.6843418860808015E-14</v>
      </c>
      <c r="FF191" s="18">
        <f>FE191*VLOOKUP('Données projet'!$B$16,Paramètres!$A$1:$I$89,3,0)*VLOOKUP('Données projet'!$B$16,Paramètres!$A$1:$I$89,5,0)</f>
        <v>5.4978954722173515E-14</v>
      </c>
      <c r="FG191" s="14">
        <f t="shared" si="182"/>
        <v>8.8550225887742724E-13</v>
      </c>
      <c r="FH191" s="22">
        <f t="shared" si="183"/>
        <v>1.6380047803526383E-12</v>
      </c>
      <c r="FI191" s="62">
        <f t="shared" si="131"/>
        <v>289.91839713868188</v>
      </c>
      <c r="FJ191" s="62">
        <f ca="1">AVERAGE(OFFSET($FI$3,0,0,'Données projet'!$E$16+1,1))-AVERAGE(OFFSET($H$3,0,0,'Données projet'!$E$16+1,1))</f>
        <v>369.69145521630799</v>
      </c>
      <c r="FK191" s="62">
        <f t="shared" si="156"/>
        <v>360.24112103688719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>
        <f>EXP(-LN(2)/35)*FQ190+(1-EXP(-LN(2)/35))/(LN(2)/35)*FM191*FN191*VLOOKUP('Données projet'!$B$16,Paramètres!$A$1:$I$89,3,0)*0.475*44/12</f>
        <v>15.888692646756775</v>
      </c>
      <c r="FR191" s="23">
        <f>EXP(-LN(2)/25)*FR190+(1-EXP(-LN(2)/25))/(LN(2)/25)*Calculateur!FM191*Calculateur!FO191*VLOOKUP('Données projet'!$B$16,Paramètres!$A$1:$I$89,3,0)*0.475*44/12</f>
        <v>0</v>
      </c>
      <c r="FS191" s="23">
        <f>EXP(-LN(2)/2)*FS190+(1-EXP(-LN(2)/2))/(LN(2)/2)*FM191*FP191*VLOOKUP('Données projet'!$B$16,Paramètres!$A$1:$I$89,3,0)*0.475*44/12</f>
        <v>0</v>
      </c>
      <c r="FT191" s="24">
        <f t="shared" si="184"/>
        <v>15.888692646756775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5.6843418860808015E-14</v>
      </c>
      <c r="GA191" s="18">
        <f>FZ191*VLOOKUP('Données projet'!$B$17,Paramètres!$A$1:$I$89,3,0)*VLOOKUP('Données projet'!$B$17,Paramètres!$A$1:$I$89,5,0)</f>
        <v>6.1186256061773749E-14</v>
      </c>
      <c r="GB191" s="14">
        <f t="shared" si="185"/>
        <v>9.7328366192051127E-13</v>
      </c>
      <c r="GC191" s="22">
        <f t="shared" si="186"/>
        <v>1.8017017738191463E-12</v>
      </c>
      <c r="GD191" s="62">
        <f t="shared" si="134"/>
        <v>289.91839713868205</v>
      </c>
      <c r="GE191" s="62">
        <f ca="1">AVERAGE(OFFSET($GD$3,0,0,'Données projet'!$E$17+1,1))-AVERAGE(OFFSET($H$3,0,0,'Données projet'!$E$17+1,1))</f>
        <v>405.06394904053946</v>
      </c>
      <c r="GF191" s="62">
        <f t="shared" si="158"/>
        <v>393.75247087518198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>
        <f>EXP(-LN(2)/35)*GL190+(1-EXP(-LN(2)/35))/(LN(2)/35)*GH191*GI191*VLOOKUP('Données projet'!$B$17,Paramètres!$A$1:$I$89,3,0)*0.475*44/12</f>
        <v>17.682577300422849</v>
      </c>
      <c r="GM191" s="23">
        <f>EXP(-LN(2)/25)*GM190+(1-EXP(-LN(2)/25))/(LN(2)/25)*Calculateur!GH191*Calculateur!GJ191*VLOOKUP('Données projet'!$B$17,Paramètres!$A$1:$I$89,3,0)*0.475*44/12</f>
        <v>0</v>
      </c>
      <c r="GN191" s="23">
        <f>EXP(-LN(2)/2)*GN190+(1-EXP(-LN(2)/2))/(LN(2)/2)*GH191*GK191*VLOOKUP('Données projet'!$B$17,Paramètres!$A$1:$I$89,3,0)*0.475*44/12</f>
        <v>0</v>
      </c>
      <c r="GO191" s="23">
        <f t="shared" si="187"/>
        <v>17.682577300422849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5.6843418860808015E-14</v>
      </c>
      <c r="GV191" s="18">
        <f>GU191*VLOOKUP('Données projet'!$B$18,Paramètres!$A$1:$I$89,3,0)*VLOOKUP('Données projet'!$B$18,Paramètres!$A$1:$I$89,5,0)</f>
        <v>3.813056537183002E-14</v>
      </c>
      <c r="GW191" s="14">
        <f t="shared" si="188"/>
        <v>6.4086286045526829E-13</v>
      </c>
      <c r="GX191" s="22">
        <f t="shared" si="189"/>
        <v>1.1825802166488628E-12</v>
      </c>
      <c r="GY191" s="62">
        <f t="shared" si="137"/>
        <v>289.91839713868143</v>
      </c>
      <c r="GZ191" s="62">
        <f ca="1">AVERAGE(OFFSET($GY$3,0,0,'Données projet'!$E$18+1,1))-AVERAGE(OFFSET($H$3,0,0,'Données projet'!$E$18+1,1))</f>
        <v>273.21861937609918</v>
      </c>
      <c r="HA191" s="62">
        <f t="shared" si="160"/>
        <v>268.83004886965318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>
        <f>EXP(-LN(2)/35)*HG190+(1-EXP(-LN(2)/35))/(LN(2)/35)*HC191*HD191*VLOOKUP('Données projet'!$B$18,Paramètres!$A$1:$I$89,3,0)*0.475*44/12</f>
        <v>13.582269520614657</v>
      </c>
      <c r="HH191" s="23">
        <f>EXP(-LN(2)/25)*HH190+(1-EXP(-LN(2)/25))/(LN(2)/25)*Calculateur!HC191*Calculateur!HE191*VLOOKUP('Données projet'!$B$18,Paramètres!$A$1:$I$89,3,0)*0.475*44/12</f>
        <v>0</v>
      </c>
      <c r="HI191" s="23">
        <f>EXP(-LN(2)/2)*HI190+(1-EXP(-LN(2)/2))/(LN(2)/2)*HC191*HF191*VLOOKUP('Données projet'!$B$18,Paramètres!$A$1:$I$89,3,0)*0.475*44/12</f>
        <v>0</v>
      </c>
      <c r="HJ191" s="24">
        <f t="shared" si="190"/>
        <v>13.582269520614657</v>
      </c>
    </row>
    <row r="192" spans="1:218" x14ac:dyDescent="0.4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-178.57392686804454</v>
      </c>
      <c r="O192" s="14">
        <f>N192*VLOOKUP('Données projet'!$B$9,Paramètres!$A$1:$I$89,3,0)*VLOOKUP('Données projet'!$B$9,Paramètres!$A$1:$I$89,5,0)</f>
        <v>-161.57368903020668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432.80275651765203</v>
      </c>
      <c r="T192" s="62">
        <f t="shared" si="142"/>
        <v>203.89279893419919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163.264139775291</v>
      </c>
      <c r="AA192" s="23">
        <f>EXP(-LN(2)/25)*AA191+(1-EXP(-LN(2)/25))/(LN(2)/25)*Calculateur!V192*Calculateur!X192*VLOOKUP('Données projet'!$B$9,Paramètres!$A$1:$I$89,3,0)*0.475*44/12</f>
        <v>18.258958128449244</v>
      </c>
      <c r="AB192" s="23">
        <f>EXP(-LN(2)/2)*AB191+(1-EXP(-LN(2)/2))/(LN(2)/2)*V192*Y192*VLOOKUP('Données projet'!$B$9,Paramètres!$A$1:$I$89,3,0)*0.475*44/12</f>
        <v>0</v>
      </c>
      <c r="AC192" s="24">
        <f t="shared" si="163"/>
        <v>181.52309790374025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54.000000000000341</v>
      </c>
      <c r="AJ192" s="14">
        <f>AI192*VLOOKUP('Données projet'!$B$10,Paramètres!$A$1:$I$89,3,0)*VLOOKUP('Données projet'!$B$10,Paramètres!$A$1:$I$89,5,0)</f>
        <v>23.868000000000151</v>
      </c>
      <c r="AK192" s="14">
        <f t="shared" si="164"/>
        <v>7.6030930962115804</v>
      </c>
      <c r="AL192" s="22">
        <f t="shared" si="165"/>
        <v>54.812153809235433</v>
      </c>
      <c r="AM192" s="62">
        <f t="shared" si="113"/>
        <v>344.7897924562393</v>
      </c>
      <c r="AN192" s="62">
        <f ca="1">AVERAGE(OFFSET($AM$3,0,0,'Données projet'!$E$10+1,1))-AVERAGE(OFFSET($H$3,0,0,'Données projet'!$E$10+1,1))</f>
        <v>413.08876898406481</v>
      </c>
      <c r="AO192" s="62">
        <f t="shared" si="144"/>
        <v>520.31320932826566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21.35175924221792</v>
      </c>
      <c r="AV192" s="23">
        <f>EXP(-LN(2)/25)*AV191+(1-EXP(-LN(2)/25))/(LN(2)/25)*Calculateur!AQ192*Calculateur!AS192*VLOOKUP('Données projet'!$B$10,Paramètres!$A$1:$I$89,3,0)*0.475*44/12</f>
        <v>0.56437383171386335</v>
      </c>
      <c r="AW192" s="23">
        <f>EXP(-LN(2)/2)*AW191+(1-EXP(-LN(2)/2))/(LN(2)/2)*AQ192*AT192*VLOOKUP('Données projet'!$B$10,Paramètres!$A$1:$I$89,3,0)*0.475*44/12</f>
        <v>8.5298749835530553E-22</v>
      </c>
      <c r="AX192" s="23">
        <f t="shared" si="166"/>
        <v>21.916133073931782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54.000000000000341</v>
      </c>
      <c r="BE192" s="14">
        <f>BD192*VLOOKUP('Données projet'!$B$11,Paramètres!$A$1:$I$89,3,0)*VLOOKUP('Données projet'!$B$11,Paramètres!$A$1:$I$89,5,0)</f>
        <v>30.186000000000188</v>
      </c>
      <c r="BF192" s="14">
        <f t="shared" si="167"/>
        <v>9.3563888882899153</v>
      </c>
      <c r="BG192" s="22">
        <f t="shared" si="168"/>
        <v>68.869660647105263</v>
      </c>
      <c r="BH192" s="62">
        <f t="shared" si="116"/>
        <v>358.84729929410912</v>
      </c>
      <c r="BI192" s="62">
        <f ca="1">AVERAGE(OFFSET($BH$3,0,0,'Données projet'!$E$11+1,1))-AVERAGE(OFFSET($H$3,0,0,'Données projet'!$E$11+1,1))</f>
        <v>507.66185230065889</v>
      </c>
      <c r="BJ192" s="62">
        <f t="shared" si="146"/>
        <v>640.14375617778342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27.003695512216748</v>
      </c>
      <c r="BQ192" s="23">
        <f>EXP(-LN(2)/25)*BQ191+(1-EXP(-LN(2)/25))/(LN(2)/25)*Calculateur!BL192*Calculateur!BN192*VLOOKUP('Données projet'!$B$11,Paramètres!$A$1:$I$89,3,0)*0.475*44/12</f>
        <v>0.71376690481459248</v>
      </c>
      <c r="BR192" s="23">
        <f>EXP(-LN(2)/2)*BR191+(1-EXP(-LN(2)/2))/(LN(2)/2)*BL192*BO192*VLOOKUP('Données projet'!$B$11,Paramètres!$A$1:$I$89,3,0)*0.475*44/12</f>
        <v>1.0787783067434754E-21</v>
      </c>
      <c r="BS192" s="24">
        <f t="shared" si="169"/>
        <v>27.717462417031339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417.04879970000007</v>
      </c>
      <c r="BZ192" s="14">
        <f>BY192*VLOOKUP('Données projet'!$B$12,Paramètres!$A$1:$I$89,3,0)*VLOOKUP('Données projet'!$B$12,Paramètres!$A$1:$I$89,5,0)</f>
        <v>195.17883825960004</v>
      </c>
      <c r="CA192" s="14">
        <f t="shared" si="170"/>
        <v>48.683122291673484</v>
      </c>
      <c r="CB192" s="22">
        <f t="shared" si="171"/>
        <v>424.72624796013469</v>
      </c>
      <c r="CC192" s="62">
        <f t="shared" si="119"/>
        <v>714.70388660713854</v>
      </c>
      <c r="CD192" s="62">
        <f ca="1">AVERAGE(OFFSET($CC$3,0,0,'Données projet'!$E$12+1,1))-AVERAGE(OFFSET($H$3,0,0,'Données projet'!$E$12+1,1))</f>
        <v>289.21044803824958</v>
      </c>
      <c r="CE192" s="62">
        <f t="shared" si="148"/>
        <v>196.11836398299445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>
        <f>EXP(-LN(2)/35)*CK191+(1-EXP(-LN(2)/35))/(LN(2)/35)*CG192*CH192*VLOOKUP('Données projet'!$B$12,Paramètres!$A$1:$I$89,3,0)*0.475*44/12</f>
        <v>11.81869291735617</v>
      </c>
      <c r="CL192" s="23">
        <f>EXP(-LN(2)/25)*CL191+(1-EXP(-LN(2)/25))/(LN(2)/25)*Calculateur!CG192*Calculateur!CI192*VLOOKUP('Données projet'!$B$12,Paramètres!$A$1:$I$89,3,0)*0.475*44/12</f>
        <v>2.7182178965083144</v>
      </c>
      <c r="CM192" s="23">
        <f>EXP(-LN(2)/2)*CM191+(1-EXP(-LN(2)/2))/(LN(2)/2)*CG192*CJ192*VLOOKUP('Données projet'!$B$12,Paramètres!$A$1:$I$89,3,0)*0.475*44/12</f>
        <v>0</v>
      </c>
      <c r="CN192" s="24">
        <f t="shared" si="172"/>
        <v>14.536910813864484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-5.6843418860808015E-14</v>
      </c>
      <c r="CU192" s="18">
        <f>CT192*VLOOKUP('Données projet'!$B$13,Paramètres!$A$1:$I$89,3,0)*VLOOKUP('Données projet'!$B$13,Paramètres!$A$1:$I$89,5,0)</f>
        <v>-5.1431925385259088E-14</v>
      </c>
      <c r="CV192" s="14" t="e">
        <f t="shared" si="173"/>
        <v>#NUM!</v>
      </c>
      <c r="CW192" s="22" t="e">
        <f t="shared" si="174"/>
        <v>#NUM!</v>
      </c>
      <c r="CX192" s="62" t="e">
        <f t="shared" si="122"/>
        <v>#NUM!</v>
      </c>
      <c r="CY192" s="62">
        <f ca="1">AVERAGE(OFFSET($CX$3,0,0,'Données projet'!$E$13+1,1))-AVERAGE(OFFSET($H$3,0,0,'Données projet'!$E$13+1,1))</f>
        <v>376.68007030857598</v>
      </c>
      <c r="CZ192" s="62">
        <f t="shared" si="150"/>
        <v>532.90758914457626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>
        <f>EXP(-LN(2)/35)*DF191+(1-EXP(-LN(2)/35))/(LN(2)/35)*DB192*DC192*VLOOKUP('Données projet'!$B$13,Paramètres!$A$1:$I$89,3,0)*0.475*44/12</f>
        <v>5.4057024933099633</v>
      </c>
      <c r="DG192" s="23">
        <f>EXP(-LN(2)/25)*DG191+(1-EXP(-LN(2)/25))/(LN(2)/25)*Calculateur!DB192*Calculateur!DD192*VLOOKUP('Données projet'!$B$13,Paramètres!$A$1:$I$89,3,0)*0.475*44/12</f>
        <v>0.15948831485266823</v>
      </c>
      <c r="DH192" s="23">
        <f>EXP(-LN(2)/2)*DH191+(1-EXP(-LN(2)/2))/(LN(2)/2)*DB192*DE192*VLOOKUP('Données projet'!$B$13,Paramètres!$A$1:$I$89,3,0)*0.475*44/12</f>
        <v>0</v>
      </c>
      <c r="DI192" s="24">
        <f t="shared" si="175"/>
        <v>5.5651908081626313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5.6843418860808015E-14</v>
      </c>
      <c r="DP192" s="18">
        <f>DO192*VLOOKUP('Données projet'!$B$14,Paramètres!$A$1:$I$89,3,0)*VLOOKUP('Données projet'!$B$14,Paramètres!$A$1:$I$89,5,0)</f>
        <v>5.4092197387944907E-14</v>
      </c>
      <c r="DQ192" s="14">
        <f t="shared" si="176"/>
        <v>8.7287050538073676E-13</v>
      </c>
      <c r="DR192" s="22">
        <f t="shared" si="177"/>
        <v>1.6144600406554537E-12</v>
      </c>
      <c r="DS192" s="62">
        <f t="shared" si="125"/>
        <v>289.97763864700545</v>
      </c>
      <c r="DT192" s="62">
        <f ca="1">AVERAGE(OFFSET($DS$3,0,0,'Données projet'!$E$14+1,1))-AVERAGE(OFFSET($H$3,0,0,'Données projet'!$E$14+1,1))</f>
        <v>364.63161066507769</v>
      </c>
      <c r="DU192" s="62">
        <f t="shared" si="152"/>
        <v>355.44729904860708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>
        <f>EXP(-LN(2)/35)*EA191+(1-EXP(-LN(2)/35))/(LN(2)/35)*DW192*DX192*VLOOKUP('Données projet'!$B$14,Paramètres!$A$1:$I$89,3,0)*0.475*44/12</f>
        <v>15.325881122275288</v>
      </c>
      <c r="EB192" s="23">
        <f>EXP(-LN(2)/25)*EB191+(1-EXP(-LN(2)/25))/(LN(2)/25)*Calculateur!DW192*Calculateur!DY192*VLOOKUP('Données projet'!$B$14,Paramètres!$A$1:$I$89,3,0)*0.475*44/12</f>
        <v>0</v>
      </c>
      <c r="EC192" s="23">
        <f>EXP(-LN(2)/2)*EC191+(1-EXP(-LN(2)/2))/(LN(2)/2)*DW192*DZ192*VLOOKUP('Données projet'!$B$14,Paramètres!$A$1:$I$89,3,0)*0.475*44/12</f>
        <v>0</v>
      </c>
      <c r="ED192" s="24">
        <f t="shared" si="178"/>
        <v>15.325881122275288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5.6843418860808015E-14</v>
      </c>
      <c r="EK192" s="18">
        <f>EJ192*VLOOKUP('Données projet'!$B$15,Paramètres!$A$1:$I$89,3,0)*VLOOKUP('Données projet'!$B$15,Paramètres!$A$1:$I$89,5,0)</f>
        <v>4.1677594708744434E-14</v>
      </c>
      <c r="EL192" s="14">
        <f t="shared" si="179"/>
        <v>6.9326303456159188E-13</v>
      </c>
      <c r="EM192" s="22">
        <f t="shared" si="180"/>
        <v>1.2800215959791691E-12</v>
      </c>
      <c r="EN192" s="62">
        <f t="shared" si="128"/>
        <v>289.97763864700516</v>
      </c>
      <c r="EO192" s="62">
        <f ca="1">AVERAGE(OFFSET($EN$3,0,0,'Données projet'!$E$15+1,1))-AVERAGE(OFFSET($H$3,0,0,'Données projet'!$E$15+1,1))</f>
        <v>293.59366973965774</v>
      </c>
      <c r="EP192" s="62">
        <f t="shared" si="154"/>
        <v>288.13804536120426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>
        <f>EXP(-LN(2)/35)*EV191+(1-EXP(-LN(2)/35))/(LN(2)/35)*ER192*ES192*VLOOKUP('Données projet'!$B$15,Paramètres!$A$1:$I$89,3,0)*0.475*44/12</f>
        <v>11.808465782736684</v>
      </c>
      <c r="EW192" s="23">
        <f>EXP(-LN(2)/25)*EW191+(1-EXP(-LN(2)/25))/(LN(2)/25)*Calculateur!ER192*Calculateur!ET192*VLOOKUP('Données projet'!$B$15,Paramètres!$A$1:$I$89,3,0)*0.475*44/12</f>
        <v>0</v>
      </c>
      <c r="EX192" s="23">
        <f>EXP(-LN(2)/2)*EX191+(1-EXP(-LN(2)/2))/(LN(2)/2)*ER192*EU192*VLOOKUP('Données projet'!$B$15,Paramètres!$A$1:$I$89,3,0)*0.475*44/12</f>
        <v>0</v>
      </c>
      <c r="EY192" s="24">
        <f t="shared" si="181"/>
        <v>11.808465782736684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5.6843418860808015E-14</v>
      </c>
      <c r="FF192" s="18">
        <f>FE192*VLOOKUP('Données projet'!$B$16,Paramètres!$A$1:$I$89,3,0)*VLOOKUP('Données projet'!$B$16,Paramètres!$A$1:$I$89,5,0)</f>
        <v>5.4978954722173515E-14</v>
      </c>
      <c r="FG192" s="14">
        <f t="shared" si="182"/>
        <v>8.8550225887742724E-13</v>
      </c>
      <c r="FH192" s="22">
        <f t="shared" si="183"/>
        <v>1.6380047803526383E-12</v>
      </c>
      <c r="FI192" s="62">
        <f t="shared" si="131"/>
        <v>289.97763864700551</v>
      </c>
      <c r="FJ192" s="62">
        <f ca="1">AVERAGE(OFFSET($FI$3,0,0,'Données projet'!$E$16+1,1))-AVERAGE(OFFSET($H$3,0,0,'Données projet'!$E$16+1,1))</f>
        <v>369.69145521630799</v>
      </c>
      <c r="FK192" s="62">
        <f t="shared" si="156"/>
        <v>360.24112103688719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>
        <f>EXP(-LN(2)/35)*FQ191+(1-EXP(-LN(2)/35))/(LN(2)/35)*FM192*FN192*VLOOKUP('Données projet'!$B$16,Paramètres!$A$1:$I$89,3,0)*0.475*44/12</f>
        <v>15.577125075099469</v>
      </c>
      <c r="FR192" s="23">
        <f>EXP(-LN(2)/25)*FR191+(1-EXP(-LN(2)/25))/(LN(2)/25)*Calculateur!FM192*Calculateur!FO192*VLOOKUP('Données projet'!$B$16,Paramètres!$A$1:$I$89,3,0)*0.475*44/12</f>
        <v>0</v>
      </c>
      <c r="FS192" s="23">
        <f>EXP(-LN(2)/2)*FS191+(1-EXP(-LN(2)/2))/(LN(2)/2)*FM192*FP192*VLOOKUP('Données projet'!$B$16,Paramètres!$A$1:$I$89,3,0)*0.475*44/12</f>
        <v>0</v>
      </c>
      <c r="FT192" s="24">
        <f t="shared" si="184"/>
        <v>15.577125075099469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5.6843418860808015E-14</v>
      </c>
      <c r="GA192" s="18">
        <f>FZ192*VLOOKUP('Données projet'!$B$17,Paramètres!$A$1:$I$89,3,0)*VLOOKUP('Données projet'!$B$17,Paramètres!$A$1:$I$89,5,0)</f>
        <v>6.1186256061773749E-14</v>
      </c>
      <c r="GB192" s="14">
        <f t="shared" si="185"/>
        <v>9.7328366192051127E-13</v>
      </c>
      <c r="GC192" s="22">
        <f t="shared" si="186"/>
        <v>1.8017017738191463E-12</v>
      </c>
      <c r="GD192" s="62">
        <f t="shared" si="134"/>
        <v>289.97763864700568</v>
      </c>
      <c r="GE192" s="62">
        <f ca="1">AVERAGE(OFFSET($GD$3,0,0,'Données projet'!$E$17+1,1))-AVERAGE(OFFSET($H$3,0,0,'Données projet'!$E$17+1,1))</f>
        <v>405.06394904053946</v>
      </c>
      <c r="GF192" s="62">
        <f t="shared" si="158"/>
        <v>393.75247087518198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>
        <f>EXP(-LN(2)/35)*GL191+(1-EXP(-LN(2)/35))/(LN(2)/35)*GH192*GI192*VLOOKUP('Données projet'!$B$17,Paramètres!$A$1:$I$89,3,0)*0.475*44/12</f>
        <v>17.33583274486875</v>
      </c>
      <c r="GM192" s="23">
        <f>EXP(-LN(2)/25)*GM191+(1-EXP(-LN(2)/25))/(LN(2)/25)*Calculateur!GH192*Calculateur!GJ192*VLOOKUP('Données projet'!$B$17,Paramètres!$A$1:$I$89,3,0)*0.475*44/12</f>
        <v>0</v>
      </c>
      <c r="GN192" s="23">
        <f>EXP(-LN(2)/2)*GN191+(1-EXP(-LN(2)/2))/(LN(2)/2)*GH192*GK192*VLOOKUP('Données projet'!$B$17,Paramètres!$A$1:$I$89,3,0)*0.475*44/12</f>
        <v>0</v>
      </c>
      <c r="GO192" s="23">
        <f t="shared" si="187"/>
        <v>17.33583274486875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5.6843418860808015E-14</v>
      </c>
      <c r="GV192" s="18">
        <f>GU192*VLOOKUP('Données projet'!$B$18,Paramètres!$A$1:$I$89,3,0)*VLOOKUP('Données projet'!$B$18,Paramètres!$A$1:$I$89,5,0)</f>
        <v>3.813056537183002E-14</v>
      </c>
      <c r="GW192" s="14">
        <f t="shared" si="188"/>
        <v>6.4086286045526829E-13</v>
      </c>
      <c r="GX192" s="22">
        <f t="shared" si="189"/>
        <v>1.1825802166488628E-12</v>
      </c>
      <c r="GY192" s="62">
        <f t="shared" si="137"/>
        <v>289.97763864700505</v>
      </c>
      <c r="GZ192" s="62">
        <f ca="1">AVERAGE(OFFSET($GY$3,0,0,'Données projet'!$E$18+1,1))-AVERAGE(OFFSET($H$3,0,0,'Données projet'!$E$18+1,1))</f>
        <v>273.21861937609918</v>
      </c>
      <c r="HA192" s="62">
        <f t="shared" si="160"/>
        <v>268.83004886965318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>
        <f>EXP(-LN(2)/35)*HG191+(1-EXP(-LN(2)/35))/(LN(2)/35)*HC192*HD192*VLOOKUP('Données projet'!$B$18,Paramètres!$A$1:$I$89,3,0)*0.475*44/12</f>
        <v>13.315929499681799</v>
      </c>
      <c r="HH192" s="23">
        <f>EXP(-LN(2)/25)*HH191+(1-EXP(-LN(2)/25))/(LN(2)/25)*Calculateur!HC192*Calculateur!HE192*VLOOKUP('Données projet'!$B$18,Paramètres!$A$1:$I$89,3,0)*0.475*44/12</f>
        <v>0</v>
      </c>
      <c r="HI192" s="23">
        <f>EXP(-LN(2)/2)*HI191+(1-EXP(-LN(2)/2))/(LN(2)/2)*HC192*HF192*VLOOKUP('Données projet'!$B$18,Paramètres!$A$1:$I$89,3,0)*0.475*44/12</f>
        <v>0</v>
      </c>
      <c r="HJ192" s="24">
        <f t="shared" si="190"/>
        <v>13.315929499681799</v>
      </c>
    </row>
    <row r="193" spans="1:218" x14ac:dyDescent="0.4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-178.57392686804454</v>
      </c>
      <c r="O193" s="14">
        <f>N193*VLOOKUP('Données projet'!$B$9,Paramètres!$A$1:$I$89,3,0)*VLOOKUP('Données projet'!$B$9,Paramètres!$A$1:$I$89,5,0)</f>
        <v>-161.57368903020668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432.80275651765203</v>
      </c>
      <c r="T193" s="62">
        <f t="shared" si="142"/>
        <v>203.89279893419919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160.06262957558997</v>
      </c>
      <c r="AA193" s="23">
        <f>EXP(-LN(2)/25)*AA192+(1-EXP(-LN(2)/25))/(LN(2)/25)*Calculateur!V193*Calculateur!X193*VLOOKUP('Données projet'!$B$9,Paramètres!$A$1:$I$89,3,0)*0.475*44/12</f>
        <v>17.759665958229924</v>
      </c>
      <c r="AB193" s="23">
        <f>EXP(-LN(2)/2)*AB192+(1-EXP(-LN(2)/2))/(LN(2)/2)*V193*Y193*VLOOKUP('Données projet'!$B$9,Paramètres!$A$1:$I$89,3,0)*0.475*44/12</f>
        <v>0</v>
      </c>
      <c r="AC193" s="24">
        <f t="shared" si="163"/>
        <v>177.8222955338199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54.000000000000341</v>
      </c>
      <c r="AJ193" s="14">
        <f>AI193*VLOOKUP('Données projet'!$B$10,Paramètres!$A$1:$I$89,3,0)*VLOOKUP('Données projet'!$B$10,Paramètres!$A$1:$I$89,5,0)</f>
        <v>23.868000000000151</v>
      </c>
      <c r="AK193" s="14">
        <f t="shared" si="164"/>
        <v>7.6030930962115804</v>
      </c>
      <c r="AL193" s="22">
        <f t="shared" si="165"/>
        <v>54.812153809235433</v>
      </c>
      <c r="AM193" s="62">
        <f t="shared" si="113"/>
        <v>344.84800625683772</v>
      </c>
      <c r="AN193" s="62">
        <f ca="1">AVERAGE(OFFSET($AM$3,0,0,'Données projet'!$E$10+1,1))-AVERAGE(OFFSET($H$3,0,0,'Données projet'!$E$10+1,1))</f>
        <v>413.08876898406481</v>
      </c>
      <c r="AO193" s="62">
        <f t="shared" si="144"/>
        <v>520.31320932826566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20.933064266765221</v>
      </c>
      <c r="AV193" s="23">
        <f>EXP(-LN(2)/25)*AV192+(1-EXP(-LN(2)/25))/(LN(2)/25)*Calculateur!AQ193*Calculateur!AS193*VLOOKUP('Données projet'!$B$10,Paramètres!$A$1:$I$89,3,0)*0.475*44/12</f>
        <v>0.54894099960651788</v>
      </c>
      <c r="AW193" s="23">
        <f>EXP(-LN(2)/2)*AW192+(1-EXP(-LN(2)/2))/(LN(2)/2)*AQ193*AT193*VLOOKUP('Données projet'!$B$10,Paramètres!$A$1:$I$89,3,0)*0.475*44/12</f>
        <v>6.0315324435438562E-22</v>
      </c>
      <c r="AX193" s="23">
        <f t="shared" si="166"/>
        <v>21.48200526637174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54.000000000000341</v>
      </c>
      <c r="BE193" s="14">
        <f>BD193*VLOOKUP('Données projet'!$B$11,Paramètres!$A$1:$I$89,3,0)*VLOOKUP('Données projet'!$B$11,Paramètres!$A$1:$I$89,5,0)</f>
        <v>30.186000000000188</v>
      </c>
      <c r="BF193" s="14">
        <f t="shared" si="167"/>
        <v>9.3563888882899153</v>
      </c>
      <c r="BG193" s="22">
        <f t="shared" si="168"/>
        <v>68.869660647105263</v>
      </c>
      <c r="BH193" s="62">
        <f t="shared" si="116"/>
        <v>358.90551309470754</v>
      </c>
      <c r="BI193" s="62">
        <f ca="1">AVERAGE(OFFSET($BH$3,0,0,'Données projet'!$E$11+1,1))-AVERAGE(OFFSET($H$3,0,0,'Données projet'!$E$11+1,1))</f>
        <v>507.66185230065889</v>
      </c>
      <c r="BJ193" s="62">
        <f t="shared" si="146"/>
        <v>640.14375617778342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26.4741695138501</v>
      </c>
      <c r="BQ193" s="23">
        <f>EXP(-LN(2)/25)*BQ192+(1-EXP(-LN(2)/25))/(LN(2)/25)*Calculateur!BL193*Calculateur!BN193*VLOOKUP('Données projet'!$B$11,Paramètres!$A$1:$I$89,3,0)*0.475*44/12</f>
        <v>0.69424891126706723</v>
      </c>
      <c r="BR193" s="23">
        <f>EXP(-LN(2)/2)*BR192+(1-EXP(-LN(2)/2))/(LN(2)/2)*BL193*BO193*VLOOKUP('Données projet'!$B$11,Paramètres!$A$1:$I$89,3,0)*0.475*44/12</f>
        <v>7.6281145609525291E-22</v>
      </c>
      <c r="BS193" s="24">
        <f t="shared" si="169"/>
        <v>27.168418425117167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417.04879970000007</v>
      </c>
      <c r="BZ193" s="14">
        <f>BY193*VLOOKUP('Données projet'!$B$12,Paramètres!$A$1:$I$89,3,0)*VLOOKUP('Données projet'!$B$12,Paramètres!$A$1:$I$89,5,0)</f>
        <v>195.17883825960004</v>
      </c>
      <c r="CA193" s="14">
        <f t="shared" si="170"/>
        <v>48.683122291673484</v>
      </c>
      <c r="CB193" s="22">
        <f t="shared" si="171"/>
        <v>424.72624796013469</v>
      </c>
      <c r="CC193" s="62">
        <f t="shared" si="119"/>
        <v>714.76210040773697</v>
      </c>
      <c r="CD193" s="62">
        <f ca="1">AVERAGE(OFFSET($CC$3,0,0,'Données projet'!$E$12+1,1))-AVERAGE(OFFSET($H$3,0,0,'Données projet'!$E$12+1,1))</f>
        <v>289.21044803824958</v>
      </c>
      <c r="CE193" s="62">
        <f t="shared" si="148"/>
        <v>196.11836398299445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>
        <f>EXP(-LN(2)/35)*CK192+(1-EXP(-LN(2)/35))/(LN(2)/35)*CG193*CH193*VLOOKUP('Données projet'!$B$12,Paramètres!$A$1:$I$89,3,0)*0.475*44/12</f>
        <v>11.586935557937696</v>
      </c>
      <c r="CL193" s="23">
        <f>EXP(-LN(2)/25)*CL192+(1-EXP(-LN(2)/25))/(LN(2)/25)*Calculateur!CG193*Calculateur!CI193*VLOOKUP('Données projet'!$B$12,Paramètres!$A$1:$I$89,3,0)*0.475*44/12</f>
        <v>2.6438880851834279</v>
      </c>
      <c r="CM193" s="23">
        <f>EXP(-LN(2)/2)*CM192+(1-EXP(-LN(2)/2))/(LN(2)/2)*CG193*CJ193*VLOOKUP('Données projet'!$B$12,Paramètres!$A$1:$I$89,3,0)*0.475*44/12</f>
        <v>0</v>
      </c>
      <c r="CN193" s="24">
        <f t="shared" si="172"/>
        <v>14.230823643121123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-5.6843418860808015E-14</v>
      </c>
      <c r="CU193" s="18">
        <f>CT193*VLOOKUP('Données projet'!$B$13,Paramètres!$A$1:$I$89,3,0)*VLOOKUP('Données projet'!$B$13,Paramètres!$A$1:$I$89,5,0)</f>
        <v>-5.1431925385259088E-14</v>
      </c>
      <c r="CV193" s="14" t="e">
        <f t="shared" si="173"/>
        <v>#NUM!</v>
      </c>
      <c r="CW193" s="22" t="e">
        <f t="shared" si="174"/>
        <v>#NUM!</v>
      </c>
      <c r="CX193" s="62" t="e">
        <f t="shared" si="122"/>
        <v>#NUM!</v>
      </c>
      <c r="CY193" s="62">
        <f ca="1">AVERAGE(OFFSET($CX$3,0,0,'Données projet'!$E$13+1,1))-AVERAGE(OFFSET($H$3,0,0,'Données projet'!$E$13+1,1))</f>
        <v>376.68007030857598</v>
      </c>
      <c r="CZ193" s="62">
        <f t="shared" si="150"/>
        <v>532.90758914457626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>
        <f>EXP(-LN(2)/35)*DF192+(1-EXP(-LN(2)/35))/(LN(2)/35)*DB193*DC193*VLOOKUP('Données projet'!$B$13,Paramètres!$A$1:$I$89,3,0)*0.475*44/12</f>
        <v>5.2996999645691094</v>
      </c>
      <c r="DG193" s="23">
        <f>EXP(-LN(2)/25)*DG192+(1-EXP(-LN(2)/25))/(LN(2)/25)*Calculateur!DB193*Calculateur!DD193*VLOOKUP('Données projet'!$B$13,Paramètres!$A$1:$I$89,3,0)*0.475*44/12</f>
        <v>0.15512709849589607</v>
      </c>
      <c r="DH193" s="23">
        <f>EXP(-LN(2)/2)*DH192+(1-EXP(-LN(2)/2))/(LN(2)/2)*DB193*DE193*VLOOKUP('Données projet'!$B$13,Paramètres!$A$1:$I$89,3,0)*0.475*44/12</f>
        <v>0</v>
      </c>
      <c r="DI193" s="24">
        <f t="shared" si="175"/>
        <v>5.4548270630650055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5.6843418860808015E-14</v>
      </c>
      <c r="DP193" s="18">
        <f>DO193*VLOOKUP('Données projet'!$B$14,Paramètres!$A$1:$I$89,3,0)*VLOOKUP('Données projet'!$B$14,Paramètres!$A$1:$I$89,5,0)</f>
        <v>5.4092197387944907E-14</v>
      </c>
      <c r="DQ193" s="14">
        <f t="shared" si="176"/>
        <v>8.7287050538073676E-13</v>
      </c>
      <c r="DR193" s="22">
        <f t="shared" si="177"/>
        <v>1.6144600406554537E-12</v>
      </c>
      <c r="DS193" s="62">
        <f t="shared" si="125"/>
        <v>290.03585244760387</v>
      </c>
      <c r="DT193" s="62">
        <f ca="1">AVERAGE(OFFSET($DS$3,0,0,'Données projet'!$E$14+1,1))-AVERAGE(OFFSET($H$3,0,0,'Données projet'!$E$14+1,1))</f>
        <v>364.63161066507769</v>
      </c>
      <c r="DU193" s="62">
        <f t="shared" si="152"/>
        <v>355.44729904860708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>
        <f>EXP(-LN(2)/35)*EA192+(1-EXP(-LN(2)/35))/(LN(2)/35)*DW193*DX193*VLOOKUP('Données projet'!$B$14,Paramètres!$A$1:$I$89,3,0)*0.475*44/12</f>
        <v>15.025349941331928</v>
      </c>
      <c r="EB193" s="23">
        <f>EXP(-LN(2)/25)*EB192+(1-EXP(-LN(2)/25))/(LN(2)/25)*Calculateur!DW193*Calculateur!DY193*VLOOKUP('Données projet'!$B$14,Paramètres!$A$1:$I$89,3,0)*0.475*44/12</f>
        <v>0</v>
      </c>
      <c r="EC193" s="23">
        <f>EXP(-LN(2)/2)*EC192+(1-EXP(-LN(2)/2))/(LN(2)/2)*DW193*DZ193*VLOOKUP('Données projet'!$B$14,Paramètres!$A$1:$I$89,3,0)*0.475*44/12</f>
        <v>0</v>
      </c>
      <c r="ED193" s="24">
        <f t="shared" si="178"/>
        <v>15.025349941331928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5.6843418860808015E-14</v>
      </c>
      <c r="EK193" s="18">
        <f>EJ193*VLOOKUP('Données projet'!$B$15,Paramètres!$A$1:$I$89,3,0)*VLOOKUP('Données projet'!$B$15,Paramètres!$A$1:$I$89,5,0)</f>
        <v>4.1677594708744434E-14</v>
      </c>
      <c r="EL193" s="14">
        <f t="shared" si="179"/>
        <v>6.9326303456159188E-13</v>
      </c>
      <c r="EM193" s="22">
        <f t="shared" si="180"/>
        <v>1.2800215959791691E-12</v>
      </c>
      <c r="EN193" s="62">
        <f t="shared" si="128"/>
        <v>290.03585244760359</v>
      </c>
      <c r="EO193" s="62">
        <f ca="1">AVERAGE(OFFSET($EN$3,0,0,'Données projet'!$E$15+1,1))-AVERAGE(OFFSET($H$3,0,0,'Données projet'!$E$15+1,1))</f>
        <v>293.59366973965774</v>
      </c>
      <c r="EP193" s="62">
        <f t="shared" si="154"/>
        <v>288.13804536120426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>
        <f>EXP(-LN(2)/35)*EV192+(1-EXP(-LN(2)/35))/(LN(2)/35)*ER193*ES193*VLOOKUP('Données projet'!$B$15,Paramètres!$A$1:$I$89,3,0)*0.475*44/12</f>
        <v>11.576908971190162</v>
      </c>
      <c r="EW193" s="23">
        <f>EXP(-LN(2)/25)*EW192+(1-EXP(-LN(2)/25))/(LN(2)/25)*Calculateur!ER193*Calculateur!ET193*VLOOKUP('Données projet'!$B$15,Paramètres!$A$1:$I$89,3,0)*0.475*44/12</f>
        <v>0</v>
      </c>
      <c r="EX193" s="23">
        <f>EXP(-LN(2)/2)*EX192+(1-EXP(-LN(2)/2))/(LN(2)/2)*ER193*EU193*VLOOKUP('Données projet'!$B$15,Paramètres!$A$1:$I$89,3,0)*0.475*44/12</f>
        <v>0</v>
      </c>
      <c r="EY193" s="24">
        <f t="shared" si="181"/>
        <v>11.576908971190162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5.6843418860808015E-14</v>
      </c>
      <c r="FF193" s="18">
        <f>FE193*VLOOKUP('Données projet'!$B$16,Paramètres!$A$1:$I$89,3,0)*VLOOKUP('Données projet'!$B$16,Paramètres!$A$1:$I$89,5,0)</f>
        <v>5.4978954722173515E-14</v>
      </c>
      <c r="FG193" s="14">
        <f t="shared" si="182"/>
        <v>8.8550225887742724E-13</v>
      </c>
      <c r="FH193" s="22">
        <f t="shared" si="183"/>
        <v>1.6380047803526383E-12</v>
      </c>
      <c r="FI193" s="62">
        <f t="shared" si="131"/>
        <v>290.03585244760393</v>
      </c>
      <c r="FJ193" s="62">
        <f ca="1">AVERAGE(OFFSET($FI$3,0,0,'Données projet'!$E$16+1,1))-AVERAGE(OFFSET($H$3,0,0,'Données projet'!$E$16+1,1))</f>
        <v>369.69145521630799</v>
      </c>
      <c r="FK193" s="62">
        <f t="shared" si="156"/>
        <v>360.24112103688719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>
        <f>EXP(-LN(2)/35)*FQ192+(1-EXP(-LN(2)/35))/(LN(2)/35)*FM193*FN193*VLOOKUP('Données projet'!$B$16,Paramètres!$A$1:$I$89,3,0)*0.475*44/12</f>
        <v>15.271667153484907</v>
      </c>
      <c r="FR193" s="23">
        <f>EXP(-LN(2)/25)*FR192+(1-EXP(-LN(2)/25))/(LN(2)/25)*Calculateur!FM193*Calculateur!FO193*VLOOKUP('Données projet'!$B$16,Paramètres!$A$1:$I$89,3,0)*0.475*44/12</f>
        <v>0</v>
      </c>
      <c r="FS193" s="23">
        <f>EXP(-LN(2)/2)*FS192+(1-EXP(-LN(2)/2))/(LN(2)/2)*FM193*FP193*VLOOKUP('Données projet'!$B$16,Paramètres!$A$1:$I$89,3,0)*0.475*44/12</f>
        <v>0</v>
      </c>
      <c r="FT193" s="24">
        <f t="shared" si="184"/>
        <v>15.271667153484907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5.6843418860808015E-14</v>
      </c>
      <c r="GA193" s="18">
        <f>FZ193*VLOOKUP('Données projet'!$B$17,Paramètres!$A$1:$I$89,3,0)*VLOOKUP('Données projet'!$B$17,Paramètres!$A$1:$I$89,5,0)</f>
        <v>6.1186256061773749E-14</v>
      </c>
      <c r="GB193" s="14">
        <f t="shared" si="185"/>
        <v>9.7328366192051127E-13</v>
      </c>
      <c r="GC193" s="22">
        <f t="shared" si="186"/>
        <v>1.8017017738191463E-12</v>
      </c>
      <c r="GD193" s="62">
        <f t="shared" si="134"/>
        <v>290.0358524476041</v>
      </c>
      <c r="GE193" s="62">
        <f ca="1">AVERAGE(OFFSET($GD$3,0,0,'Données projet'!$E$17+1,1))-AVERAGE(OFFSET($H$3,0,0,'Données projet'!$E$17+1,1))</f>
        <v>405.06394904053946</v>
      </c>
      <c r="GF193" s="62">
        <f t="shared" si="158"/>
        <v>393.75247087518198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>
        <f>EXP(-LN(2)/35)*GL192+(1-EXP(-LN(2)/35))/(LN(2)/35)*GH193*GI193*VLOOKUP('Données projet'!$B$17,Paramètres!$A$1:$I$89,3,0)*0.475*44/12</f>
        <v>16.995887638555772</v>
      </c>
      <c r="GM193" s="23">
        <f>EXP(-LN(2)/25)*GM192+(1-EXP(-LN(2)/25))/(LN(2)/25)*Calculateur!GH193*Calculateur!GJ193*VLOOKUP('Données projet'!$B$17,Paramètres!$A$1:$I$89,3,0)*0.475*44/12</f>
        <v>0</v>
      </c>
      <c r="GN193" s="23">
        <f>EXP(-LN(2)/2)*GN192+(1-EXP(-LN(2)/2))/(LN(2)/2)*GH193*GK193*VLOOKUP('Données projet'!$B$17,Paramètres!$A$1:$I$89,3,0)*0.475*44/12</f>
        <v>0</v>
      </c>
      <c r="GO193" s="23">
        <f t="shared" si="187"/>
        <v>16.995887638555772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5.6843418860808015E-14</v>
      </c>
      <c r="GV193" s="18">
        <f>GU193*VLOOKUP('Données projet'!$B$18,Paramètres!$A$1:$I$89,3,0)*VLOOKUP('Données projet'!$B$18,Paramètres!$A$1:$I$89,5,0)</f>
        <v>3.813056537183002E-14</v>
      </c>
      <c r="GW193" s="14">
        <f t="shared" si="188"/>
        <v>6.4086286045526829E-13</v>
      </c>
      <c r="GX193" s="22">
        <f t="shared" si="189"/>
        <v>1.1825802166488628E-12</v>
      </c>
      <c r="GY193" s="62">
        <f t="shared" si="137"/>
        <v>290.03585244760347</v>
      </c>
      <c r="GZ193" s="62">
        <f ca="1">AVERAGE(OFFSET($GY$3,0,0,'Données projet'!$E$18+1,1))-AVERAGE(OFFSET($H$3,0,0,'Données projet'!$E$18+1,1))</f>
        <v>273.21861937609918</v>
      </c>
      <c r="HA193" s="62">
        <f t="shared" si="160"/>
        <v>268.83004886965318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>
        <f>EXP(-LN(2)/35)*HG192+(1-EXP(-LN(2)/35))/(LN(2)/35)*HC193*HD193*VLOOKUP('Données projet'!$B$18,Paramètres!$A$1:$I$89,3,0)*0.475*44/12</f>
        <v>13.054812244108062</v>
      </c>
      <c r="HH193" s="23">
        <f>EXP(-LN(2)/25)*HH192+(1-EXP(-LN(2)/25))/(LN(2)/25)*Calculateur!HC193*Calculateur!HE193*VLOOKUP('Données projet'!$B$18,Paramètres!$A$1:$I$89,3,0)*0.475*44/12</f>
        <v>0</v>
      </c>
      <c r="HI193" s="23">
        <f>EXP(-LN(2)/2)*HI192+(1-EXP(-LN(2)/2))/(LN(2)/2)*HC193*HF193*VLOOKUP('Données projet'!$B$18,Paramètres!$A$1:$I$89,3,0)*0.475*44/12</f>
        <v>0</v>
      </c>
      <c r="HJ193" s="24">
        <f t="shared" si="190"/>
        <v>13.054812244108062</v>
      </c>
    </row>
    <row r="194" spans="1:218" x14ac:dyDescent="0.4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-178.57392686804454</v>
      </c>
      <c r="O194" s="14">
        <f>N194*VLOOKUP('Données projet'!$B$9,Paramètres!$A$1:$I$89,3,0)*VLOOKUP('Données projet'!$B$9,Paramètres!$A$1:$I$89,5,0)</f>
        <v>-161.57368903020668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432.80275651765203</v>
      </c>
      <c r="T194" s="62">
        <f t="shared" si="142"/>
        <v>203.89279893419919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156.92389903817667</v>
      </c>
      <c r="AA194" s="23">
        <f>EXP(-LN(2)/25)*AA193+(1-EXP(-LN(2)/25))/(LN(2)/25)*Calculateur!V194*Calculateur!X194*VLOOKUP('Données projet'!$B$9,Paramètres!$A$1:$I$89,3,0)*0.475*44/12</f>
        <v>17.274026958661885</v>
      </c>
      <c r="AB194" s="23">
        <f>EXP(-LN(2)/2)*AB193+(1-EXP(-LN(2)/2))/(LN(2)/2)*V194*Y194*VLOOKUP('Données projet'!$B$9,Paramètres!$A$1:$I$89,3,0)*0.475*44/12</f>
        <v>0</v>
      </c>
      <c r="AC194" s="24">
        <f t="shared" si="163"/>
        <v>174.19792599683856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54.000000000000341</v>
      </c>
      <c r="AJ194" s="14">
        <f>AI194*VLOOKUP('Données projet'!$B$10,Paramètres!$A$1:$I$89,3,0)*VLOOKUP('Données projet'!$B$10,Paramètres!$A$1:$I$89,5,0)</f>
        <v>23.868000000000151</v>
      </c>
      <c r="AK194" s="14">
        <f t="shared" si="164"/>
        <v>7.6030930962115804</v>
      </c>
      <c r="AL194" s="22">
        <f t="shared" si="165"/>
        <v>54.812153809235433</v>
      </c>
      <c r="AM194" s="62">
        <f t="shared" si="113"/>
        <v>344.90521017814228</v>
      </c>
      <c r="AN194" s="62">
        <f ca="1">AVERAGE(OFFSET($AM$3,0,0,'Données projet'!$E$10+1,1))-AVERAGE(OFFSET($H$3,0,0,'Données projet'!$E$10+1,1))</f>
        <v>413.08876898406481</v>
      </c>
      <c r="AO194" s="62">
        <f t="shared" si="144"/>
        <v>520.31320932826566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20.52257964440243</v>
      </c>
      <c r="AV194" s="23">
        <f>EXP(-LN(2)/25)*AV193+(1-EXP(-LN(2)/25))/(LN(2)/25)*Calculateur!AQ194*Calculateur!AS194*VLOOKUP('Données projet'!$B$10,Paramètres!$A$1:$I$89,3,0)*0.475*44/12</f>
        <v>0.53393017910472507</v>
      </c>
      <c r="AW194" s="23">
        <f>EXP(-LN(2)/2)*AW193+(1-EXP(-LN(2)/2))/(LN(2)/2)*AQ194*AT194*VLOOKUP('Données projet'!$B$10,Paramètres!$A$1:$I$89,3,0)*0.475*44/12</f>
        <v>4.2649374917765277E-22</v>
      </c>
      <c r="AX194" s="23">
        <f t="shared" si="166"/>
        <v>21.056509823507156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54.000000000000341</v>
      </c>
      <c r="BE194" s="14">
        <f>BD194*VLOOKUP('Données projet'!$B$11,Paramètres!$A$1:$I$89,3,0)*VLOOKUP('Données projet'!$B$11,Paramètres!$A$1:$I$89,5,0)</f>
        <v>30.186000000000188</v>
      </c>
      <c r="BF194" s="14">
        <f t="shared" si="167"/>
        <v>9.3563888882899153</v>
      </c>
      <c r="BG194" s="22">
        <f t="shared" si="168"/>
        <v>68.869660647105263</v>
      </c>
      <c r="BH194" s="62">
        <f t="shared" si="116"/>
        <v>358.96271701601211</v>
      </c>
      <c r="BI194" s="62">
        <f ca="1">AVERAGE(OFFSET($BH$3,0,0,'Données projet'!$E$11+1,1))-AVERAGE(OFFSET($H$3,0,0,'Données projet'!$E$11+1,1))</f>
        <v>507.66185230065889</v>
      </c>
      <c r="BJ194" s="62">
        <f t="shared" si="146"/>
        <v>640.14375617778342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25.955027197332456</v>
      </c>
      <c r="BQ194" s="23">
        <f>EXP(-LN(2)/25)*BQ193+(1-EXP(-LN(2)/25))/(LN(2)/25)*Calculateur!BL194*Calculateur!BN194*VLOOKUP('Données projet'!$B$11,Paramètres!$A$1:$I$89,3,0)*0.475*44/12</f>
        <v>0.67526463827950578</v>
      </c>
      <c r="BR194" s="23">
        <f>EXP(-LN(2)/2)*BR193+(1-EXP(-LN(2)/2))/(LN(2)/2)*BL194*BO194*VLOOKUP('Données projet'!$B$11,Paramètres!$A$1:$I$89,3,0)*0.475*44/12</f>
        <v>5.393891533717377E-22</v>
      </c>
      <c r="BS194" s="24">
        <f t="shared" si="169"/>
        <v>26.63029183561196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417.04879970000007</v>
      </c>
      <c r="BZ194" s="14">
        <f>BY194*VLOOKUP('Données projet'!$B$12,Paramètres!$A$1:$I$89,3,0)*VLOOKUP('Données projet'!$B$12,Paramètres!$A$1:$I$89,5,0)</f>
        <v>195.17883825960004</v>
      </c>
      <c r="CA194" s="14">
        <f t="shared" si="170"/>
        <v>48.683122291673484</v>
      </c>
      <c r="CB194" s="22">
        <f t="shared" si="171"/>
        <v>424.72624796013469</v>
      </c>
      <c r="CC194" s="62">
        <f t="shared" si="119"/>
        <v>714.81930432904153</v>
      </c>
      <c r="CD194" s="62">
        <f ca="1">AVERAGE(OFFSET($CC$3,0,0,'Données projet'!$E$12+1,1))-AVERAGE(OFFSET($H$3,0,0,'Données projet'!$E$12+1,1))</f>
        <v>289.21044803824958</v>
      </c>
      <c r="CE194" s="62">
        <f t="shared" si="148"/>
        <v>196.11836398299445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>
        <f>EXP(-LN(2)/35)*CK193+(1-EXP(-LN(2)/35))/(LN(2)/35)*CG194*CH194*VLOOKUP('Données projet'!$B$12,Paramètres!$A$1:$I$89,3,0)*0.475*44/12</f>
        <v>11.359722818979387</v>
      </c>
      <c r="CL194" s="23">
        <f>EXP(-LN(2)/25)*CL193+(1-EXP(-LN(2)/25))/(LN(2)/25)*Calculateur!CG194*Calculateur!CI194*VLOOKUP('Données projet'!$B$12,Paramètres!$A$1:$I$89,3,0)*0.475*44/12</f>
        <v>2.5715908264580554</v>
      </c>
      <c r="CM194" s="23">
        <f>EXP(-LN(2)/2)*CM193+(1-EXP(-LN(2)/2))/(LN(2)/2)*CG194*CJ194*VLOOKUP('Données projet'!$B$12,Paramètres!$A$1:$I$89,3,0)*0.475*44/12</f>
        <v>0</v>
      </c>
      <c r="CN194" s="24">
        <f t="shared" si="172"/>
        <v>13.931313645437442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-5.6843418860808015E-14</v>
      </c>
      <c r="CU194" s="18">
        <f>CT194*VLOOKUP('Données projet'!$B$13,Paramètres!$A$1:$I$89,3,0)*VLOOKUP('Données projet'!$B$13,Paramètres!$A$1:$I$89,5,0)</f>
        <v>-5.1431925385259088E-14</v>
      </c>
      <c r="CV194" s="14" t="e">
        <f t="shared" si="173"/>
        <v>#NUM!</v>
      </c>
      <c r="CW194" s="22" t="e">
        <f t="shared" si="174"/>
        <v>#NUM!</v>
      </c>
      <c r="CX194" s="62" t="e">
        <f t="shared" si="122"/>
        <v>#NUM!</v>
      </c>
      <c r="CY194" s="62">
        <f ca="1">AVERAGE(OFFSET($CX$3,0,0,'Données projet'!$E$13+1,1))-AVERAGE(OFFSET($H$3,0,0,'Données projet'!$E$13+1,1))</f>
        <v>376.68007030857598</v>
      </c>
      <c r="CZ194" s="62">
        <f t="shared" si="150"/>
        <v>532.90758914457626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>
        <f>EXP(-LN(2)/35)*DF193+(1-EXP(-LN(2)/35))/(LN(2)/35)*DB194*DC194*VLOOKUP('Données projet'!$B$13,Paramètres!$A$1:$I$89,3,0)*0.475*44/12</f>
        <v>5.1957760807617053</v>
      </c>
      <c r="DG194" s="23">
        <f>EXP(-LN(2)/25)*DG193+(1-EXP(-LN(2)/25))/(LN(2)/25)*Calculateur!DB194*Calculateur!DD194*VLOOKUP('Données projet'!$B$13,Paramètres!$A$1:$I$89,3,0)*0.475*44/12</f>
        <v>0.15088513982974622</v>
      </c>
      <c r="DH194" s="23">
        <f>EXP(-LN(2)/2)*DH193+(1-EXP(-LN(2)/2))/(LN(2)/2)*DB194*DE194*VLOOKUP('Données projet'!$B$13,Paramètres!$A$1:$I$89,3,0)*0.475*44/12</f>
        <v>0</v>
      </c>
      <c r="DI194" s="24">
        <f t="shared" si="175"/>
        <v>5.3466612205914519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5.6843418860808015E-14</v>
      </c>
      <c r="DP194" s="18">
        <f>DO194*VLOOKUP('Données projet'!$B$14,Paramètres!$A$1:$I$89,3,0)*VLOOKUP('Données projet'!$B$14,Paramètres!$A$1:$I$89,5,0)</f>
        <v>5.4092197387944907E-14</v>
      </c>
      <c r="DQ194" s="14">
        <f t="shared" si="176"/>
        <v>8.7287050538073676E-13</v>
      </c>
      <c r="DR194" s="22">
        <f t="shared" si="177"/>
        <v>1.6144600406554537E-12</v>
      </c>
      <c r="DS194" s="62">
        <f t="shared" si="125"/>
        <v>290.09305636890844</v>
      </c>
      <c r="DT194" s="62">
        <f ca="1">AVERAGE(OFFSET($DS$3,0,0,'Données projet'!$E$14+1,1))-AVERAGE(OFFSET($H$3,0,0,'Données projet'!$E$14+1,1))</f>
        <v>364.63161066507769</v>
      </c>
      <c r="DU194" s="62">
        <f t="shared" si="152"/>
        <v>355.44729904860708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>
        <f>EXP(-LN(2)/35)*EA193+(1-EXP(-LN(2)/35))/(LN(2)/35)*DW194*DX194*VLOOKUP('Données projet'!$B$14,Paramètres!$A$1:$I$89,3,0)*0.475*44/12</f>
        <v>14.730711993540949</v>
      </c>
      <c r="EB194" s="23">
        <f>EXP(-LN(2)/25)*EB193+(1-EXP(-LN(2)/25))/(LN(2)/25)*Calculateur!DW194*Calculateur!DY194*VLOOKUP('Données projet'!$B$14,Paramètres!$A$1:$I$89,3,0)*0.475*44/12</f>
        <v>0</v>
      </c>
      <c r="EC194" s="23">
        <f>EXP(-LN(2)/2)*EC193+(1-EXP(-LN(2)/2))/(LN(2)/2)*DW194*DZ194*VLOOKUP('Données projet'!$B$14,Paramètres!$A$1:$I$89,3,0)*0.475*44/12</f>
        <v>0</v>
      </c>
      <c r="ED194" s="24">
        <f t="shared" si="178"/>
        <v>14.730711993540949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5.6843418860808015E-14</v>
      </c>
      <c r="EK194" s="18">
        <f>EJ194*VLOOKUP('Données projet'!$B$15,Paramètres!$A$1:$I$89,3,0)*VLOOKUP('Données projet'!$B$15,Paramètres!$A$1:$I$89,5,0)</f>
        <v>4.1677594708744434E-14</v>
      </c>
      <c r="EL194" s="14">
        <f t="shared" si="179"/>
        <v>6.9326303456159188E-13</v>
      </c>
      <c r="EM194" s="22">
        <f t="shared" si="180"/>
        <v>1.2800215959791691E-12</v>
      </c>
      <c r="EN194" s="62">
        <f t="shared" si="128"/>
        <v>290.09305636890815</v>
      </c>
      <c r="EO194" s="62">
        <f ca="1">AVERAGE(OFFSET($EN$3,0,0,'Données projet'!$E$15+1,1))-AVERAGE(OFFSET($H$3,0,0,'Données projet'!$E$15+1,1))</f>
        <v>293.59366973965774</v>
      </c>
      <c r="EP194" s="62">
        <f t="shared" si="154"/>
        <v>288.13804536120426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>
        <f>EXP(-LN(2)/35)*EV193+(1-EXP(-LN(2)/35))/(LN(2)/35)*ER194*ES194*VLOOKUP('Données projet'!$B$15,Paramètres!$A$1:$I$89,3,0)*0.475*44/12</f>
        <v>11.349892847482359</v>
      </c>
      <c r="EW194" s="23">
        <f>EXP(-LN(2)/25)*EW193+(1-EXP(-LN(2)/25))/(LN(2)/25)*Calculateur!ER194*Calculateur!ET194*VLOOKUP('Données projet'!$B$15,Paramètres!$A$1:$I$89,3,0)*0.475*44/12</f>
        <v>0</v>
      </c>
      <c r="EX194" s="23">
        <f>EXP(-LN(2)/2)*EX193+(1-EXP(-LN(2)/2))/(LN(2)/2)*ER194*EU194*VLOOKUP('Données projet'!$B$15,Paramètres!$A$1:$I$89,3,0)*0.475*44/12</f>
        <v>0</v>
      </c>
      <c r="EY194" s="24">
        <f t="shared" si="181"/>
        <v>11.349892847482359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5.6843418860808015E-14</v>
      </c>
      <c r="FF194" s="18">
        <f>FE194*VLOOKUP('Données projet'!$B$16,Paramètres!$A$1:$I$89,3,0)*VLOOKUP('Données projet'!$B$16,Paramètres!$A$1:$I$89,5,0)</f>
        <v>5.4978954722173515E-14</v>
      </c>
      <c r="FG194" s="14">
        <f t="shared" si="182"/>
        <v>8.8550225887742724E-13</v>
      </c>
      <c r="FH194" s="22">
        <f t="shared" si="183"/>
        <v>1.6380047803526383E-12</v>
      </c>
      <c r="FI194" s="62">
        <f t="shared" si="131"/>
        <v>290.09305636890849</v>
      </c>
      <c r="FJ194" s="62">
        <f ca="1">AVERAGE(OFFSET($FI$3,0,0,'Données projet'!$E$16+1,1))-AVERAGE(OFFSET($H$3,0,0,'Données projet'!$E$16+1,1))</f>
        <v>369.69145521630799</v>
      </c>
      <c r="FK194" s="62">
        <f t="shared" si="156"/>
        <v>360.24112103688719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>
        <f>EXP(-LN(2)/35)*FQ193+(1-EXP(-LN(2)/35))/(LN(2)/35)*FM194*FN194*VLOOKUP('Données projet'!$B$16,Paramètres!$A$1:$I$89,3,0)*0.475*44/12</f>
        <v>14.972199075402273</v>
      </c>
      <c r="FR194" s="23">
        <f>EXP(-LN(2)/25)*FR193+(1-EXP(-LN(2)/25))/(LN(2)/25)*Calculateur!FM194*Calculateur!FO194*VLOOKUP('Données projet'!$B$16,Paramètres!$A$1:$I$89,3,0)*0.475*44/12</f>
        <v>0</v>
      </c>
      <c r="FS194" s="23">
        <f>EXP(-LN(2)/2)*FS193+(1-EXP(-LN(2)/2))/(LN(2)/2)*FM194*FP194*VLOOKUP('Données projet'!$B$16,Paramètres!$A$1:$I$89,3,0)*0.475*44/12</f>
        <v>0</v>
      </c>
      <c r="FT194" s="24">
        <f t="shared" si="184"/>
        <v>14.972199075402273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5.6843418860808015E-14</v>
      </c>
      <c r="GA194" s="18">
        <f>FZ194*VLOOKUP('Données projet'!$B$17,Paramètres!$A$1:$I$89,3,0)*VLOOKUP('Données projet'!$B$17,Paramètres!$A$1:$I$89,5,0)</f>
        <v>6.1186256061773749E-14</v>
      </c>
      <c r="GB194" s="14">
        <f t="shared" si="185"/>
        <v>9.7328366192051127E-13</v>
      </c>
      <c r="GC194" s="22">
        <f t="shared" si="186"/>
        <v>1.8017017738191463E-12</v>
      </c>
      <c r="GD194" s="62">
        <f t="shared" si="134"/>
        <v>290.09305636890866</v>
      </c>
      <c r="GE194" s="62">
        <f ca="1">AVERAGE(OFFSET($GD$3,0,0,'Données projet'!$E$17+1,1))-AVERAGE(OFFSET($H$3,0,0,'Données projet'!$E$17+1,1))</f>
        <v>405.06394904053946</v>
      </c>
      <c r="GF194" s="62">
        <f t="shared" si="158"/>
        <v>393.75247087518198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>
        <f>EXP(-LN(2)/35)*GL193+(1-EXP(-LN(2)/35))/(LN(2)/35)*GH194*GI194*VLOOKUP('Données projet'!$B$17,Paramètres!$A$1:$I$89,3,0)*0.475*44/12</f>
        <v>16.662608648431547</v>
      </c>
      <c r="GM194" s="23">
        <f>EXP(-LN(2)/25)*GM193+(1-EXP(-LN(2)/25))/(LN(2)/25)*Calculateur!GH194*Calculateur!GJ194*VLOOKUP('Données projet'!$B$17,Paramètres!$A$1:$I$89,3,0)*0.475*44/12</f>
        <v>0</v>
      </c>
      <c r="GN194" s="23">
        <f>EXP(-LN(2)/2)*GN193+(1-EXP(-LN(2)/2))/(LN(2)/2)*GH194*GK194*VLOOKUP('Données projet'!$B$17,Paramètres!$A$1:$I$89,3,0)*0.475*44/12</f>
        <v>0</v>
      </c>
      <c r="GO194" s="23">
        <f t="shared" si="187"/>
        <v>16.662608648431547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5.6843418860808015E-14</v>
      </c>
      <c r="GV194" s="18">
        <f>GU194*VLOOKUP('Données projet'!$B$18,Paramètres!$A$1:$I$89,3,0)*VLOOKUP('Données projet'!$B$18,Paramètres!$A$1:$I$89,5,0)</f>
        <v>3.813056537183002E-14</v>
      </c>
      <c r="GW194" s="14">
        <f t="shared" si="188"/>
        <v>6.4086286045526829E-13</v>
      </c>
      <c r="GX194" s="22">
        <f t="shared" si="189"/>
        <v>1.1825802166488628E-12</v>
      </c>
      <c r="GY194" s="62">
        <f t="shared" si="137"/>
        <v>290.09305636890804</v>
      </c>
      <c r="GZ194" s="62">
        <f ca="1">AVERAGE(OFFSET($GY$3,0,0,'Données projet'!$E$18+1,1))-AVERAGE(OFFSET($H$3,0,0,'Données projet'!$E$18+1,1))</f>
        <v>273.21861937609918</v>
      </c>
      <c r="HA194" s="62">
        <f t="shared" si="160"/>
        <v>268.83004886965318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>
        <f>EXP(-LN(2)/35)*HG193+(1-EXP(-LN(2)/35))/(LN(2)/35)*HC194*HD194*VLOOKUP('Données projet'!$B$18,Paramètres!$A$1:$I$89,3,0)*0.475*44/12</f>
        <v>12.798815338650325</v>
      </c>
      <c r="HH194" s="23">
        <f>EXP(-LN(2)/25)*HH193+(1-EXP(-LN(2)/25))/(LN(2)/25)*Calculateur!HC194*Calculateur!HE194*VLOOKUP('Données projet'!$B$18,Paramètres!$A$1:$I$89,3,0)*0.475*44/12</f>
        <v>0</v>
      </c>
      <c r="HI194" s="23">
        <f>EXP(-LN(2)/2)*HI193+(1-EXP(-LN(2)/2))/(LN(2)/2)*HC194*HF194*VLOOKUP('Données projet'!$B$18,Paramètres!$A$1:$I$89,3,0)*0.475*44/12</f>
        <v>0</v>
      </c>
      <c r="HJ194" s="24">
        <f t="shared" si="190"/>
        <v>12.798815338650325</v>
      </c>
    </row>
    <row r="195" spans="1:218" x14ac:dyDescent="0.4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-178.57392686804454</v>
      </c>
      <c r="O195" s="14">
        <f>N195*VLOOKUP('Données projet'!$B$9,Paramètres!$A$1:$I$89,3,0)*VLOOKUP('Données projet'!$B$9,Paramètres!$A$1:$I$89,5,0)</f>
        <v>-161.57368903020668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432.80275651765203</v>
      </c>
      <c r="T195" s="62">
        <f t="shared" si="142"/>
        <v>203.89279893419919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153.84671709216545</v>
      </c>
      <c r="AA195" s="23">
        <f>EXP(-LN(2)/25)*AA194+(1-EXP(-LN(2)/25))/(LN(2)/25)*Calculateur!V195*Calculateur!X195*VLOOKUP('Données projet'!$B$9,Paramètres!$A$1:$I$89,3,0)*0.475*44/12</f>
        <v>16.801667783075679</v>
      </c>
      <c r="AB195" s="23">
        <f>EXP(-LN(2)/2)*AB194+(1-EXP(-LN(2)/2))/(LN(2)/2)*V195*Y195*VLOOKUP('Données projet'!$B$9,Paramètres!$A$1:$I$89,3,0)*0.475*44/12</f>
        <v>0</v>
      </c>
      <c r="AC195" s="24">
        <f t="shared" si="163"/>
        <v>170.64838487524113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54.000000000000341</v>
      </c>
      <c r="AJ195" s="14">
        <f>AI195*VLOOKUP('Données projet'!$B$10,Paramètres!$A$1:$I$89,3,0)*VLOOKUP('Données projet'!$B$10,Paramètres!$A$1:$I$89,5,0)</f>
        <v>23.868000000000151</v>
      </c>
      <c r="AK195" s="14">
        <f t="shared" si="164"/>
        <v>7.6030930962115804</v>
      </c>
      <c r="AL195" s="22">
        <f t="shared" si="165"/>
        <v>54.812153809235433</v>
      </c>
      <c r="AM195" s="62">
        <f t="shared" si="113"/>
        <v>344.9614217393011</v>
      </c>
      <c r="AN195" s="62">
        <f ca="1">AVERAGE(OFFSET($AM$3,0,0,'Données projet'!$E$10+1,1))-AVERAGE(OFFSET($H$3,0,0,'Données projet'!$E$10+1,1))</f>
        <v>413.08876898406481</v>
      </c>
      <c r="AO195" s="62">
        <f t="shared" si="144"/>
        <v>520.31320932826566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20.120144375113277</v>
      </c>
      <c r="AV195" s="23">
        <f>EXP(-LN(2)/25)*AV194+(1-EXP(-LN(2)/25))/(LN(2)/25)*Calculateur!AQ195*Calculateur!AS195*VLOOKUP('Données projet'!$B$10,Paramètres!$A$1:$I$89,3,0)*0.475*44/12</f>
        <v>0.51932983027893853</v>
      </c>
      <c r="AW195" s="23">
        <f>EXP(-LN(2)/2)*AW194+(1-EXP(-LN(2)/2))/(LN(2)/2)*AQ195*AT195*VLOOKUP('Données projet'!$B$10,Paramètres!$A$1:$I$89,3,0)*0.475*44/12</f>
        <v>3.0157662217719281E-22</v>
      </c>
      <c r="AX195" s="23">
        <f t="shared" si="166"/>
        <v>20.639474205392215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54.000000000000341</v>
      </c>
      <c r="BE195" s="14">
        <f>BD195*VLOOKUP('Données projet'!$B$11,Paramètres!$A$1:$I$89,3,0)*VLOOKUP('Données projet'!$B$11,Paramètres!$A$1:$I$89,5,0)</f>
        <v>30.186000000000188</v>
      </c>
      <c r="BF195" s="14">
        <f t="shared" si="167"/>
        <v>9.3563888882899153</v>
      </c>
      <c r="BG195" s="22">
        <f t="shared" si="168"/>
        <v>68.869660647105263</v>
      </c>
      <c r="BH195" s="62">
        <f t="shared" si="116"/>
        <v>359.01892857717093</v>
      </c>
      <c r="BI195" s="62">
        <f ca="1">AVERAGE(OFFSET($BH$3,0,0,'Données projet'!$E$11+1,1))-AVERAGE(OFFSET($H$3,0,0,'Données projet'!$E$11+1,1))</f>
        <v>507.66185230065889</v>
      </c>
      <c r="BJ195" s="62">
        <f t="shared" si="146"/>
        <v>640.14375617778342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25.446064944996174</v>
      </c>
      <c r="BQ195" s="23">
        <f>EXP(-LN(2)/25)*BQ194+(1-EXP(-LN(2)/25))/(LN(2)/25)*Calculateur!BL195*Calculateur!BN195*VLOOKUP('Données projet'!$B$11,Paramètres!$A$1:$I$89,3,0)*0.475*44/12</f>
        <v>0.65679949123512871</v>
      </c>
      <c r="BR195" s="23">
        <f>EXP(-LN(2)/2)*BR194+(1-EXP(-LN(2)/2))/(LN(2)/2)*BL195*BO195*VLOOKUP('Données projet'!$B$11,Paramètres!$A$1:$I$89,3,0)*0.475*44/12</f>
        <v>3.8140572804762646E-22</v>
      </c>
      <c r="BS195" s="24">
        <f t="shared" si="169"/>
        <v>26.102864436231304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417.04879970000007</v>
      </c>
      <c r="BZ195" s="14">
        <f>BY195*VLOOKUP('Données projet'!$B$12,Paramètres!$A$1:$I$89,3,0)*VLOOKUP('Données projet'!$B$12,Paramètres!$A$1:$I$89,5,0)</f>
        <v>195.17883825960004</v>
      </c>
      <c r="CA195" s="14">
        <f t="shared" si="170"/>
        <v>48.683122291673484</v>
      </c>
      <c r="CB195" s="22">
        <f t="shared" si="171"/>
        <v>424.72624796013469</v>
      </c>
      <c r="CC195" s="62">
        <f t="shared" si="119"/>
        <v>714.8755158902004</v>
      </c>
      <c r="CD195" s="62">
        <f ca="1">AVERAGE(OFFSET($CC$3,0,0,'Données projet'!$E$12+1,1))-AVERAGE(OFFSET($H$3,0,0,'Données projet'!$E$12+1,1))</f>
        <v>289.21044803824958</v>
      </c>
      <c r="CE195" s="62">
        <f t="shared" si="148"/>
        <v>196.11836398299445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>
        <f>EXP(-LN(2)/35)*CK194+(1-EXP(-LN(2)/35))/(LN(2)/35)*CG195*CH195*VLOOKUP('Données projet'!$B$12,Paramètres!$A$1:$I$89,3,0)*0.475*44/12</f>
        <v>11.136965583245964</v>
      </c>
      <c r="CL195" s="23">
        <f>EXP(-LN(2)/25)*CL194+(1-EXP(-LN(2)/25))/(LN(2)/25)*Calculateur!CG195*Calculateur!CI195*VLOOKUP('Données projet'!$B$12,Paramètres!$A$1:$I$89,3,0)*0.475*44/12</f>
        <v>2.5012705400744757</v>
      </c>
      <c r="CM195" s="23">
        <f>EXP(-LN(2)/2)*CM194+(1-EXP(-LN(2)/2))/(LN(2)/2)*CG195*CJ195*VLOOKUP('Données projet'!$B$12,Paramètres!$A$1:$I$89,3,0)*0.475*44/12</f>
        <v>0</v>
      </c>
      <c r="CN195" s="24">
        <f t="shared" si="172"/>
        <v>13.638236123320439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-5.6843418860808015E-14</v>
      </c>
      <c r="CU195" s="18">
        <f>CT195*VLOOKUP('Données projet'!$B$13,Paramètres!$A$1:$I$89,3,0)*VLOOKUP('Données projet'!$B$13,Paramètres!$A$1:$I$89,5,0)</f>
        <v>-5.1431925385259088E-14</v>
      </c>
      <c r="CV195" s="14" t="e">
        <f t="shared" si="173"/>
        <v>#NUM!</v>
      </c>
      <c r="CW195" s="22" t="e">
        <f t="shared" si="174"/>
        <v>#NUM!</v>
      </c>
      <c r="CX195" s="62" t="e">
        <f t="shared" si="122"/>
        <v>#NUM!</v>
      </c>
      <c r="CY195" s="62">
        <f ca="1">AVERAGE(OFFSET($CX$3,0,0,'Données projet'!$E$13+1,1))-AVERAGE(OFFSET($H$3,0,0,'Données projet'!$E$13+1,1))</f>
        <v>376.68007030857598</v>
      </c>
      <c r="CZ195" s="62">
        <f t="shared" si="150"/>
        <v>532.90758914457626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>
        <f>EXP(-LN(2)/35)*DF194+(1-EXP(-LN(2)/35))/(LN(2)/35)*DB195*DC195*VLOOKUP('Données projet'!$B$13,Paramètres!$A$1:$I$89,3,0)*0.475*44/12</f>
        <v>5.0938900809284542</v>
      </c>
      <c r="DG195" s="23">
        <f>EXP(-LN(2)/25)*DG194+(1-EXP(-LN(2)/25))/(LN(2)/25)*Calculateur!DB195*Calculateur!DD195*VLOOKUP('Données projet'!$B$13,Paramètres!$A$1:$I$89,3,0)*0.475*44/12</f>
        <v>0.14675917774639716</v>
      </c>
      <c r="DH195" s="23">
        <f>EXP(-LN(2)/2)*DH194+(1-EXP(-LN(2)/2))/(LN(2)/2)*DB195*DE195*VLOOKUP('Données projet'!$B$13,Paramètres!$A$1:$I$89,3,0)*0.475*44/12</f>
        <v>0</v>
      </c>
      <c r="DI195" s="24">
        <f t="shared" si="175"/>
        <v>5.2406492586748517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5.6843418860808015E-14</v>
      </c>
      <c r="DP195" s="18">
        <f>DO195*VLOOKUP('Données projet'!$B$14,Paramètres!$A$1:$I$89,3,0)*VLOOKUP('Données projet'!$B$14,Paramètres!$A$1:$I$89,5,0)</f>
        <v>5.4092197387944907E-14</v>
      </c>
      <c r="DQ195" s="14">
        <f t="shared" si="176"/>
        <v>8.7287050538073676E-13</v>
      </c>
      <c r="DR195" s="22">
        <f t="shared" si="177"/>
        <v>1.6144600406554537E-12</v>
      </c>
      <c r="DS195" s="62">
        <f t="shared" si="125"/>
        <v>290.14926793006725</v>
      </c>
      <c r="DT195" s="62">
        <f ca="1">AVERAGE(OFFSET($DS$3,0,0,'Données projet'!$E$14+1,1))-AVERAGE(OFFSET($H$3,0,0,'Données projet'!$E$14+1,1))</f>
        <v>364.63161066507769</v>
      </c>
      <c r="DU195" s="62">
        <f t="shared" si="152"/>
        <v>355.44729904860708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>
        <f>EXP(-LN(2)/35)*EA194+(1-EXP(-LN(2)/35))/(LN(2)/35)*DW195*DX195*VLOOKUP('Données projet'!$B$14,Paramètres!$A$1:$I$89,3,0)*0.475*44/12</f>
        <v>14.441851716194746</v>
      </c>
      <c r="EB195" s="23">
        <f>EXP(-LN(2)/25)*EB194+(1-EXP(-LN(2)/25))/(LN(2)/25)*Calculateur!DW195*Calculateur!DY195*VLOOKUP('Données projet'!$B$14,Paramètres!$A$1:$I$89,3,0)*0.475*44/12</f>
        <v>0</v>
      </c>
      <c r="EC195" s="23">
        <f>EXP(-LN(2)/2)*EC194+(1-EXP(-LN(2)/2))/(LN(2)/2)*DW195*DZ195*VLOOKUP('Données projet'!$B$14,Paramètres!$A$1:$I$89,3,0)*0.475*44/12</f>
        <v>0</v>
      </c>
      <c r="ED195" s="24">
        <f t="shared" si="178"/>
        <v>14.441851716194746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5.6843418860808015E-14</v>
      </c>
      <c r="EK195" s="18">
        <f>EJ195*VLOOKUP('Données projet'!$B$15,Paramètres!$A$1:$I$89,3,0)*VLOOKUP('Données projet'!$B$15,Paramètres!$A$1:$I$89,5,0)</f>
        <v>4.1677594708744434E-14</v>
      </c>
      <c r="EL195" s="14">
        <f t="shared" si="179"/>
        <v>6.9326303456159188E-13</v>
      </c>
      <c r="EM195" s="22">
        <f t="shared" si="180"/>
        <v>1.2800215959791691E-12</v>
      </c>
      <c r="EN195" s="62">
        <f t="shared" si="128"/>
        <v>290.14926793006697</v>
      </c>
      <c r="EO195" s="62">
        <f ca="1">AVERAGE(OFFSET($EN$3,0,0,'Données projet'!$E$15+1,1))-AVERAGE(OFFSET($H$3,0,0,'Données projet'!$E$15+1,1))</f>
        <v>293.59366973965774</v>
      </c>
      <c r="EP195" s="62">
        <f t="shared" si="154"/>
        <v>288.13804536120426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>
        <f>EXP(-LN(2)/35)*EV194+(1-EXP(-LN(2)/35))/(LN(2)/35)*ER195*ES195*VLOOKUP('Données projet'!$B$15,Paramètres!$A$1:$I$89,3,0)*0.475*44/12</f>
        <v>11.127328371494302</v>
      </c>
      <c r="EW195" s="23">
        <f>EXP(-LN(2)/25)*EW194+(1-EXP(-LN(2)/25))/(LN(2)/25)*Calculateur!ER195*Calculateur!ET195*VLOOKUP('Données projet'!$B$15,Paramètres!$A$1:$I$89,3,0)*0.475*44/12</f>
        <v>0</v>
      </c>
      <c r="EX195" s="23">
        <f>EXP(-LN(2)/2)*EX194+(1-EXP(-LN(2)/2))/(LN(2)/2)*ER195*EU195*VLOOKUP('Données projet'!$B$15,Paramètres!$A$1:$I$89,3,0)*0.475*44/12</f>
        <v>0</v>
      </c>
      <c r="EY195" s="24">
        <f t="shared" si="181"/>
        <v>11.127328371494302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5.6843418860808015E-14</v>
      </c>
      <c r="FF195" s="18">
        <f>FE195*VLOOKUP('Données projet'!$B$16,Paramètres!$A$1:$I$89,3,0)*VLOOKUP('Données projet'!$B$16,Paramètres!$A$1:$I$89,5,0)</f>
        <v>5.4978954722173515E-14</v>
      </c>
      <c r="FG195" s="14">
        <f t="shared" si="182"/>
        <v>8.8550225887742724E-13</v>
      </c>
      <c r="FH195" s="22">
        <f t="shared" si="183"/>
        <v>1.6380047803526383E-12</v>
      </c>
      <c r="FI195" s="62">
        <f t="shared" si="131"/>
        <v>290.14926793006731</v>
      </c>
      <c r="FJ195" s="62">
        <f ca="1">AVERAGE(OFFSET($FI$3,0,0,'Données projet'!$E$16+1,1))-AVERAGE(OFFSET($H$3,0,0,'Données projet'!$E$16+1,1))</f>
        <v>369.69145521630799</v>
      </c>
      <c r="FK195" s="62">
        <f t="shared" si="156"/>
        <v>360.24112103688719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>
        <f>EXP(-LN(2)/35)*FQ194+(1-EXP(-LN(2)/35))/(LN(2)/35)*FM195*FN195*VLOOKUP('Données projet'!$B$16,Paramètres!$A$1:$I$89,3,0)*0.475*44/12</f>
        <v>14.678603383673346</v>
      </c>
      <c r="FR195" s="23">
        <f>EXP(-LN(2)/25)*FR194+(1-EXP(-LN(2)/25))/(LN(2)/25)*Calculateur!FM195*Calculateur!FO195*VLOOKUP('Données projet'!$B$16,Paramètres!$A$1:$I$89,3,0)*0.475*44/12</f>
        <v>0</v>
      </c>
      <c r="FS195" s="23">
        <f>EXP(-LN(2)/2)*FS194+(1-EXP(-LN(2)/2))/(LN(2)/2)*FM195*FP195*VLOOKUP('Données projet'!$B$16,Paramètres!$A$1:$I$89,3,0)*0.475*44/12</f>
        <v>0</v>
      </c>
      <c r="FT195" s="24">
        <f t="shared" si="184"/>
        <v>14.678603383673346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5.6843418860808015E-14</v>
      </c>
      <c r="GA195" s="18">
        <f>FZ195*VLOOKUP('Données projet'!$B$17,Paramètres!$A$1:$I$89,3,0)*VLOOKUP('Données projet'!$B$17,Paramètres!$A$1:$I$89,5,0)</f>
        <v>6.1186256061773749E-14</v>
      </c>
      <c r="GB195" s="14">
        <f t="shared" si="185"/>
        <v>9.7328366192051127E-13</v>
      </c>
      <c r="GC195" s="22">
        <f t="shared" si="186"/>
        <v>1.8017017738191463E-12</v>
      </c>
      <c r="GD195" s="62">
        <f t="shared" si="134"/>
        <v>290.14926793006748</v>
      </c>
      <c r="GE195" s="62">
        <f ca="1">AVERAGE(OFFSET($GD$3,0,0,'Données projet'!$E$17+1,1))-AVERAGE(OFFSET($H$3,0,0,'Données projet'!$E$17+1,1))</f>
        <v>405.06394904053946</v>
      </c>
      <c r="GF195" s="62">
        <f t="shared" si="158"/>
        <v>393.75247087518198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>
        <f>EXP(-LN(2)/35)*GL194+(1-EXP(-LN(2)/35))/(LN(2)/35)*GH195*GI195*VLOOKUP('Données projet'!$B$17,Paramètres!$A$1:$I$89,3,0)*0.475*44/12</f>
        <v>16.33586505602355</v>
      </c>
      <c r="GM195" s="23">
        <f>EXP(-LN(2)/25)*GM194+(1-EXP(-LN(2)/25))/(LN(2)/25)*Calculateur!GH195*Calculateur!GJ195*VLOOKUP('Données projet'!$B$17,Paramètres!$A$1:$I$89,3,0)*0.475*44/12</f>
        <v>0</v>
      </c>
      <c r="GN195" s="23">
        <f>EXP(-LN(2)/2)*GN194+(1-EXP(-LN(2)/2))/(LN(2)/2)*GH195*GK195*VLOOKUP('Données projet'!$B$17,Paramètres!$A$1:$I$89,3,0)*0.475*44/12</f>
        <v>0</v>
      </c>
      <c r="GO195" s="23">
        <f t="shared" si="187"/>
        <v>16.33586505602355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5.6843418860808015E-14</v>
      </c>
      <c r="GV195" s="18">
        <f>GU195*VLOOKUP('Données projet'!$B$18,Paramètres!$A$1:$I$89,3,0)*VLOOKUP('Données projet'!$B$18,Paramètres!$A$1:$I$89,5,0)</f>
        <v>3.813056537183002E-14</v>
      </c>
      <c r="GW195" s="14">
        <f t="shared" si="188"/>
        <v>6.4086286045526829E-13</v>
      </c>
      <c r="GX195" s="22">
        <f t="shared" si="189"/>
        <v>1.1825802166488628E-12</v>
      </c>
      <c r="GY195" s="62">
        <f t="shared" si="137"/>
        <v>290.14926793006686</v>
      </c>
      <c r="GZ195" s="62">
        <f ca="1">AVERAGE(OFFSET($GY$3,0,0,'Données projet'!$E$18+1,1))-AVERAGE(OFFSET($H$3,0,0,'Données projet'!$E$18+1,1))</f>
        <v>273.21861937609918</v>
      </c>
      <c r="HA195" s="62">
        <f t="shared" si="160"/>
        <v>268.83004886965318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>
        <f>EXP(-LN(2)/35)*HG194+(1-EXP(-LN(2)/35))/(LN(2)/35)*HC195*HD195*VLOOKUP('Données projet'!$B$18,Paramètres!$A$1:$I$89,3,0)*0.475*44/12</f>
        <v>12.54783837636592</v>
      </c>
      <c r="HH195" s="23">
        <f>EXP(-LN(2)/25)*HH194+(1-EXP(-LN(2)/25))/(LN(2)/25)*Calculateur!HC195*Calculateur!HE195*VLOOKUP('Données projet'!$B$18,Paramètres!$A$1:$I$89,3,0)*0.475*44/12</f>
        <v>0</v>
      </c>
      <c r="HI195" s="23">
        <f>EXP(-LN(2)/2)*HI194+(1-EXP(-LN(2)/2))/(LN(2)/2)*HC195*HF195*VLOOKUP('Données projet'!$B$18,Paramètres!$A$1:$I$89,3,0)*0.475*44/12</f>
        <v>0</v>
      </c>
      <c r="HJ195" s="24">
        <f t="shared" si="190"/>
        <v>12.54783837636592</v>
      </c>
    </row>
    <row r="196" spans="1:218" x14ac:dyDescent="0.4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-178.57392686804454</v>
      </c>
      <c r="O196" s="14">
        <f>N196*VLOOKUP('Données projet'!$B$9,Paramètres!$A$1:$I$89,3,0)*VLOOKUP('Données projet'!$B$9,Paramètres!$A$1:$I$89,5,0)</f>
        <v>-161.57368903020668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432.80275651765203</v>
      </c>
      <c r="T196" s="62">
        <f t="shared" si="142"/>
        <v>203.89279893419919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150.82987680721985</v>
      </c>
      <c r="AA196" s="23">
        <f>EXP(-LN(2)/25)*AA195+(1-EXP(-LN(2)/25))/(LN(2)/25)*Calculateur!V196*Calculateur!X196*VLOOKUP('Données projet'!$B$9,Paramètres!$A$1:$I$89,3,0)*0.475*44/12</f>
        <v>16.342225293986168</v>
      </c>
      <c r="AB196" s="23">
        <f>EXP(-LN(2)/2)*AB195+(1-EXP(-LN(2)/2))/(LN(2)/2)*V196*Y196*VLOOKUP('Données projet'!$B$9,Paramètres!$A$1:$I$89,3,0)*0.475*44/12</f>
        <v>0</v>
      </c>
      <c r="AC196" s="24">
        <f t="shared" si="163"/>
        <v>167.17210210120601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54.000000000000341</v>
      </c>
      <c r="AJ196" s="14">
        <f>AI196*VLOOKUP('Données projet'!$B$10,Paramètres!$A$1:$I$89,3,0)*VLOOKUP('Données projet'!$B$10,Paramètres!$A$1:$I$89,5,0)</f>
        <v>23.868000000000151</v>
      </c>
      <c r="AK196" s="14">
        <f t="shared" si="164"/>
        <v>7.6030930962115804</v>
      </c>
      <c r="AL196" s="22">
        <f t="shared" si="165"/>
        <v>54.812153809235433</v>
      </c>
      <c r="AM196" s="62">
        <f t="shared" ref="AM196:AM203" si="193">AL196+(AD196+AE196)*44/12</f>
        <v>345.01665815554395</v>
      </c>
      <c r="AN196" s="62">
        <f ca="1">AVERAGE(OFFSET($AM$3,0,0,'Données projet'!$E$10+1,1))-AVERAGE(OFFSET($H$3,0,0,'Données projet'!$E$10+1,1))</f>
        <v>413.08876898406481</v>
      </c>
      <c r="AO196" s="62">
        <f t="shared" si="144"/>
        <v>520.31320932826566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19.725600615993606</v>
      </c>
      <c r="AV196" s="23">
        <f>EXP(-LN(2)/25)*AV195+(1-EXP(-LN(2)/25))/(LN(2)/25)*Calculateur!AQ196*Calculateur!AS196*VLOOKUP('Données projet'!$B$10,Paramètres!$A$1:$I$89,3,0)*0.475*44/12</f>
        <v>0.50512872875959214</v>
      </c>
      <c r="AW196" s="23">
        <f>EXP(-LN(2)/2)*AW195+(1-EXP(-LN(2)/2))/(LN(2)/2)*AQ196*AT196*VLOOKUP('Données projet'!$B$10,Paramètres!$A$1:$I$89,3,0)*0.475*44/12</f>
        <v>2.1324687458882638E-22</v>
      </c>
      <c r="AX196" s="23">
        <f t="shared" si="166"/>
        <v>20.230729344753197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54.000000000000341</v>
      </c>
      <c r="BE196" s="14">
        <f>BD196*VLOOKUP('Données projet'!$B$11,Paramètres!$A$1:$I$89,3,0)*VLOOKUP('Données projet'!$B$11,Paramètres!$A$1:$I$89,5,0)</f>
        <v>30.186000000000188</v>
      </c>
      <c r="BF196" s="14">
        <f t="shared" si="167"/>
        <v>9.3563888882899153</v>
      </c>
      <c r="BG196" s="22">
        <f t="shared" si="168"/>
        <v>68.869660647105263</v>
      </c>
      <c r="BH196" s="62">
        <f t="shared" ref="BH196:BH203" si="194">BG196+(AY196+AZ196)*44/12</f>
        <v>359.07416499341377</v>
      </c>
      <c r="BI196" s="62">
        <f ca="1">AVERAGE(OFFSET($BH$3,0,0,'Données projet'!$E$11+1,1))-AVERAGE(OFFSET($H$3,0,0,'Données projet'!$E$11+1,1))</f>
        <v>507.66185230065889</v>
      </c>
      <c r="BJ196" s="62">
        <f t="shared" si="146"/>
        <v>640.14375617778342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24.947083131991885</v>
      </c>
      <c r="BQ196" s="23">
        <f>EXP(-LN(2)/25)*BQ195+(1-EXP(-LN(2)/25))/(LN(2)/25)*Calculateur!BL196*Calculateur!BN196*VLOOKUP('Données projet'!$B$11,Paramètres!$A$1:$I$89,3,0)*0.475*44/12</f>
        <v>0.63883927460772005</v>
      </c>
      <c r="BR196" s="23">
        <f>EXP(-LN(2)/2)*BR195+(1-EXP(-LN(2)/2))/(LN(2)/2)*BL196*BO196*VLOOKUP('Données projet'!$B$11,Paramètres!$A$1:$I$89,3,0)*0.475*44/12</f>
        <v>2.6969457668586885E-22</v>
      </c>
      <c r="BS196" s="24">
        <f t="shared" si="169"/>
        <v>25.585922406599604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417.04879970000007</v>
      </c>
      <c r="BZ196" s="14">
        <f>BY196*VLOOKUP('Données projet'!$B$12,Paramètres!$A$1:$I$89,3,0)*VLOOKUP('Données projet'!$B$12,Paramètres!$A$1:$I$89,5,0)</f>
        <v>195.17883825960004</v>
      </c>
      <c r="CA196" s="14">
        <f t="shared" si="170"/>
        <v>48.683122291673484</v>
      </c>
      <c r="CB196" s="22">
        <f t="shared" si="171"/>
        <v>424.72624796013469</v>
      </c>
      <c r="CC196" s="62">
        <f t="shared" ref="CC196:CC203" si="195">CB196+(BT196+BU196)*44/12</f>
        <v>714.9307523064432</v>
      </c>
      <c r="CD196" s="62">
        <f ca="1">AVERAGE(OFFSET($CC$3,0,0,'Données projet'!$E$12+1,1))-AVERAGE(OFFSET($H$3,0,0,'Données projet'!$E$12+1,1))</f>
        <v>289.21044803824958</v>
      </c>
      <c r="CE196" s="62">
        <f t="shared" si="148"/>
        <v>196.11836398299445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>
        <f>EXP(-LN(2)/35)*CK195+(1-EXP(-LN(2)/35))/(LN(2)/35)*CG196*CH196*VLOOKUP('Données projet'!$B$12,Paramètres!$A$1:$I$89,3,0)*0.475*44/12</f>
        <v>10.918576481036775</v>
      </c>
      <c r="CL196" s="23">
        <f>EXP(-LN(2)/25)*CL195+(1-EXP(-LN(2)/25))/(LN(2)/25)*Calculateur!CG196*Calculateur!CI196*VLOOKUP('Données projet'!$B$12,Paramètres!$A$1:$I$89,3,0)*0.475*44/12</f>
        <v>2.432873165620038</v>
      </c>
      <c r="CM196" s="23">
        <f>EXP(-LN(2)/2)*CM195+(1-EXP(-LN(2)/2))/(LN(2)/2)*CG196*CJ196*VLOOKUP('Données projet'!$B$12,Paramètres!$A$1:$I$89,3,0)*0.475*44/12</f>
        <v>0</v>
      </c>
      <c r="CN196" s="24">
        <f t="shared" si="172"/>
        <v>13.351449646656812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-5.6843418860808015E-14</v>
      </c>
      <c r="CU196" s="18">
        <f>CT196*VLOOKUP('Données projet'!$B$13,Paramètres!$A$1:$I$89,3,0)*VLOOKUP('Données projet'!$B$13,Paramètres!$A$1:$I$89,5,0)</f>
        <v>-5.1431925385259088E-14</v>
      </c>
      <c r="CV196" s="14" t="e">
        <f t="shared" si="173"/>
        <v>#NUM!</v>
      </c>
      <c r="CW196" s="22" t="e">
        <f t="shared" si="174"/>
        <v>#NUM!</v>
      </c>
      <c r="CX196" s="62" t="e">
        <f t="shared" ref="CX196:CX203" si="196">CW196+(CO196+CP196)*44/12</f>
        <v>#NUM!</v>
      </c>
      <c r="CY196" s="62">
        <f ca="1">AVERAGE(OFFSET($CX$3,0,0,'Données projet'!$E$13+1,1))-AVERAGE(OFFSET($H$3,0,0,'Données projet'!$E$13+1,1))</f>
        <v>376.68007030857598</v>
      </c>
      <c r="CZ196" s="62">
        <f t="shared" si="150"/>
        <v>532.90758914457626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>
        <f>EXP(-LN(2)/35)*DF195+(1-EXP(-LN(2)/35))/(LN(2)/35)*DB196*DC196*VLOOKUP('Données projet'!$B$13,Paramètres!$A$1:$I$89,3,0)*0.475*44/12</f>
        <v>4.9940020034076094</v>
      </c>
      <c r="DG196" s="23">
        <f>EXP(-LN(2)/25)*DG195+(1-EXP(-LN(2)/25))/(LN(2)/25)*Calculateur!DB196*Calculateur!DD196*VLOOKUP('Données projet'!$B$13,Paramètres!$A$1:$I$89,3,0)*0.475*44/12</f>
        <v>0.14274604031319219</v>
      </c>
      <c r="DH196" s="23">
        <f>EXP(-LN(2)/2)*DH195+(1-EXP(-LN(2)/2))/(LN(2)/2)*DB196*DE196*VLOOKUP('Données projet'!$B$13,Paramètres!$A$1:$I$89,3,0)*0.475*44/12</f>
        <v>0</v>
      </c>
      <c r="DI196" s="24">
        <f t="shared" si="175"/>
        <v>5.136748043720802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5.6843418860808015E-14</v>
      </c>
      <c r="DP196" s="18">
        <f>DO196*VLOOKUP('Données projet'!$B$14,Paramètres!$A$1:$I$89,3,0)*VLOOKUP('Données projet'!$B$14,Paramètres!$A$1:$I$89,5,0)</f>
        <v>5.4092197387944907E-14</v>
      </c>
      <c r="DQ196" s="14">
        <f t="shared" si="176"/>
        <v>8.7287050538073676E-13</v>
      </c>
      <c r="DR196" s="22">
        <f t="shared" si="177"/>
        <v>1.6144600406554537E-12</v>
      </c>
      <c r="DS196" s="62">
        <f t="shared" ref="DS196:DS203" si="197">DR196+(DJ196+DK196)*44/12</f>
        <v>290.2045043463101</v>
      </c>
      <c r="DT196" s="62">
        <f ca="1">AVERAGE(OFFSET($DS$3,0,0,'Données projet'!$E$14+1,1))-AVERAGE(OFFSET($H$3,0,0,'Données projet'!$E$14+1,1))</f>
        <v>364.63161066507769</v>
      </c>
      <c r="DU196" s="62">
        <f t="shared" si="152"/>
        <v>355.44729904860708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>
        <f>EXP(-LN(2)/35)*EA195+(1-EXP(-LN(2)/35))/(LN(2)/35)*DW196*DX196*VLOOKUP('Données projet'!$B$14,Paramètres!$A$1:$I$89,3,0)*0.475*44/12</f>
        <v>14.158655812699932</v>
      </c>
      <c r="EB196" s="23">
        <f>EXP(-LN(2)/25)*EB195+(1-EXP(-LN(2)/25))/(LN(2)/25)*Calculateur!DW196*Calculateur!DY196*VLOOKUP('Données projet'!$B$14,Paramètres!$A$1:$I$89,3,0)*0.475*44/12</f>
        <v>0</v>
      </c>
      <c r="EC196" s="23">
        <f>EXP(-LN(2)/2)*EC195+(1-EXP(-LN(2)/2))/(LN(2)/2)*DW196*DZ196*VLOOKUP('Données projet'!$B$14,Paramètres!$A$1:$I$89,3,0)*0.475*44/12</f>
        <v>0</v>
      </c>
      <c r="ED196" s="24">
        <f t="shared" si="178"/>
        <v>14.158655812699932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5.6843418860808015E-14</v>
      </c>
      <c r="EK196" s="18">
        <f>EJ196*VLOOKUP('Données projet'!$B$15,Paramètres!$A$1:$I$89,3,0)*VLOOKUP('Données projet'!$B$15,Paramètres!$A$1:$I$89,5,0)</f>
        <v>4.1677594708744434E-14</v>
      </c>
      <c r="EL196" s="14">
        <f t="shared" si="179"/>
        <v>6.9326303456159188E-13</v>
      </c>
      <c r="EM196" s="22">
        <f t="shared" si="180"/>
        <v>1.2800215959791691E-12</v>
      </c>
      <c r="EN196" s="62">
        <f t="shared" ref="EN196:EN203" si="198">EM196+(EE196+EF196)*44/12</f>
        <v>290.20450434630982</v>
      </c>
      <c r="EO196" s="62">
        <f ca="1">AVERAGE(OFFSET($EN$3,0,0,'Données projet'!$E$15+1,1))-AVERAGE(OFFSET($H$3,0,0,'Données projet'!$E$15+1,1))</f>
        <v>293.59366973965774</v>
      </c>
      <c r="EP196" s="62">
        <f t="shared" si="154"/>
        <v>288.13804536120426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>
        <f>EXP(-LN(2)/35)*EV195+(1-EXP(-LN(2)/35))/(LN(2)/35)*ER196*ES196*VLOOKUP('Données projet'!$B$15,Paramètres!$A$1:$I$89,3,0)*0.475*44/12</f>
        <v>10.909128249129445</v>
      </c>
      <c r="EW196" s="23">
        <f>EXP(-LN(2)/25)*EW195+(1-EXP(-LN(2)/25))/(LN(2)/25)*Calculateur!ER196*Calculateur!ET196*VLOOKUP('Données projet'!$B$15,Paramètres!$A$1:$I$89,3,0)*0.475*44/12</f>
        <v>0</v>
      </c>
      <c r="EX196" s="23">
        <f>EXP(-LN(2)/2)*EX195+(1-EXP(-LN(2)/2))/(LN(2)/2)*ER196*EU196*VLOOKUP('Données projet'!$B$15,Paramètres!$A$1:$I$89,3,0)*0.475*44/12</f>
        <v>0</v>
      </c>
      <c r="EY196" s="24">
        <f t="shared" si="181"/>
        <v>10.909128249129445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5.6843418860808015E-14</v>
      </c>
      <c r="FF196" s="18">
        <f>FE196*VLOOKUP('Données projet'!$B$16,Paramètres!$A$1:$I$89,3,0)*VLOOKUP('Données projet'!$B$16,Paramètres!$A$1:$I$89,5,0)</f>
        <v>5.4978954722173515E-14</v>
      </c>
      <c r="FG196" s="14">
        <f t="shared" si="182"/>
        <v>8.8550225887742724E-13</v>
      </c>
      <c r="FH196" s="22">
        <f t="shared" si="183"/>
        <v>1.6380047803526383E-12</v>
      </c>
      <c r="FI196" s="62">
        <f t="shared" ref="FI196:FI203" si="199">FH196+(EZ196+FA196)*44/12</f>
        <v>290.20450434631016</v>
      </c>
      <c r="FJ196" s="62">
        <f ca="1">AVERAGE(OFFSET($FI$3,0,0,'Données projet'!$E$16+1,1))-AVERAGE(OFFSET($H$3,0,0,'Données projet'!$E$16+1,1))</f>
        <v>369.69145521630799</v>
      </c>
      <c r="FK196" s="62">
        <f t="shared" si="156"/>
        <v>360.24112103688719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>
        <f>EXP(-LN(2)/35)*FQ195+(1-EXP(-LN(2)/35))/(LN(2)/35)*FM196*FN196*VLOOKUP('Données projet'!$B$16,Paramètres!$A$1:$I$89,3,0)*0.475*44/12</f>
        <v>14.390764924383534</v>
      </c>
      <c r="FR196" s="23">
        <f>EXP(-LN(2)/25)*FR195+(1-EXP(-LN(2)/25))/(LN(2)/25)*Calculateur!FM196*Calculateur!FO196*VLOOKUP('Données projet'!$B$16,Paramètres!$A$1:$I$89,3,0)*0.475*44/12</f>
        <v>0</v>
      </c>
      <c r="FS196" s="23">
        <f>EXP(-LN(2)/2)*FS195+(1-EXP(-LN(2)/2))/(LN(2)/2)*FM196*FP196*VLOOKUP('Données projet'!$B$16,Paramètres!$A$1:$I$89,3,0)*0.475*44/12</f>
        <v>0</v>
      </c>
      <c r="FT196" s="24">
        <f t="shared" si="184"/>
        <v>14.390764924383534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5.6843418860808015E-14</v>
      </c>
      <c r="GA196" s="18">
        <f>FZ196*VLOOKUP('Données projet'!$B$17,Paramètres!$A$1:$I$89,3,0)*VLOOKUP('Données projet'!$B$17,Paramètres!$A$1:$I$89,5,0)</f>
        <v>6.1186256061773749E-14</v>
      </c>
      <c r="GB196" s="14">
        <f t="shared" si="185"/>
        <v>9.7328366192051127E-13</v>
      </c>
      <c r="GC196" s="22">
        <f t="shared" si="186"/>
        <v>1.8017017738191463E-12</v>
      </c>
      <c r="GD196" s="62">
        <f t="shared" ref="GD196:GD203" si="200">GC196+(FU196+FV196)*44/12</f>
        <v>290.20450434631033</v>
      </c>
      <c r="GE196" s="62">
        <f ca="1">AVERAGE(OFFSET($GD$3,0,0,'Données projet'!$E$17+1,1))-AVERAGE(OFFSET($H$3,0,0,'Données projet'!$E$17+1,1))</f>
        <v>405.06394904053946</v>
      </c>
      <c r="GF196" s="62">
        <f t="shared" si="158"/>
        <v>393.75247087518198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>
        <f>EXP(-LN(2)/35)*GL195+(1-EXP(-LN(2)/35))/(LN(2)/35)*GH196*GI196*VLOOKUP('Données projet'!$B$17,Paramètres!$A$1:$I$89,3,0)*0.475*44/12</f>
        <v>16.015528706168759</v>
      </c>
      <c r="GM196" s="23">
        <f>EXP(-LN(2)/25)*GM195+(1-EXP(-LN(2)/25))/(LN(2)/25)*Calculateur!GH196*Calculateur!GJ196*VLOOKUP('Données projet'!$B$17,Paramètres!$A$1:$I$89,3,0)*0.475*44/12</f>
        <v>0</v>
      </c>
      <c r="GN196" s="23">
        <f>EXP(-LN(2)/2)*GN195+(1-EXP(-LN(2)/2))/(LN(2)/2)*GH196*GK196*VLOOKUP('Données projet'!$B$17,Paramètres!$A$1:$I$89,3,0)*0.475*44/12</f>
        <v>0</v>
      </c>
      <c r="GO196" s="23">
        <f t="shared" si="187"/>
        <v>16.015528706168759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5.6843418860808015E-14</v>
      </c>
      <c r="GV196" s="18">
        <f>GU196*VLOOKUP('Données projet'!$B$18,Paramètres!$A$1:$I$89,3,0)*VLOOKUP('Données projet'!$B$18,Paramètres!$A$1:$I$89,5,0)</f>
        <v>3.813056537183002E-14</v>
      </c>
      <c r="GW196" s="14">
        <f t="shared" si="188"/>
        <v>6.4086286045526829E-13</v>
      </c>
      <c r="GX196" s="22">
        <f t="shared" si="189"/>
        <v>1.1825802166488628E-12</v>
      </c>
      <c r="GY196" s="62">
        <f t="shared" ref="GY196:GY203" si="201">GX196+(GP196+GQ196)*44/12</f>
        <v>290.2045043463097</v>
      </c>
      <c r="GZ196" s="62">
        <f ca="1">AVERAGE(OFFSET($GY$3,0,0,'Données projet'!$E$18+1,1))-AVERAGE(OFFSET($H$3,0,0,'Données projet'!$E$18+1,1))</f>
        <v>273.21861937609918</v>
      </c>
      <c r="HA196" s="62">
        <f t="shared" si="160"/>
        <v>268.83004886965318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>
        <f>EXP(-LN(2)/35)*HG195+(1-EXP(-LN(2)/35))/(LN(2)/35)*HC196*HD196*VLOOKUP('Données projet'!$B$18,Paramètres!$A$1:$I$89,3,0)*0.475*44/12</f>
        <v>12.301782919231082</v>
      </c>
      <c r="HH196" s="23">
        <f>EXP(-LN(2)/25)*HH195+(1-EXP(-LN(2)/25))/(LN(2)/25)*Calculateur!HC196*Calculateur!HE196*VLOOKUP('Données projet'!$B$18,Paramètres!$A$1:$I$89,3,0)*0.475*44/12</f>
        <v>0</v>
      </c>
      <c r="HI196" s="23">
        <f>EXP(-LN(2)/2)*HI195+(1-EXP(-LN(2)/2))/(LN(2)/2)*HC196*HF196*VLOOKUP('Données projet'!$B$18,Paramètres!$A$1:$I$89,3,0)*0.475*44/12</f>
        <v>0</v>
      </c>
      <c r="HJ196" s="24">
        <f t="shared" si="190"/>
        <v>12.301782919231082</v>
      </c>
    </row>
    <row r="197" spans="1:218" x14ac:dyDescent="0.4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-178.57392686804454</v>
      </c>
      <c r="O197" s="14">
        <f>N197*VLOOKUP('Données projet'!$B$9,Paramètres!$A$1:$I$89,3,0)*VLOOKUP('Données projet'!$B$9,Paramètres!$A$1:$I$89,5,0)</f>
        <v>-161.57368903020668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432.80275651765203</v>
      </c>
      <c r="T197" s="62">
        <f t="shared" ref="T197:T203" si="204">$T$3</f>
        <v>203.89279893419919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147.87219492017115</v>
      </c>
      <c r="AA197" s="23">
        <f>EXP(-LN(2)/25)*AA196+(1-EXP(-LN(2)/25))/(LN(2)/25)*Calculateur!V197*Calculateur!X197*VLOOKUP('Données projet'!$B$9,Paramètres!$A$1:$I$89,3,0)*0.475*44/12</f>
        <v>15.895346283921839</v>
      </c>
      <c r="AB197" s="23">
        <f>EXP(-LN(2)/2)*AB196+(1-EXP(-LN(2)/2))/(LN(2)/2)*V197*Y197*VLOOKUP('Données projet'!$B$9,Paramètres!$A$1:$I$89,3,0)*0.475*44/12</f>
        <v>0</v>
      </c>
      <c r="AC197" s="24">
        <f t="shared" si="163"/>
        <v>163.76754120409299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54.000000000000341</v>
      </c>
      <c r="AJ197" s="14">
        <f>AI197*VLOOKUP('Données projet'!$B$10,Paramètres!$A$1:$I$89,3,0)*VLOOKUP('Données projet'!$B$10,Paramètres!$A$1:$I$89,5,0)</f>
        <v>23.868000000000151</v>
      </c>
      <c r="AK197" s="14">
        <f t="shared" si="164"/>
        <v>7.6030930962115804</v>
      </c>
      <c r="AL197" s="22">
        <f t="shared" si="165"/>
        <v>54.812153809235433</v>
      </c>
      <c r="AM197" s="62">
        <f t="shared" si="193"/>
        <v>345.07093634345517</v>
      </c>
      <c r="AN197" s="62">
        <f ca="1">AVERAGE(OFFSET($AM$3,0,0,'Données projet'!$E$10+1,1))-AVERAGE(OFFSET($H$3,0,0,'Données projet'!$E$10+1,1))</f>
        <v>413.08876898406481</v>
      </c>
      <c r="AO197" s="62">
        <f t="shared" ref="AO197:AO203" si="205">$AO$3</f>
        <v>520.31320932826566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19.338793619342344</v>
      </c>
      <c r="AV197" s="23">
        <f>EXP(-LN(2)/25)*AV196+(1-EXP(-LN(2)/25))/(LN(2)/25)*Calculateur!AQ197*Calculateur!AS197*VLOOKUP('Données projet'!$B$10,Paramètres!$A$1:$I$89,3,0)*0.475*44/12</f>
        <v>0.49131595710809572</v>
      </c>
      <c r="AW197" s="23">
        <f>EXP(-LN(2)/2)*AW196+(1-EXP(-LN(2)/2))/(LN(2)/2)*AQ197*AT197*VLOOKUP('Données projet'!$B$10,Paramètres!$A$1:$I$89,3,0)*0.475*44/12</f>
        <v>1.5078831108859641E-22</v>
      </c>
      <c r="AX197" s="23">
        <f t="shared" si="166"/>
        <v>19.83010957645044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54.000000000000341</v>
      </c>
      <c r="BE197" s="14">
        <f>BD197*VLOOKUP('Données projet'!$B$11,Paramètres!$A$1:$I$89,3,0)*VLOOKUP('Données projet'!$B$11,Paramètres!$A$1:$I$89,5,0)</f>
        <v>30.186000000000188</v>
      </c>
      <c r="BF197" s="14">
        <f t="shared" si="167"/>
        <v>9.3563888882899153</v>
      </c>
      <c r="BG197" s="22">
        <f t="shared" si="168"/>
        <v>68.869660647105263</v>
      </c>
      <c r="BH197" s="62">
        <f t="shared" si="194"/>
        <v>359.128443181325</v>
      </c>
      <c r="BI197" s="62">
        <f ca="1">AVERAGE(OFFSET($BH$3,0,0,'Données projet'!$E$11+1,1))-AVERAGE(OFFSET($H$3,0,0,'Données projet'!$E$11+1,1))</f>
        <v>507.66185230065889</v>
      </c>
      <c r="BJ197" s="62">
        <f t="shared" ref="BJ197:BJ203" si="206">$BJ$3</f>
        <v>640.14375617778342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24.457886047991757</v>
      </c>
      <c r="BQ197" s="23">
        <f>EXP(-LN(2)/25)*BQ196+(1-EXP(-LN(2)/25))/(LN(2)/25)*Calculateur!BL197*Calculateur!BN197*VLOOKUP('Données projet'!$B$11,Paramètres!$A$1:$I$89,3,0)*0.475*44/12</f>
        <v>0.62137018104847463</v>
      </c>
      <c r="BR197" s="23">
        <f>EXP(-LN(2)/2)*BR196+(1-EXP(-LN(2)/2))/(LN(2)/2)*BL197*BO197*VLOOKUP('Données projet'!$B$11,Paramètres!$A$1:$I$89,3,0)*0.475*44/12</f>
        <v>1.9070286402381323E-22</v>
      </c>
      <c r="BS197" s="24">
        <f t="shared" si="169"/>
        <v>25.079256229040233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417.04879970000007</v>
      </c>
      <c r="BZ197" s="14">
        <f>BY197*VLOOKUP('Données projet'!$B$12,Paramètres!$A$1:$I$89,3,0)*VLOOKUP('Données projet'!$B$12,Paramètres!$A$1:$I$89,5,0)</f>
        <v>195.17883825960004</v>
      </c>
      <c r="CA197" s="14">
        <f t="shared" si="170"/>
        <v>48.683122291673484</v>
      </c>
      <c r="CB197" s="22">
        <f t="shared" si="171"/>
        <v>424.72624796013469</v>
      </c>
      <c r="CC197" s="62">
        <f t="shared" si="195"/>
        <v>714.98503049435442</v>
      </c>
      <c r="CD197" s="62">
        <f ca="1">AVERAGE(OFFSET($CC$3,0,0,'Données projet'!$E$12+1,1))-AVERAGE(OFFSET($H$3,0,0,'Données projet'!$E$12+1,1))</f>
        <v>289.21044803824958</v>
      </c>
      <c r="CE197" s="62">
        <f t="shared" ref="CE197:CE203" si="207">$CE$3</f>
        <v>196.11836398299445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>
        <f>EXP(-LN(2)/35)*CK196+(1-EXP(-LN(2)/35))/(LN(2)/35)*CG197*CH197*VLOOKUP('Données projet'!$B$12,Paramètres!$A$1:$I$89,3,0)*0.475*44/12</f>
        <v>10.70446985591771</v>
      </c>
      <c r="CL197" s="23">
        <f>EXP(-LN(2)/25)*CL196+(1-EXP(-LN(2)/25))/(LN(2)/25)*Calculateur!CG197*Calculateur!CI197*VLOOKUP('Données projet'!$B$12,Paramètres!$A$1:$I$89,3,0)*0.475*44/12</f>
        <v>2.3663461209669188</v>
      </c>
      <c r="CM197" s="23">
        <f>EXP(-LN(2)/2)*CM196+(1-EXP(-LN(2)/2))/(LN(2)/2)*CG197*CJ197*VLOOKUP('Données projet'!$B$12,Paramètres!$A$1:$I$89,3,0)*0.475*44/12</f>
        <v>0</v>
      </c>
      <c r="CN197" s="24">
        <f t="shared" si="172"/>
        <v>13.070815976884628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-5.6843418860808015E-14</v>
      </c>
      <c r="CU197" s="18">
        <f>CT197*VLOOKUP('Données projet'!$B$13,Paramètres!$A$1:$I$89,3,0)*VLOOKUP('Données projet'!$B$13,Paramètres!$A$1:$I$89,5,0)</f>
        <v>-5.1431925385259088E-14</v>
      </c>
      <c r="CV197" s="14" t="e">
        <f t="shared" si="173"/>
        <v>#NUM!</v>
      </c>
      <c r="CW197" s="22" t="e">
        <f t="shared" si="174"/>
        <v>#NUM!</v>
      </c>
      <c r="CX197" s="62" t="e">
        <f t="shared" si="196"/>
        <v>#NUM!</v>
      </c>
      <c r="CY197" s="62">
        <f ca="1">AVERAGE(OFFSET($CX$3,0,0,'Données projet'!$E$13+1,1))-AVERAGE(OFFSET($H$3,0,0,'Données projet'!$E$13+1,1))</f>
        <v>376.68007030857598</v>
      </c>
      <c r="CZ197" s="62">
        <f t="shared" ref="CZ197:CZ203" si="208">$CZ$3</f>
        <v>532.90758914457626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>
        <f>EXP(-LN(2)/35)*DF196+(1-EXP(-LN(2)/35))/(LN(2)/35)*DB197*DC197*VLOOKUP('Données projet'!$B$13,Paramètres!$A$1:$I$89,3,0)*0.475*44/12</f>
        <v>4.8960726701612369</v>
      </c>
      <c r="DG197" s="23">
        <f>EXP(-LN(2)/25)*DG196+(1-EXP(-LN(2)/25))/(LN(2)/25)*Calculateur!DB197*Calculateur!DD197*VLOOKUP('Données projet'!$B$13,Paramètres!$A$1:$I$89,3,0)*0.475*44/12</f>
        <v>0.13884264233413993</v>
      </c>
      <c r="DH197" s="23">
        <f>EXP(-LN(2)/2)*DH196+(1-EXP(-LN(2)/2))/(LN(2)/2)*DB197*DE197*VLOOKUP('Données projet'!$B$13,Paramètres!$A$1:$I$89,3,0)*0.475*44/12</f>
        <v>0</v>
      </c>
      <c r="DI197" s="24">
        <f t="shared" si="175"/>
        <v>5.0349153124953769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5.6843418860808015E-14</v>
      </c>
      <c r="DP197" s="18">
        <f>DO197*VLOOKUP('Données projet'!$B$14,Paramètres!$A$1:$I$89,3,0)*VLOOKUP('Données projet'!$B$14,Paramètres!$A$1:$I$89,5,0)</f>
        <v>5.4092197387944907E-14</v>
      </c>
      <c r="DQ197" s="14">
        <f t="shared" si="176"/>
        <v>8.7287050538073676E-13</v>
      </c>
      <c r="DR197" s="22">
        <f t="shared" si="177"/>
        <v>1.6144600406554537E-12</v>
      </c>
      <c r="DS197" s="62">
        <f t="shared" si="197"/>
        <v>290.25878253422133</v>
      </c>
      <c r="DT197" s="62">
        <f ca="1">AVERAGE(OFFSET($DS$3,0,0,'Données projet'!$E$14+1,1))-AVERAGE(OFFSET($H$3,0,0,'Données projet'!$E$14+1,1))</f>
        <v>364.63161066507769</v>
      </c>
      <c r="DU197" s="62">
        <f t="shared" ref="DU197:DU203" si="209">$DU$3</f>
        <v>355.44729904860708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>
        <f>EXP(-LN(2)/35)*EA196+(1-EXP(-LN(2)/35))/(LN(2)/35)*DW197*DX197*VLOOKUP('Données projet'!$B$14,Paramètres!$A$1:$I$89,3,0)*0.475*44/12</f>
        <v>13.881013208140205</v>
      </c>
      <c r="EB197" s="23">
        <f>EXP(-LN(2)/25)*EB196+(1-EXP(-LN(2)/25))/(LN(2)/25)*Calculateur!DW197*Calculateur!DY197*VLOOKUP('Données projet'!$B$14,Paramètres!$A$1:$I$89,3,0)*0.475*44/12</f>
        <v>0</v>
      </c>
      <c r="EC197" s="23">
        <f>EXP(-LN(2)/2)*EC196+(1-EXP(-LN(2)/2))/(LN(2)/2)*DW197*DZ197*VLOOKUP('Données projet'!$B$14,Paramètres!$A$1:$I$89,3,0)*0.475*44/12</f>
        <v>0</v>
      </c>
      <c r="ED197" s="24">
        <f t="shared" si="178"/>
        <v>13.881013208140205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5.6843418860808015E-14</v>
      </c>
      <c r="EK197" s="18">
        <f>EJ197*VLOOKUP('Données projet'!$B$15,Paramètres!$A$1:$I$89,3,0)*VLOOKUP('Données projet'!$B$15,Paramètres!$A$1:$I$89,5,0)</f>
        <v>4.1677594708744434E-14</v>
      </c>
      <c r="EL197" s="14">
        <f t="shared" si="179"/>
        <v>6.9326303456159188E-13</v>
      </c>
      <c r="EM197" s="22">
        <f t="shared" si="180"/>
        <v>1.2800215959791691E-12</v>
      </c>
      <c r="EN197" s="62">
        <f t="shared" si="198"/>
        <v>290.25878253422104</v>
      </c>
      <c r="EO197" s="62">
        <f ca="1">AVERAGE(OFFSET($EN$3,0,0,'Données projet'!$E$15+1,1))-AVERAGE(OFFSET($H$3,0,0,'Données projet'!$E$15+1,1))</f>
        <v>293.59366973965774</v>
      </c>
      <c r="EP197" s="62">
        <f t="shared" ref="EP197:EP203" si="210">$EP$3</f>
        <v>288.13804536120426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>
        <f>EXP(-LN(2)/35)*EV196+(1-EXP(-LN(2)/35))/(LN(2)/35)*ER197*ES197*VLOOKUP('Données projet'!$B$15,Paramètres!$A$1:$I$89,3,0)*0.475*44/12</f>
        <v>10.695206898075229</v>
      </c>
      <c r="EW197" s="23">
        <f>EXP(-LN(2)/25)*EW196+(1-EXP(-LN(2)/25))/(LN(2)/25)*Calculateur!ER197*Calculateur!ET197*VLOOKUP('Données projet'!$B$15,Paramètres!$A$1:$I$89,3,0)*0.475*44/12</f>
        <v>0</v>
      </c>
      <c r="EX197" s="23">
        <f>EXP(-LN(2)/2)*EX196+(1-EXP(-LN(2)/2))/(LN(2)/2)*ER197*EU197*VLOOKUP('Données projet'!$B$15,Paramètres!$A$1:$I$89,3,0)*0.475*44/12</f>
        <v>0</v>
      </c>
      <c r="EY197" s="24">
        <f t="shared" si="181"/>
        <v>10.695206898075229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5.6843418860808015E-14</v>
      </c>
      <c r="FF197" s="18">
        <f>FE197*VLOOKUP('Données projet'!$B$16,Paramètres!$A$1:$I$89,3,0)*VLOOKUP('Données projet'!$B$16,Paramètres!$A$1:$I$89,5,0)</f>
        <v>5.4978954722173515E-14</v>
      </c>
      <c r="FG197" s="14">
        <f t="shared" si="182"/>
        <v>8.8550225887742724E-13</v>
      </c>
      <c r="FH197" s="22">
        <f t="shared" si="183"/>
        <v>1.6380047803526383E-12</v>
      </c>
      <c r="FI197" s="62">
        <f t="shared" si="199"/>
        <v>290.25878253422138</v>
      </c>
      <c r="FJ197" s="62">
        <f ca="1">AVERAGE(OFFSET($FI$3,0,0,'Données projet'!$E$16+1,1))-AVERAGE(OFFSET($H$3,0,0,'Données projet'!$E$16+1,1))</f>
        <v>369.69145521630799</v>
      </c>
      <c r="FK197" s="62">
        <f t="shared" ref="FK197:FK203" si="211">$FK$3</f>
        <v>360.24112103688719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>
        <f>EXP(-LN(2)/35)*FQ196+(1-EXP(-LN(2)/35))/(LN(2)/35)*FM197*FN197*VLOOKUP('Données projet'!$B$16,Paramètres!$A$1:$I$89,3,0)*0.475*44/12</f>
        <v>14.108570801716271</v>
      </c>
      <c r="FR197" s="23">
        <f>EXP(-LN(2)/25)*FR196+(1-EXP(-LN(2)/25))/(LN(2)/25)*Calculateur!FM197*Calculateur!FO197*VLOOKUP('Données projet'!$B$16,Paramètres!$A$1:$I$89,3,0)*0.475*44/12</f>
        <v>0</v>
      </c>
      <c r="FS197" s="23">
        <f>EXP(-LN(2)/2)*FS196+(1-EXP(-LN(2)/2))/(LN(2)/2)*FM197*FP197*VLOOKUP('Données projet'!$B$16,Paramètres!$A$1:$I$89,3,0)*0.475*44/12</f>
        <v>0</v>
      </c>
      <c r="FT197" s="24">
        <f t="shared" si="184"/>
        <v>14.108570801716271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5.6843418860808015E-14</v>
      </c>
      <c r="GA197" s="18">
        <f>FZ197*VLOOKUP('Données projet'!$B$17,Paramètres!$A$1:$I$89,3,0)*VLOOKUP('Données projet'!$B$17,Paramètres!$A$1:$I$89,5,0)</f>
        <v>6.1186256061773749E-14</v>
      </c>
      <c r="GB197" s="14">
        <f t="shared" si="185"/>
        <v>9.7328366192051127E-13</v>
      </c>
      <c r="GC197" s="22">
        <f t="shared" si="186"/>
        <v>1.8017017738191463E-12</v>
      </c>
      <c r="GD197" s="62">
        <f t="shared" si="200"/>
        <v>290.25878253422155</v>
      </c>
      <c r="GE197" s="62">
        <f ca="1">AVERAGE(OFFSET($GD$3,0,0,'Données projet'!$E$17+1,1))-AVERAGE(OFFSET($H$3,0,0,'Données projet'!$E$17+1,1))</f>
        <v>405.06394904053946</v>
      </c>
      <c r="GF197" s="62">
        <f t="shared" ref="GF197:GF203" si="212">$GF$3</f>
        <v>393.75247087518198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>
        <f>EXP(-LN(2)/35)*GL196+(1-EXP(-LN(2)/35))/(LN(2)/35)*GH197*GI197*VLOOKUP('Données projet'!$B$17,Paramètres!$A$1:$I$89,3,0)*0.475*44/12</f>
        <v>15.701473956748741</v>
      </c>
      <c r="GM197" s="23">
        <f>EXP(-LN(2)/25)*GM196+(1-EXP(-LN(2)/25))/(LN(2)/25)*Calculateur!GH197*Calculateur!GJ197*VLOOKUP('Données projet'!$B$17,Paramètres!$A$1:$I$89,3,0)*0.475*44/12</f>
        <v>0</v>
      </c>
      <c r="GN197" s="23">
        <f>EXP(-LN(2)/2)*GN196+(1-EXP(-LN(2)/2))/(LN(2)/2)*GH197*GK197*VLOOKUP('Données projet'!$B$17,Paramètres!$A$1:$I$89,3,0)*0.475*44/12</f>
        <v>0</v>
      </c>
      <c r="GO197" s="23">
        <f t="shared" si="187"/>
        <v>15.701473956748741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5.6843418860808015E-14</v>
      </c>
      <c r="GV197" s="18">
        <f>GU197*VLOOKUP('Données projet'!$B$18,Paramètres!$A$1:$I$89,3,0)*VLOOKUP('Données projet'!$B$18,Paramètres!$A$1:$I$89,5,0)</f>
        <v>3.813056537183002E-14</v>
      </c>
      <c r="GW197" s="14">
        <f t="shared" si="188"/>
        <v>6.4086286045526829E-13</v>
      </c>
      <c r="GX197" s="22">
        <f t="shared" si="189"/>
        <v>1.1825802166488628E-12</v>
      </c>
      <c r="GY197" s="62">
        <f t="shared" si="201"/>
        <v>290.25878253422093</v>
      </c>
      <c r="GZ197" s="62">
        <f ca="1">AVERAGE(OFFSET($GY$3,0,0,'Données projet'!$E$18+1,1))-AVERAGE(OFFSET($H$3,0,0,'Données projet'!$E$18+1,1))</f>
        <v>273.21861937609918</v>
      </c>
      <c r="HA197" s="62">
        <f t="shared" ref="HA197:HA203" si="213">$HA$3</f>
        <v>268.83004886965318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>
        <f>EXP(-LN(2)/35)*HG196+(1-EXP(-LN(2)/35))/(LN(2)/35)*HC197*HD197*VLOOKUP('Données projet'!$B$18,Paramètres!$A$1:$I$89,3,0)*0.475*44/12</f>
        <v>12.060552459531648</v>
      </c>
      <c r="HH197" s="23">
        <f>EXP(-LN(2)/25)*HH196+(1-EXP(-LN(2)/25))/(LN(2)/25)*Calculateur!HC197*Calculateur!HE197*VLOOKUP('Données projet'!$B$18,Paramètres!$A$1:$I$89,3,0)*0.475*44/12</f>
        <v>0</v>
      </c>
      <c r="HI197" s="23">
        <f>EXP(-LN(2)/2)*HI196+(1-EXP(-LN(2)/2))/(LN(2)/2)*HC197*HF197*VLOOKUP('Données projet'!$B$18,Paramètres!$A$1:$I$89,3,0)*0.475*44/12</f>
        <v>0</v>
      </c>
      <c r="HJ197" s="24">
        <f t="shared" si="190"/>
        <v>12.060552459531648</v>
      </c>
    </row>
    <row r="198" spans="1:218" x14ac:dyDescent="0.4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-178.57392686804454</v>
      </c>
      <c r="O198" s="14">
        <f>N198*VLOOKUP('Données projet'!$B$9,Paramètres!$A$1:$I$89,3,0)*VLOOKUP('Données projet'!$B$9,Paramètres!$A$1:$I$89,5,0)</f>
        <v>-161.57368903020668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432.80275651765203</v>
      </c>
      <c r="T198" s="62">
        <f t="shared" si="204"/>
        <v>203.89279893419919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144.97251137091968</v>
      </c>
      <c r="AA198" s="23">
        <f>EXP(-LN(2)/25)*AA197+(1-EXP(-LN(2)/25))/(LN(2)/25)*Calculateur!V198*Calculateur!X198*VLOOKUP('Données projet'!$B$9,Paramètres!$A$1:$I$89,3,0)*0.475*44/12</f>
        <v>15.460687203888064</v>
      </c>
      <c r="AB198" s="23">
        <f>EXP(-LN(2)/2)*AB197+(1-EXP(-LN(2)/2))/(LN(2)/2)*V198*Y198*VLOOKUP('Données projet'!$B$9,Paramètres!$A$1:$I$89,3,0)*0.475*44/12</f>
        <v>0</v>
      </c>
      <c r="AC198" s="24">
        <f t="shared" si="163"/>
        <v>160.43319857480773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54.000000000000341</v>
      </c>
      <c r="AJ198" s="14">
        <f>AI198*VLOOKUP('Données projet'!$B$10,Paramètres!$A$1:$I$89,3,0)*VLOOKUP('Données projet'!$B$10,Paramètres!$A$1:$I$89,5,0)</f>
        <v>23.868000000000151</v>
      </c>
      <c r="AK198" s="14">
        <f t="shared" si="164"/>
        <v>7.6030930962115804</v>
      </c>
      <c r="AL198" s="22">
        <f t="shared" si="165"/>
        <v>54.812153809235433</v>
      </c>
      <c r="AM198" s="62">
        <f t="shared" si="193"/>
        <v>345.12427292615394</v>
      </c>
      <c r="AN198" s="62">
        <f ca="1">AVERAGE(OFFSET($AM$3,0,0,'Données projet'!$E$10+1,1))-AVERAGE(OFFSET($H$3,0,0,'Données projet'!$E$10+1,1))</f>
        <v>413.08876898406481</v>
      </c>
      <c r="AO198" s="62">
        <f t="shared" si="205"/>
        <v>520.31320932826566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18.95957167196644</v>
      </c>
      <c r="AV198" s="23">
        <f>EXP(-LN(2)/25)*AV197+(1-EXP(-LN(2)/25))/(LN(2)/25)*Calculateur!AQ198*Calculateur!AS198*VLOOKUP('Données projet'!$B$10,Paramètres!$A$1:$I$89,3,0)*0.475*44/12</f>
        <v>0.47788089642379156</v>
      </c>
      <c r="AW198" s="23">
        <f>EXP(-LN(2)/2)*AW197+(1-EXP(-LN(2)/2))/(LN(2)/2)*AQ198*AT198*VLOOKUP('Données projet'!$B$10,Paramètres!$A$1:$I$89,3,0)*0.475*44/12</f>
        <v>1.0662343729441319E-22</v>
      </c>
      <c r="AX198" s="23">
        <f t="shared" si="166"/>
        <v>19.437452568390231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54.000000000000341</v>
      </c>
      <c r="BE198" s="14">
        <f>BD198*VLOOKUP('Données projet'!$B$11,Paramètres!$A$1:$I$89,3,0)*VLOOKUP('Données projet'!$B$11,Paramètres!$A$1:$I$89,5,0)</f>
        <v>30.186000000000188</v>
      </c>
      <c r="BF198" s="14">
        <f t="shared" si="167"/>
        <v>9.3563888882899153</v>
      </c>
      <c r="BG198" s="22">
        <f t="shared" si="168"/>
        <v>68.869660647105263</v>
      </c>
      <c r="BH198" s="62">
        <f t="shared" si="194"/>
        <v>359.18177976402376</v>
      </c>
      <c r="BI198" s="62">
        <f ca="1">AVERAGE(OFFSET($BH$3,0,0,'Données projet'!$E$11+1,1))-AVERAGE(OFFSET($H$3,0,0,'Données projet'!$E$11+1,1))</f>
        <v>507.66185230065889</v>
      </c>
      <c r="BJ198" s="62">
        <f t="shared" si="206"/>
        <v>640.14375617778342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23.978281820428112</v>
      </c>
      <c r="BQ198" s="23">
        <f>EXP(-LN(2)/25)*BQ197+(1-EXP(-LN(2)/25))/(LN(2)/25)*Calculateur!BL198*Calculateur!BN198*VLOOKUP('Données projet'!$B$11,Paramètres!$A$1:$I$89,3,0)*0.475*44/12</f>
        <v>0.60437878077126639</v>
      </c>
      <c r="BR198" s="23">
        <f>EXP(-LN(2)/2)*BR197+(1-EXP(-LN(2)/2))/(LN(2)/2)*BL198*BO198*VLOOKUP('Données projet'!$B$11,Paramètres!$A$1:$I$89,3,0)*0.475*44/12</f>
        <v>1.3484728834293442E-22</v>
      </c>
      <c r="BS198" s="24">
        <f t="shared" si="169"/>
        <v>24.582660601199379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417.04879970000007</v>
      </c>
      <c r="BZ198" s="14">
        <f>BY198*VLOOKUP('Données projet'!$B$12,Paramètres!$A$1:$I$89,3,0)*VLOOKUP('Données projet'!$B$12,Paramètres!$A$1:$I$89,5,0)</f>
        <v>195.17883825960004</v>
      </c>
      <c r="CA198" s="14">
        <f t="shared" si="170"/>
        <v>48.683122291673484</v>
      </c>
      <c r="CB198" s="22">
        <f t="shared" si="171"/>
        <v>424.72624796013469</v>
      </c>
      <c r="CC198" s="62">
        <f t="shared" si="195"/>
        <v>715.03836707705318</v>
      </c>
      <c r="CD198" s="62">
        <f ca="1">AVERAGE(OFFSET($CC$3,0,0,'Données projet'!$E$12+1,1))-AVERAGE(OFFSET($H$3,0,0,'Données projet'!$E$12+1,1))</f>
        <v>289.21044803824958</v>
      </c>
      <c r="CE198" s="62">
        <f t="shared" si="207"/>
        <v>196.11836398299445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>
        <f>EXP(-LN(2)/35)*CK197+(1-EXP(-LN(2)/35))/(LN(2)/35)*CG198*CH198*VLOOKUP('Données projet'!$B$12,Paramètres!$A$1:$I$89,3,0)*0.475*44/12</f>
        <v>10.494561731125081</v>
      </c>
      <c r="CL198" s="23">
        <f>EXP(-LN(2)/25)*CL197+(1-EXP(-LN(2)/25))/(LN(2)/25)*Calculateur!CG198*Calculateur!CI198*VLOOKUP('Données projet'!$B$12,Paramètres!$A$1:$I$89,3,0)*0.475*44/12</f>
        <v>2.3016382618483444</v>
      </c>
      <c r="CM198" s="23">
        <f>EXP(-LN(2)/2)*CM197+(1-EXP(-LN(2)/2))/(LN(2)/2)*CG198*CJ198*VLOOKUP('Données projet'!$B$12,Paramètres!$A$1:$I$89,3,0)*0.475*44/12</f>
        <v>0</v>
      </c>
      <c r="CN198" s="24">
        <f t="shared" si="172"/>
        <v>12.796199992973426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-5.6843418860808015E-14</v>
      </c>
      <c r="CU198" s="18">
        <f>CT198*VLOOKUP('Données projet'!$B$13,Paramètres!$A$1:$I$89,3,0)*VLOOKUP('Données projet'!$B$13,Paramètres!$A$1:$I$89,5,0)</f>
        <v>-5.1431925385259088E-14</v>
      </c>
      <c r="CV198" s="14" t="e">
        <f t="shared" si="173"/>
        <v>#NUM!</v>
      </c>
      <c r="CW198" s="22" t="e">
        <f t="shared" si="174"/>
        <v>#NUM!</v>
      </c>
      <c r="CX198" s="62" t="e">
        <f t="shared" si="196"/>
        <v>#NUM!</v>
      </c>
      <c r="CY198" s="62">
        <f ca="1">AVERAGE(OFFSET($CX$3,0,0,'Données projet'!$E$13+1,1))-AVERAGE(OFFSET($H$3,0,0,'Données projet'!$E$13+1,1))</f>
        <v>376.68007030857598</v>
      </c>
      <c r="CZ198" s="62">
        <f t="shared" si="208"/>
        <v>532.90758914457626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>
        <f>EXP(-LN(2)/35)*DF197+(1-EXP(-LN(2)/35))/(LN(2)/35)*DB198*DC198*VLOOKUP('Données projet'!$B$13,Paramètres!$A$1:$I$89,3,0)*0.475*44/12</f>
        <v>4.8000636714088305</v>
      </c>
      <c r="DG198" s="23">
        <f>EXP(-LN(2)/25)*DG197+(1-EXP(-LN(2)/25))/(LN(2)/25)*Calculateur!DB198*Calculateur!DD198*VLOOKUP('Données projet'!$B$13,Paramètres!$A$1:$I$89,3,0)*0.475*44/12</f>
        <v>0.13504598297809564</v>
      </c>
      <c r="DH198" s="23">
        <f>EXP(-LN(2)/2)*DH197+(1-EXP(-LN(2)/2))/(LN(2)/2)*DB198*DE198*VLOOKUP('Données projet'!$B$13,Paramètres!$A$1:$I$89,3,0)*0.475*44/12</f>
        <v>0</v>
      </c>
      <c r="DI198" s="24">
        <f t="shared" si="175"/>
        <v>4.9351096543869257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5.6843418860808015E-14</v>
      </c>
      <c r="DP198" s="18">
        <f>DO198*VLOOKUP('Données projet'!$B$14,Paramètres!$A$1:$I$89,3,0)*VLOOKUP('Données projet'!$B$14,Paramètres!$A$1:$I$89,5,0)</f>
        <v>5.4092197387944907E-14</v>
      </c>
      <c r="DQ198" s="14">
        <f t="shared" si="176"/>
        <v>8.7287050538073676E-13</v>
      </c>
      <c r="DR198" s="22">
        <f t="shared" si="177"/>
        <v>1.6144600406554537E-12</v>
      </c>
      <c r="DS198" s="62">
        <f t="shared" si="197"/>
        <v>290.31211911692009</v>
      </c>
      <c r="DT198" s="62">
        <f ca="1">AVERAGE(OFFSET($DS$3,0,0,'Données projet'!$E$14+1,1))-AVERAGE(OFFSET($H$3,0,0,'Données projet'!$E$14+1,1))</f>
        <v>364.63161066507769</v>
      </c>
      <c r="DU198" s="62">
        <f t="shared" si="209"/>
        <v>355.44729904860708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>
        <f>EXP(-LN(2)/35)*EA197+(1-EXP(-LN(2)/35))/(LN(2)/35)*DW198*DX198*VLOOKUP('Données projet'!$B$14,Paramètres!$A$1:$I$89,3,0)*0.475*44/12</f>
        <v>13.608815005710627</v>
      </c>
      <c r="EB198" s="23">
        <f>EXP(-LN(2)/25)*EB197+(1-EXP(-LN(2)/25))/(LN(2)/25)*Calculateur!DW198*Calculateur!DY198*VLOOKUP('Données projet'!$B$14,Paramètres!$A$1:$I$89,3,0)*0.475*44/12</f>
        <v>0</v>
      </c>
      <c r="EC198" s="23">
        <f>EXP(-LN(2)/2)*EC197+(1-EXP(-LN(2)/2))/(LN(2)/2)*DW198*DZ198*VLOOKUP('Données projet'!$B$14,Paramètres!$A$1:$I$89,3,0)*0.475*44/12</f>
        <v>0</v>
      </c>
      <c r="ED198" s="24">
        <f t="shared" si="178"/>
        <v>13.608815005710627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5.6843418860808015E-14</v>
      </c>
      <c r="EK198" s="18">
        <f>EJ198*VLOOKUP('Données projet'!$B$15,Paramètres!$A$1:$I$89,3,0)*VLOOKUP('Données projet'!$B$15,Paramètres!$A$1:$I$89,5,0)</f>
        <v>4.1677594708744434E-14</v>
      </c>
      <c r="EL198" s="14">
        <f t="shared" si="179"/>
        <v>6.9326303456159188E-13</v>
      </c>
      <c r="EM198" s="22">
        <f t="shared" si="180"/>
        <v>1.2800215959791691E-12</v>
      </c>
      <c r="EN198" s="62">
        <f t="shared" si="198"/>
        <v>290.3121191169198</v>
      </c>
      <c r="EO198" s="62">
        <f ca="1">AVERAGE(OFFSET($EN$3,0,0,'Données projet'!$E$15+1,1))-AVERAGE(OFFSET($H$3,0,0,'Données projet'!$E$15+1,1))</f>
        <v>293.59366973965774</v>
      </c>
      <c r="EP198" s="62">
        <f t="shared" si="210"/>
        <v>288.13804536120426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>
        <f>EXP(-LN(2)/35)*EV197+(1-EXP(-LN(2)/35))/(LN(2)/35)*ER198*ES198*VLOOKUP('Données projet'!$B$15,Paramètres!$A$1:$I$89,3,0)*0.475*44/12</f>
        <v>10.485480414236045</v>
      </c>
      <c r="EW198" s="23">
        <f>EXP(-LN(2)/25)*EW197+(1-EXP(-LN(2)/25))/(LN(2)/25)*Calculateur!ER198*Calculateur!ET198*VLOOKUP('Données projet'!$B$15,Paramètres!$A$1:$I$89,3,0)*0.475*44/12</f>
        <v>0</v>
      </c>
      <c r="EX198" s="23">
        <f>EXP(-LN(2)/2)*EX197+(1-EXP(-LN(2)/2))/(LN(2)/2)*ER198*EU198*VLOOKUP('Données projet'!$B$15,Paramètres!$A$1:$I$89,3,0)*0.475*44/12</f>
        <v>0</v>
      </c>
      <c r="EY198" s="24">
        <f t="shared" si="181"/>
        <v>10.485480414236045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5.6843418860808015E-14</v>
      </c>
      <c r="FF198" s="18">
        <f>FE198*VLOOKUP('Données projet'!$B$16,Paramètres!$A$1:$I$89,3,0)*VLOOKUP('Données projet'!$B$16,Paramètres!$A$1:$I$89,5,0)</f>
        <v>5.4978954722173515E-14</v>
      </c>
      <c r="FG198" s="14">
        <f t="shared" si="182"/>
        <v>8.8550225887742724E-13</v>
      </c>
      <c r="FH198" s="22">
        <f t="shared" si="183"/>
        <v>1.6380047803526383E-12</v>
      </c>
      <c r="FI198" s="62">
        <f t="shared" si="199"/>
        <v>290.31211911692014</v>
      </c>
      <c r="FJ198" s="62">
        <f ca="1">AVERAGE(OFFSET($FI$3,0,0,'Données projet'!$E$16+1,1))-AVERAGE(OFFSET($H$3,0,0,'Données projet'!$E$16+1,1))</f>
        <v>369.69145521630799</v>
      </c>
      <c r="FK198" s="62">
        <f t="shared" si="211"/>
        <v>360.24112103688719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>
        <f>EXP(-LN(2)/35)*FQ197+(1-EXP(-LN(2)/35))/(LN(2)/35)*FM198*FN198*VLOOKUP('Données projet'!$B$16,Paramètres!$A$1:$I$89,3,0)*0.475*44/12</f>
        <v>13.831910333673093</v>
      </c>
      <c r="FR198" s="23">
        <f>EXP(-LN(2)/25)*FR197+(1-EXP(-LN(2)/25))/(LN(2)/25)*Calculateur!FM198*Calculateur!FO198*VLOOKUP('Données projet'!$B$16,Paramètres!$A$1:$I$89,3,0)*0.475*44/12</f>
        <v>0</v>
      </c>
      <c r="FS198" s="23">
        <f>EXP(-LN(2)/2)*FS197+(1-EXP(-LN(2)/2))/(LN(2)/2)*FM198*FP198*VLOOKUP('Données projet'!$B$16,Paramètres!$A$1:$I$89,3,0)*0.475*44/12</f>
        <v>0</v>
      </c>
      <c r="FT198" s="24">
        <f t="shared" si="184"/>
        <v>13.831910333673093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5.6843418860808015E-14</v>
      </c>
      <c r="GA198" s="18">
        <f>FZ198*VLOOKUP('Données projet'!$B$17,Paramètres!$A$1:$I$89,3,0)*VLOOKUP('Données projet'!$B$17,Paramètres!$A$1:$I$89,5,0)</f>
        <v>6.1186256061773749E-14</v>
      </c>
      <c r="GB198" s="14">
        <f t="shared" si="185"/>
        <v>9.7328366192051127E-13</v>
      </c>
      <c r="GC198" s="22">
        <f t="shared" si="186"/>
        <v>1.8017017738191463E-12</v>
      </c>
      <c r="GD198" s="62">
        <f t="shared" si="200"/>
        <v>290.31211911692031</v>
      </c>
      <c r="GE198" s="62">
        <f ca="1">AVERAGE(OFFSET($GD$3,0,0,'Données projet'!$E$17+1,1))-AVERAGE(OFFSET($H$3,0,0,'Données projet'!$E$17+1,1))</f>
        <v>405.06394904053946</v>
      </c>
      <c r="GF198" s="62">
        <f t="shared" si="212"/>
        <v>393.75247087518198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>
        <f>EXP(-LN(2)/35)*GL197+(1-EXP(-LN(2)/35))/(LN(2)/35)*GH198*GI198*VLOOKUP('Données projet'!$B$17,Paramètres!$A$1:$I$89,3,0)*0.475*44/12</f>
        <v>15.393577629410366</v>
      </c>
      <c r="GM198" s="23">
        <f>EXP(-LN(2)/25)*GM197+(1-EXP(-LN(2)/25))/(LN(2)/25)*Calculateur!GH198*Calculateur!GJ198*VLOOKUP('Données projet'!$B$17,Paramètres!$A$1:$I$89,3,0)*0.475*44/12</f>
        <v>0</v>
      </c>
      <c r="GN198" s="23">
        <f>EXP(-LN(2)/2)*GN197+(1-EXP(-LN(2)/2))/(LN(2)/2)*GH198*GK198*VLOOKUP('Données projet'!$B$17,Paramètres!$A$1:$I$89,3,0)*0.475*44/12</f>
        <v>0</v>
      </c>
      <c r="GO198" s="23">
        <f t="shared" si="187"/>
        <v>15.393577629410366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5.6843418860808015E-14</v>
      </c>
      <c r="GV198" s="18">
        <f>GU198*VLOOKUP('Données projet'!$B$18,Paramètres!$A$1:$I$89,3,0)*VLOOKUP('Données projet'!$B$18,Paramètres!$A$1:$I$89,5,0)</f>
        <v>3.813056537183002E-14</v>
      </c>
      <c r="GW198" s="14">
        <f t="shared" si="188"/>
        <v>6.4086286045526829E-13</v>
      </c>
      <c r="GX198" s="22">
        <f t="shared" si="189"/>
        <v>1.1825802166488628E-12</v>
      </c>
      <c r="GY198" s="62">
        <f t="shared" si="201"/>
        <v>290.31211911691969</v>
      </c>
      <c r="GZ198" s="62">
        <f ca="1">AVERAGE(OFFSET($GY$3,0,0,'Données projet'!$E$18+1,1))-AVERAGE(OFFSET($H$3,0,0,'Données projet'!$E$18+1,1))</f>
        <v>273.21861937609918</v>
      </c>
      <c r="HA198" s="62">
        <f t="shared" si="213"/>
        <v>268.83004886965318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>
        <f>EXP(-LN(2)/35)*HG197+(1-EXP(-LN(2)/35))/(LN(2)/35)*HC198*HD198*VLOOKUP('Données projet'!$B$18,Paramètres!$A$1:$I$89,3,0)*0.475*44/12</f>
        <v>11.824052382010867</v>
      </c>
      <c r="HH198" s="23">
        <f>EXP(-LN(2)/25)*HH197+(1-EXP(-LN(2)/25))/(LN(2)/25)*Calculateur!HC198*Calculateur!HE198*VLOOKUP('Données projet'!$B$18,Paramètres!$A$1:$I$89,3,0)*0.475*44/12</f>
        <v>0</v>
      </c>
      <c r="HI198" s="23">
        <f>EXP(-LN(2)/2)*HI197+(1-EXP(-LN(2)/2))/(LN(2)/2)*HC198*HF198*VLOOKUP('Données projet'!$B$18,Paramètres!$A$1:$I$89,3,0)*0.475*44/12</f>
        <v>0</v>
      </c>
      <c r="HJ198" s="24">
        <f t="shared" si="190"/>
        <v>11.824052382010867</v>
      </c>
    </row>
    <row r="199" spans="1:218" x14ac:dyDescent="0.4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-178.57392686804454</v>
      </c>
      <c r="O199" s="14">
        <f>N199*VLOOKUP('Données projet'!$B$9,Paramètres!$A$1:$I$89,3,0)*VLOOKUP('Données projet'!$B$9,Paramètres!$A$1:$I$89,5,0)</f>
        <v>-161.57368903020668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432.80275651765203</v>
      </c>
      <c r="T199" s="62">
        <f t="shared" si="204"/>
        <v>203.89279893419919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142.12968884743668</v>
      </c>
      <c r="AA199" s="23">
        <f>EXP(-LN(2)/25)*AA198+(1-EXP(-LN(2)/25))/(LN(2)/25)*Calculateur!V199*Calculateur!X199*VLOOKUP('Données projet'!$B$9,Paramètres!$A$1:$I$89,3,0)*0.475*44/12</f>
        <v>15.037913899255541</v>
      </c>
      <c r="AB199" s="23">
        <f>EXP(-LN(2)/2)*AB198+(1-EXP(-LN(2)/2))/(LN(2)/2)*V199*Y199*VLOOKUP('Données projet'!$B$9,Paramètres!$A$1:$I$89,3,0)*0.475*44/12</f>
        <v>0</v>
      </c>
      <c r="AC199" s="24">
        <f t="shared" si="163"/>
        <v>157.16760274669221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54.000000000000341</v>
      </c>
      <c r="AJ199" s="14">
        <f>AI199*VLOOKUP('Données projet'!$B$10,Paramètres!$A$1:$I$89,3,0)*VLOOKUP('Données projet'!$B$10,Paramètres!$A$1:$I$89,5,0)</f>
        <v>23.868000000000151</v>
      </c>
      <c r="AK199" s="14">
        <f t="shared" si="164"/>
        <v>7.6030930962115804</v>
      </c>
      <c r="AL199" s="22">
        <f t="shared" si="165"/>
        <v>54.812153809235433</v>
      </c>
      <c r="AM199" s="62">
        <f t="shared" si="193"/>
        <v>345.17668423838563</v>
      </c>
      <c r="AN199" s="62">
        <f ca="1">AVERAGE(OFFSET($AM$3,0,0,'Données projet'!$E$10+1,1))-AVERAGE(OFFSET($H$3,0,0,'Données projet'!$E$10+1,1))</f>
        <v>413.08876898406481</v>
      </c>
      <c r="AO199" s="62">
        <f t="shared" si="205"/>
        <v>520.31320932826566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18.587786035676029</v>
      </c>
      <c r="AV199" s="23">
        <f>EXP(-LN(2)/25)*AV198+(1-EXP(-LN(2)/25))/(LN(2)/25)*Calculateur!AQ199*Calculateur!AS199*VLOOKUP('Données projet'!$B$10,Paramètres!$A$1:$I$89,3,0)*0.475*44/12</f>
        <v>0.46481321818041882</v>
      </c>
      <c r="AW199" s="23">
        <f>EXP(-LN(2)/2)*AW198+(1-EXP(-LN(2)/2))/(LN(2)/2)*AQ199*AT199*VLOOKUP('Données projet'!$B$10,Paramètres!$A$1:$I$89,3,0)*0.475*44/12</f>
        <v>7.5394155544298203E-23</v>
      </c>
      <c r="AX199" s="23">
        <f t="shared" si="166"/>
        <v>19.052599253856446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54.000000000000341</v>
      </c>
      <c r="BE199" s="14">
        <f>BD199*VLOOKUP('Données projet'!$B$11,Paramètres!$A$1:$I$89,3,0)*VLOOKUP('Données projet'!$B$11,Paramètres!$A$1:$I$89,5,0)</f>
        <v>30.186000000000188</v>
      </c>
      <c r="BF199" s="14">
        <f t="shared" si="167"/>
        <v>9.3563888882899153</v>
      </c>
      <c r="BG199" s="22">
        <f t="shared" si="168"/>
        <v>68.869660647105263</v>
      </c>
      <c r="BH199" s="62">
        <f t="shared" si="194"/>
        <v>359.23419107625546</v>
      </c>
      <c r="BI199" s="62">
        <f ca="1">AVERAGE(OFFSET($BH$3,0,0,'Données projet'!$E$11+1,1))-AVERAGE(OFFSET($H$3,0,0,'Données projet'!$E$11+1,1))</f>
        <v>507.66185230065889</v>
      </c>
      <c r="BJ199" s="62">
        <f t="shared" si="206"/>
        <v>640.14375617778342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23.508082339237298</v>
      </c>
      <c r="BQ199" s="23">
        <f>EXP(-LN(2)/25)*BQ198+(1-EXP(-LN(2)/25))/(LN(2)/25)*Calculateur!BL199*Calculateur!BN199*VLOOKUP('Données projet'!$B$11,Paramètres!$A$1:$I$89,3,0)*0.475*44/12</f>
        <v>0.58785201122817732</v>
      </c>
      <c r="BR199" s="23">
        <f>EXP(-LN(2)/2)*BR198+(1-EXP(-LN(2)/2))/(LN(2)/2)*BL199*BO199*VLOOKUP('Données projet'!$B$11,Paramètres!$A$1:$I$89,3,0)*0.475*44/12</f>
        <v>9.5351432011906614E-23</v>
      </c>
      <c r="BS199" s="24">
        <f t="shared" si="169"/>
        <v>24.095934350465477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417.04879970000007</v>
      </c>
      <c r="BZ199" s="14">
        <f>BY199*VLOOKUP('Données projet'!$B$12,Paramètres!$A$1:$I$89,3,0)*VLOOKUP('Données projet'!$B$12,Paramètres!$A$1:$I$89,5,0)</f>
        <v>195.17883825960004</v>
      </c>
      <c r="CA199" s="14">
        <f t="shared" si="170"/>
        <v>48.683122291673484</v>
      </c>
      <c r="CB199" s="22">
        <f t="shared" si="171"/>
        <v>424.72624796013469</v>
      </c>
      <c r="CC199" s="62">
        <f t="shared" si="195"/>
        <v>715.09077838928488</v>
      </c>
      <c r="CD199" s="62">
        <f ca="1">AVERAGE(OFFSET($CC$3,0,0,'Données projet'!$E$12+1,1))-AVERAGE(OFFSET($H$3,0,0,'Données projet'!$E$12+1,1))</f>
        <v>289.21044803824958</v>
      </c>
      <c r="CE199" s="62">
        <f t="shared" si="207"/>
        <v>196.11836398299445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>
        <f>EXP(-LN(2)/35)*CK198+(1-EXP(-LN(2)/35))/(LN(2)/35)*CG199*CH199*VLOOKUP('Données projet'!$B$12,Paramètres!$A$1:$I$89,3,0)*0.475*44/12</f>
        <v>10.288769776628323</v>
      </c>
      <c r="CL199" s="23">
        <f>EXP(-LN(2)/25)*CL198+(1-EXP(-LN(2)/25))/(LN(2)/25)*Calculateur!CG199*Calculateur!CI199*VLOOKUP('Données projet'!$B$12,Paramètres!$A$1:$I$89,3,0)*0.475*44/12</f>
        <v>2.2386998425402056</v>
      </c>
      <c r="CM199" s="23">
        <f>EXP(-LN(2)/2)*CM198+(1-EXP(-LN(2)/2))/(LN(2)/2)*CG199*CJ199*VLOOKUP('Données projet'!$B$12,Paramètres!$A$1:$I$89,3,0)*0.475*44/12</f>
        <v>0</v>
      </c>
      <c r="CN199" s="24">
        <f t="shared" si="172"/>
        <v>12.527469619168528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-5.6843418860808015E-14</v>
      </c>
      <c r="CU199" s="18">
        <f>CT199*VLOOKUP('Données projet'!$B$13,Paramètres!$A$1:$I$89,3,0)*VLOOKUP('Données projet'!$B$13,Paramètres!$A$1:$I$89,5,0)</f>
        <v>-5.1431925385259088E-14</v>
      </c>
      <c r="CV199" s="14" t="e">
        <f t="shared" si="173"/>
        <v>#NUM!</v>
      </c>
      <c r="CW199" s="22" t="e">
        <f t="shared" si="174"/>
        <v>#NUM!</v>
      </c>
      <c r="CX199" s="62" t="e">
        <f t="shared" si="196"/>
        <v>#NUM!</v>
      </c>
      <c r="CY199" s="62">
        <f ca="1">AVERAGE(OFFSET($CX$3,0,0,'Données projet'!$E$13+1,1))-AVERAGE(OFFSET($H$3,0,0,'Données projet'!$E$13+1,1))</f>
        <v>376.68007030857598</v>
      </c>
      <c r="CZ199" s="62">
        <f t="shared" si="208"/>
        <v>532.90758914457626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>
        <f>EXP(-LN(2)/35)*DF198+(1-EXP(-LN(2)/35))/(LN(2)/35)*DB199*DC199*VLOOKUP('Données projet'!$B$13,Paramètres!$A$1:$I$89,3,0)*0.475*44/12</f>
        <v>4.7059373505622517</v>
      </c>
      <c r="DG199" s="23">
        <f>EXP(-LN(2)/25)*DG198+(1-EXP(-LN(2)/25))/(LN(2)/25)*Calculateur!DB199*Calculateur!DD199*VLOOKUP('Données projet'!$B$13,Paramètres!$A$1:$I$89,3,0)*0.475*44/12</f>
        <v>0.13135314347180002</v>
      </c>
      <c r="DH199" s="23">
        <f>EXP(-LN(2)/2)*DH198+(1-EXP(-LN(2)/2))/(LN(2)/2)*DB199*DE199*VLOOKUP('Données projet'!$B$13,Paramètres!$A$1:$I$89,3,0)*0.475*44/12</f>
        <v>0</v>
      </c>
      <c r="DI199" s="24">
        <f t="shared" si="175"/>
        <v>4.8372904940340513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5.6843418860808015E-14</v>
      </c>
      <c r="DP199" s="18">
        <f>DO199*VLOOKUP('Données projet'!$B$14,Paramètres!$A$1:$I$89,3,0)*VLOOKUP('Données projet'!$B$14,Paramètres!$A$1:$I$89,5,0)</f>
        <v>5.4092197387944907E-14</v>
      </c>
      <c r="DQ199" s="14">
        <f t="shared" si="176"/>
        <v>8.7287050538073676E-13</v>
      </c>
      <c r="DR199" s="22">
        <f t="shared" si="177"/>
        <v>1.6144600406554537E-12</v>
      </c>
      <c r="DS199" s="62">
        <f t="shared" si="197"/>
        <v>290.36453042915178</v>
      </c>
      <c r="DT199" s="62">
        <f ca="1">AVERAGE(OFFSET($DS$3,0,0,'Données projet'!$E$14+1,1))-AVERAGE(OFFSET($H$3,0,0,'Données projet'!$E$14+1,1))</f>
        <v>364.63161066507769</v>
      </c>
      <c r="DU199" s="62">
        <f t="shared" si="209"/>
        <v>355.44729904860708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>
        <f>EXP(-LN(2)/35)*EA198+(1-EXP(-LN(2)/35))/(LN(2)/35)*DW199*DX199*VLOOKUP('Données projet'!$B$14,Paramètres!$A$1:$I$89,3,0)*0.475*44/12</f>
        <v>13.341954444006182</v>
      </c>
      <c r="EB199" s="23">
        <f>EXP(-LN(2)/25)*EB198+(1-EXP(-LN(2)/25))/(LN(2)/25)*Calculateur!DW199*Calculateur!DY199*VLOOKUP('Données projet'!$B$14,Paramètres!$A$1:$I$89,3,0)*0.475*44/12</f>
        <v>0</v>
      </c>
      <c r="EC199" s="23">
        <f>EXP(-LN(2)/2)*EC198+(1-EXP(-LN(2)/2))/(LN(2)/2)*DW199*DZ199*VLOOKUP('Données projet'!$B$14,Paramètres!$A$1:$I$89,3,0)*0.475*44/12</f>
        <v>0</v>
      </c>
      <c r="ED199" s="24">
        <f t="shared" si="178"/>
        <v>13.341954444006182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5.6843418860808015E-14</v>
      </c>
      <c r="EK199" s="18">
        <f>EJ199*VLOOKUP('Données projet'!$B$15,Paramètres!$A$1:$I$89,3,0)*VLOOKUP('Données projet'!$B$15,Paramètres!$A$1:$I$89,5,0)</f>
        <v>4.1677594708744434E-14</v>
      </c>
      <c r="EL199" s="14">
        <f t="shared" si="179"/>
        <v>6.9326303456159188E-13</v>
      </c>
      <c r="EM199" s="22">
        <f t="shared" si="180"/>
        <v>1.2800215959791691E-12</v>
      </c>
      <c r="EN199" s="62">
        <f t="shared" si="198"/>
        <v>290.3645304291515</v>
      </c>
      <c r="EO199" s="62">
        <f ca="1">AVERAGE(OFFSET($EN$3,0,0,'Données projet'!$E$15+1,1))-AVERAGE(OFFSET($H$3,0,0,'Données projet'!$E$15+1,1))</f>
        <v>293.59366973965774</v>
      </c>
      <c r="EP199" s="62">
        <f t="shared" si="210"/>
        <v>288.13804536120426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>
        <f>EXP(-LN(2)/35)*EV198+(1-EXP(-LN(2)/35))/(LN(2)/35)*ER199*ES199*VLOOKUP('Données projet'!$B$15,Paramètres!$A$1:$I$89,3,0)*0.475*44/12</f>
        <v>10.279866538824425</v>
      </c>
      <c r="EW199" s="23">
        <f>EXP(-LN(2)/25)*EW198+(1-EXP(-LN(2)/25))/(LN(2)/25)*Calculateur!ER199*Calculateur!ET199*VLOOKUP('Données projet'!$B$15,Paramètres!$A$1:$I$89,3,0)*0.475*44/12</f>
        <v>0</v>
      </c>
      <c r="EX199" s="23">
        <f>EXP(-LN(2)/2)*EX198+(1-EXP(-LN(2)/2))/(LN(2)/2)*ER199*EU199*VLOOKUP('Données projet'!$B$15,Paramètres!$A$1:$I$89,3,0)*0.475*44/12</f>
        <v>0</v>
      </c>
      <c r="EY199" s="24">
        <f t="shared" si="181"/>
        <v>10.279866538824425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5.6843418860808015E-14</v>
      </c>
      <c r="FF199" s="18">
        <f>FE199*VLOOKUP('Données projet'!$B$16,Paramètres!$A$1:$I$89,3,0)*VLOOKUP('Données projet'!$B$16,Paramètres!$A$1:$I$89,5,0)</f>
        <v>5.4978954722173515E-14</v>
      </c>
      <c r="FG199" s="14">
        <f t="shared" si="182"/>
        <v>8.8550225887742724E-13</v>
      </c>
      <c r="FH199" s="22">
        <f t="shared" si="183"/>
        <v>1.6380047803526383E-12</v>
      </c>
      <c r="FI199" s="62">
        <f t="shared" si="199"/>
        <v>290.36453042915184</v>
      </c>
      <c r="FJ199" s="62">
        <f ca="1">AVERAGE(OFFSET($FI$3,0,0,'Données projet'!$E$16+1,1))-AVERAGE(OFFSET($H$3,0,0,'Données projet'!$E$16+1,1))</f>
        <v>369.69145521630799</v>
      </c>
      <c r="FK199" s="62">
        <f t="shared" si="211"/>
        <v>360.24112103688719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>
        <f>EXP(-LN(2)/35)*FQ198+(1-EXP(-LN(2)/35))/(LN(2)/35)*FM199*FN199*VLOOKUP('Données projet'!$B$16,Paramètres!$A$1:$I$89,3,0)*0.475*44/12</f>
        <v>13.560675008662018</v>
      </c>
      <c r="FR199" s="23">
        <f>EXP(-LN(2)/25)*FR198+(1-EXP(-LN(2)/25))/(LN(2)/25)*Calculateur!FM199*Calculateur!FO199*VLOOKUP('Données projet'!$B$16,Paramètres!$A$1:$I$89,3,0)*0.475*44/12</f>
        <v>0</v>
      </c>
      <c r="FS199" s="23">
        <f>EXP(-LN(2)/2)*FS198+(1-EXP(-LN(2)/2))/(LN(2)/2)*FM199*FP199*VLOOKUP('Données projet'!$B$16,Paramètres!$A$1:$I$89,3,0)*0.475*44/12</f>
        <v>0</v>
      </c>
      <c r="FT199" s="24">
        <f t="shared" si="184"/>
        <v>13.560675008662018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5.6843418860808015E-14</v>
      </c>
      <c r="GA199" s="18">
        <f>FZ199*VLOOKUP('Données projet'!$B$17,Paramètres!$A$1:$I$89,3,0)*VLOOKUP('Données projet'!$B$17,Paramètres!$A$1:$I$89,5,0)</f>
        <v>6.1186256061773749E-14</v>
      </c>
      <c r="GB199" s="14">
        <f t="shared" si="185"/>
        <v>9.7328366192051127E-13</v>
      </c>
      <c r="GC199" s="22">
        <f t="shared" si="186"/>
        <v>1.8017017738191463E-12</v>
      </c>
      <c r="GD199" s="62">
        <f t="shared" si="200"/>
        <v>290.36453042915201</v>
      </c>
      <c r="GE199" s="62">
        <f ca="1">AVERAGE(OFFSET($GD$3,0,0,'Données projet'!$E$17+1,1))-AVERAGE(OFFSET($H$3,0,0,'Données projet'!$E$17+1,1))</f>
        <v>405.06394904053946</v>
      </c>
      <c r="GF199" s="62">
        <f t="shared" si="212"/>
        <v>393.75247087518198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>
        <f>EXP(-LN(2)/35)*GL198+(1-EXP(-LN(2)/35))/(LN(2)/35)*GH199*GI199*VLOOKUP('Données projet'!$B$17,Paramètres!$A$1:$I$89,3,0)*0.475*44/12</f>
        <v>15.09171896125288</v>
      </c>
      <c r="GM199" s="23">
        <f>EXP(-LN(2)/25)*GM198+(1-EXP(-LN(2)/25))/(LN(2)/25)*Calculateur!GH199*Calculateur!GJ199*VLOOKUP('Données projet'!$B$17,Paramètres!$A$1:$I$89,3,0)*0.475*44/12</f>
        <v>0</v>
      </c>
      <c r="GN199" s="23">
        <f>EXP(-LN(2)/2)*GN198+(1-EXP(-LN(2)/2))/(LN(2)/2)*GH199*GK199*VLOOKUP('Données projet'!$B$17,Paramètres!$A$1:$I$89,3,0)*0.475*44/12</f>
        <v>0</v>
      </c>
      <c r="GO199" s="23">
        <f t="shared" si="187"/>
        <v>15.09171896125288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5.6843418860808015E-14</v>
      </c>
      <c r="GV199" s="18">
        <f>GU199*VLOOKUP('Données projet'!$B$18,Paramètres!$A$1:$I$89,3,0)*VLOOKUP('Données projet'!$B$18,Paramètres!$A$1:$I$89,5,0)</f>
        <v>3.813056537183002E-14</v>
      </c>
      <c r="GW199" s="14">
        <f t="shared" si="188"/>
        <v>6.4086286045526829E-13</v>
      </c>
      <c r="GX199" s="22">
        <f t="shared" si="189"/>
        <v>1.1825802166488628E-12</v>
      </c>
      <c r="GY199" s="62">
        <f t="shared" si="201"/>
        <v>290.36453042915139</v>
      </c>
      <c r="GZ199" s="62">
        <f ca="1">AVERAGE(OFFSET($GY$3,0,0,'Données projet'!$E$18+1,1))-AVERAGE(OFFSET($H$3,0,0,'Données projet'!$E$18+1,1))</f>
        <v>273.21861937609918</v>
      </c>
      <c r="HA199" s="62">
        <f t="shared" si="213"/>
        <v>268.83004886965318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>
        <f>EXP(-LN(2)/35)*HG198+(1-EXP(-LN(2)/35))/(LN(2)/35)*HC199*HD199*VLOOKUP('Données projet'!$B$18,Paramètres!$A$1:$I$89,3,0)*0.475*44/12</f>
        <v>11.592189926759465</v>
      </c>
      <c r="HH199" s="23">
        <f>EXP(-LN(2)/25)*HH198+(1-EXP(-LN(2)/25))/(LN(2)/25)*Calculateur!HC199*Calculateur!HE199*VLOOKUP('Données projet'!$B$18,Paramètres!$A$1:$I$89,3,0)*0.475*44/12</f>
        <v>0</v>
      </c>
      <c r="HI199" s="23">
        <f>EXP(-LN(2)/2)*HI198+(1-EXP(-LN(2)/2))/(LN(2)/2)*HC199*HF199*VLOOKUP('Données projet'!$B$18,Paramètres!$A$1:$I$89,3,0)*0.475*44/12</f>
        <v>0</v>
      </c>
      <c r="HJ199" s="24">
        <f t="shared" si="190"/>
        <v>11.592189926759465</v>
      </c>
    </row>
    <row r="200" spans="1:218" x14ac:dyDescent="0.4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-178.57392686804454</v>
      </c>
      <c r="O200" s="14">
        <f>N200*VLOOKUP('Données projet'!$B$9,Paramètres!$A$1:$I$89,3,0)*VLOOKUP('Données projet'!$B$9,Paramètres!$A$1:$I$89,5,0)</f>
        <v>-161.57368903020668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432.80275651765203</v>
      </c>
      <c r="T200" s="62">
        <f t="shared" si="204"/>
        <v>203.89279893419919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139.34261233968866</v>
      </c>
      <c r="AA200" s="23">
        <f>EXP(-LN(2)/25)*AA199+(1-EXP(-LN(2)/25))/(LN(2)/25)*Calculateur!V200*Calculateur!X200*VLOOKUP('Données projet'!$B$9,Paramètres!$A$1:$I$89,3,0)*0.475*44/12</f>
        <v>14.626701352870876</v>
      </c>
      <c r="AB200" s="23">
        <f>EXP(-LN(2)/2)*AB199+(1-EXP(-LN(2)/2))/(LN(2)/2)*V200*Y200*VLOOKUP('Données projet'!$B$9,Paramètres!$A$1:$I$89,3,0)*0.475*44/12</f>
        <v>0</v>
      </c>
      <c r="AC200" s="24">
        <f t="shared" si="163"/>
        <v>153.96931369255952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54.000000000000341</v>
      </c>
      <c r="AJ200" s="14">
        <f>AI200*VLOOKUP('Données projet'!$B$10,Paramètres!$A$1:$I$89,3,0)*VLOOKUP('Données projet'!$B$10,Paramètres!$A$1:$I$89,5,0)</f>
        <v>23.868000000000151</v>
      </c>
      <c r="AK200" s="14">
        <f t="shared" si="164"/>
        <v>7.6030930962115804</v>
      </c>
      <c r="AL200" s="22">
        <f t="shared" si="165"/>
        <v>54.812153809235433</v>
      </c>
      <c r="AM200" s="62">
        <f t="shared" si="193"/>
        <v>345.22818633152423</v>
      </c>
      <c r="AN200" s="62">
        <f ca="1">AVERAGE(OFFSET($AM$3,0,0,'Données projet'!$E$10+1,1))-AVERAGE(OFFSET($H$3,0,0,'Données projet'!$E$10+1,1))</f>
        <v>413.08876898406481</v>
      </c>
      <c r="AO200" s="62">
        <f t="shared" si="205"/>
        <v>520.31320932826566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18.223290888946426</v>
      </c>
      <c r="AV200" s="23">
        <f>EXP(-LN(2)/25)*AV199+(1-EXP(-LN(2)/25))/(LN(2)/25)*Calculateur!AQ200*Calculateur!AS200*VLOOKUP('Données projet'!$B$10,Paramètres!$A$1:$I$89,3,0)*0.475*44/12</f>
        <v>0.45210287628581047</v>
      </c>
      <c r="AW200" s="23">
        <f>EXP(-LN(2)/2)*AW199+(1-EXP(-LN(2)/2))/(LN(2)/2)*AQ200*AT200*VLOOKUP('Données projet'!$B$10,Paramètres!$A$1:$I$89,3,0)*0.475*44/12</f>
        <v>5.3311718647206596E-23</v>
      </c>
      <c r="AX200" s="23">
        <f t="shared" si="166"/>
        <v>18.675393765232236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54.000000000000341</v>
      </c>
      <c r="BE200" s="14">
        <f>BD200*VLOOKUP('Données projet'!$B$11,Paramètres!$A$1:$I$89,3,0)*VLOOKUP('Données projet'!$B$11,Paramètres!$A$1:$I$89,5,0)</f>
        <v>30.186000000000188</v>
      </c>
      <c r="BF200" s="14">
        <f t="shared" si="167"/>
        <v>9.3563888882899153</v>
      </c>
      <c r="BG200" s="22">
        <f t="shared" si="168"/>
        <v>68.869660647105263</v>
      </c>
      <c r="BH200" s="62">
        <f t="shared" si="194"/>
        <v>359.28569316939405</v>
      </c>
      <c r="BI200" s="62">
        <f ca="1">AVERAGE(OFFSET($BH$3,0,0,'Données projet'!$E$11+1,1))-AVERAGE(OFFSET($H$3,0,0,'Données projet'!$E$11+1,1))</f>
        <v>507.66185230065889</v>
      </c>
      <c r="BJ200" s="62">
        <f t="shared" si="206"/>
        <v>640.14375617778342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23.047103183079269</v>
      </c>
      <c r="BQ200" s="23">
        <f>EXP(-LN(2)/25)*BQ199+(1-EXP(-LN(2)/25))/(LN(2)/25)*Calculateur!BL200*Calculateur!BN200*VLOOKUP('Données projet'!$B$11,Paramètres!$A$1:$I$89,3,0)*0.475*44/12</f>
        <v>0.57177716706734905</v>
      </c>
      <c r="BR200" s="23">
        <f>EXP(-LN(2)/2)*BR199+(1-EXP(-LN(2)/2))/(LN(2)/2)*BL200*BO200*VLOOKUP('Données projet'!$B$11,Paramètres!$A$1:$I$89,3,0)*0.475*44/12</f>
        <v>6.7423644171467212E-23</v>
      </c>
      <c r="BS200" s="24">
        <f t="shared" si="169"/>
        <v>23.618880350146618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417.04879970000007</v>
      </c>
      <c r="BZ200" s="14">
        <f>BY200*VLOOKUP('Données projet'!$B$12,Paramètres!$A$1:$I$89,3,0)*VLOOKUP('Données projet'!$B$12,Paramètres!$A$1:$I$89,5,0)</f>
        <v>195.17883825960004</v>
      </c>
      <c r="CA200" s="14">
        <f t="shared" si="170"/>
        <v>48.683122291673484</v>
      </c>
      <c r="CB200" s="22">
        <f t="shared" si="171"/>
        <v>424.72624796013469</v>
      </c>
      <c r="CC200" s="62">
        <f t="shared" si="195"/>
        <v>715.14228048242353</v>
      </c>
      <c r="CD200" s="62">
        <f ca="1">AVERAGE(OFFSET($CC$3,0,0,'Données projet'!$E$12+1,1))-AVERAGE(OFFSET($H$3,0,0,'Données projet'!$E$12+1,1))</f>
        <v>289.21044803824958</v>
      </c>
      <c r="CE200" s="62">
        <f t="shared" si="207"/>
        <v>196.11836398299445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>
        <f>EXP(-LN(2)/35)*CK199+(1-EXP(-LN(2)/35))/(LN(2)/35)*CG200*CH200*VLOOKUP('Données projet'!$B$12,Paramètres!$A$1:$I$89,3,0)*0.475*44/12</f>
        <v>10.087013276838547</v>
      </c>
      <c r="CL200" s="23">
        <f>EXP(-LN(2)/25)*CL199+(1-EXP(-LN(2)/25))/(LN(2)/25)*Calculateur!CG200*Calculateur!CI200*VLOOKUP('Données projet'!$B$12,Paramètres!$A$1:$I$89,3,0)*0.475*44/12</f>
        <v>2.1774824776178354</v>
      </c>
      <c r="CM200" s="23">
        <f>EXP(-LN(2)/2)*CM199+(1-EXP(-LN(2)/2))/(LN(2)/2)*CG200*CJ200*VLOOKUP('Données projet'!$B$12,Paramètres!$A$1:$I$89,3,0)*0.475*44/12</f>
        <v>0</v>
      </c>
      <c r="CN200" s="24">
        <f t="shared" si="172"/>
        <v>12.264495754456384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-5.6843418860808015E-14</v>
      </c>
      <c r="CU200" s="18">
        <f>CT200*VLOOKUP('Données projet'!$B$13,Paramètres!$A$1:$I$89,3,0)*VLOOKUP('Données projet'!$B$13,Paramètres!$A$1:$I$89,5,0)</f>
        <v>-5.1431925385259088E-14</v>
      </c>
      <c r="CV200" s="14" t="e">
        <f t="shared" si="173"/>
        <v>#NUM!</v>
      </c>
      <c r="CW200" s="22" t="e">
        <f t="shared" si="174"/>
        <v>#NUM!</v>
      </c>
      <c r="CX200" s="62" t="e">
        <f t="shared" si="196"/>
        <v>#NUM!</v>
      </c>
      <c r="CY200" s="62">
        <f ca="1">AVERAGE(OFFSET($CX$3,0,0,'Données projet'!$E$13+1,1))-AVERAGE(OFFSET($H$3,0,0,'Données projet'!$E$13+1,1))</f>
        <v>376.68007030857598</v>
      </c>
      <c r="CZ200" s="62">
        <f t="shared" si="208"/>
        <v>532.90758914457626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>
        <f>EXP(-LN(2)/35)*DF199+(1-EXP(-LN(2)/35))/(LN(2)/35)*DB200*DC200*VLOOKUP('Données projet'!$B$13,Paramètres!$A$1:$I$89,3,0)*0.475*44/12</f>
        <v>4.6136567894560878</v>
      </c>
      <c r="DG200" s="23">
        <f>EXP(-LN(2)/25)*DG199+(1-EXP(-LN(2)/25))/(LN(2)/25)*Calculateur!DB200*Calculateur!DD200*VLOOKUP('Données projet'!$B$13,Paramètres!$A$1:$I$89,3,0)*0.475*44/12</f>
        <v>0.12776128485600205</v>
      </c>
      <c r="DH200" s="23">
        <f>EXP(-LN(2)/2)*DH199+(1-EXP(-LN(2)/2))/(LN(2)/2)*DB200*DE200*VLOOKUP('Données projet'!$B$13,Paramètres!$A$1:$I$89,3,0)*0.475*44/12</f>
        <v>0</v>
      </c>
      <c r="DI200" s="24">
        <f t="shared" si="175"/>
        <v>4.7414180743120902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5.6843418860808015E-14</v>
      </c>
      <c r="DP200" s="18">
        <f>DO200*VLOOKUP('Données projet'!$B$14,Paramètres!$A$1:$I$89,3,0)*VLOOKUP('Données projet'!$B$14,Paramètres!$A$1:$I$89,5,0)</f>
        <v>5.4092197387944907E-14</v>
      </c>
      <c r="DQ200" s="14">
        <f t="shared" si="176"/>
        <v>8.7287050538073676E-13</v>
      </c>
      <c r="DR200" s="22">
        <f t="shared" si="177"/>
        <v>1.6144600406554537E-12</v>
      </c>
      <c r="DS200" s="62">
        <f t="shared" si="197"/>
        <v>290.41603252229038</v>
      </c>
      <c r="DT200" s="62">
        <f ca="1">AVERAGE(OFFSET($DS$3,0,0,'Données projet'!$E$14+1,1))-AVERAGE(OFFSET($H$3,0,0,'Données projet'!$E$14+1,1))</f>
        <v>364.63161066507769</v>
      </c>
      <c r="DU200" s="62">
        <f t="shared" si="209"/>
        <v>355.44729904860708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>
        <f>EXP(-LN(2)/35)*EA199+(1-EXP(-LN(2)/35))/(LN(2)/35)*DW200*DX200*VLOOKUP('Données projet'!$B$14,Paramètres!$A$1:$I$89,3,0)*0.475*44/12</f>
        <v>13.080326855147892</v>
      </c>
      <c r="EB200" s="23">
        <f>EXP(-LN(2)/25)*EB199+(1-EXP(-LN(2)/25))/(LN(2)/25)*Calculateur!DW200*Calculateur!DY200*VLOOKUP('Données projet'!$B$14,Paramètres!$A$1:$I$89,3,0)*0.475*44/12</f>
        <v>0</v>
      </c>
      <c r="EC200" s="23">
        <f>EXP(-LN(2)/2)*EC199+(1-EXP(-LN(2)/2))/(LN(2)/2)*DW200*DZ200*VLOOKUP('Données projet'!$B$14,Paramètres!$A$1:$I$89,3,0)*0.475*44/12</f>
        <v>0</v>
      </c>
      <c r="ED200" s="24">
        <f t="shared" si="178"/>
        <v>13.080326855147892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5.6843418860808015E-14</v>
      </c>
      <c r="EK200" s="18">
        <f>EJ200*VLOOKUP('Données projet'!$B$15,Paramètres!$A$1:$I$89,3,0)*VLOOKUP('Données projet'!$B$15,Paramètres!$A$1:$I$89,5,0)</f>
        <v>4.1677594708744434E-14</v>
      </c>
      <c r="EL200" s="14">
        <f t="shared" si="179"/>
        <v>6.9326303456159188E-13</v>
      </c>
      <c r="EM200" s="22">
        <f t="shared" si="180"/>
        <v>1.2800215959791691E-12</v>
      </c>
      <c r="EN200" s="62">
        <f t="shared" si="198"/>
        <v>290.4160325222901</v>
      </c>
      <c r="EO200" s="62">
        <f ca="1">AVERAGE(OFFSET($EN$3,0,0,'Données projet'!$E$15+1,1))-AVERAGE(OFFSET($H$3,0,0,'Données projet'!$E$15+1,1))</f>
        <v>293.59366973965774</v>
      </c>
      <c r="EP200" s="62">
        <f t="shared" si="210"/>
        <v>288.13804536120426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>
        <f>EXP(-LN(2)/35)*EV199+(1-EXP(-LN(2)/35))/(LN(2)/35)*ER200*ES200*VLOOKUP('Données projet'!$B$15,Paramètres!$A$1:$I$89,3,0)*0.475*44/12</f>
        <v>10.078284626097545</v>
      </c>
      <c r="EW200" s="23">
        <f>EXP(-LN(2)/25)*EW199+(1-EXP(-LN(2)/25))/(LN(2)/25)*Calculateur!ER200*Calculateur!ET200*VLOOKUP('Données projet'!$B$15,Paramètres!$A$1:$I$89,3,0)*0.475*44/12</f>
        <v>0</v>
      </c>
      <c r="EX200" s="23">
        <f>EXP(-LN(2)/2)*EX199+(1-EXP(-LN(2)/2))/(LN(2)/2)*ER200*EU200*VLOOKUP('Données projet'!$B$15,Paramètres!$A$1:$I$89,3,0)*0.475*44/12</f>
        <v>0</v>
      </c>
      <c r="EY200" s="24">
        <f t="shared" si="181"/>
        <v>10.078284626097545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5.6843418860808015E-14</v>
      </c>
      <c r="FF200" s="18">
        <f>FE200*VLOOKUP('Données projet'!$B$16,Paramètres!$A$1:$I$89,3,0)*VLOOKUP('Données projet'!$B$16,Paramètres!$A$1:$I$89,5,0)</f>
        <v>5.4978954722173515E-14</v>
      </c>
      <c r="FG200" s="14">
        <f t="shared" si="182"/>
        <v>8.8550225887742724E-13</v>
      </c>
      <c r="FH200" s="22">
        <f t="shared" si="183"/>
        <v>1.6380047803526383E-12</v>
      </c>
      <c r="FI200" s="62">
        <f t="shared" si="199"/>
        <v>290.41603252229044</v>
      </c>
      <c r="FJ200" s="62">
        <f ca="1">AVERAGE(OFFSET($FI$3,0,0,'Données projet'!$E$16+1,1))-AVERAGE(OFFSET($H$3,0,0,'Données projet'!$E$16+1,1))</f>
        <v>369.69145521630799</v>
      </c>
      <c r="FK200" s="62">
        <f t="shared" si="211"/>
        <v>360.24112103688719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>
        <f>EXP(-LN(2)/35)*FQ199+(1-EXP(-LN(2)/35))/(LN(2)/35)*FM200*FN200*VLOOKUP('Données projet'!$B$16,Paramètres!$A$1:$I$89,3,0)*0.475*44/12</f>
        <v>13.2947584429372</v>
      </c>
      <c r="FR200" s="23">
        <f>EXP(-LN(2)/25)*FR199+(1-EXP(-LN(2)/25))/(LN(2)/25)*Calculateur!FM200*Calculateur!FO200*VLOOKUP('Données projet'!$B$16,Paramètres!$A$1:$I$89,3,0)*0.475*44/12</f>
        <v>0</v>
      </c>
      <c r="FS200" s="23">
        <f>EXP(-LN(2)/2)*FS199+(1-EXP(-LN(2)/2))/(LN(2)/2)*FM200*FP200*VLOOKUP('Données projet'!$B$16,Paramètres!$A$1:$I$89,3,0)*0.475*44/12</f>
        <v>0</v>
      </c>
      <c r="FT200" s="24">
        <f t="shared" si="184"/>
        <v>13.2947584429372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5.6843418860808015E-14</v>
      </c>
      <c r="GA200" s="18">
        <f>FZ200*VLOOKUP('Données projet'!$B$17,Paramètres!$A$1:$I$89,3,0)*VLOOKUP('Données projet'!$B$17,Paramètres!$A$1:$I$89,5,0)</f>
        <v>6.1186256061773749E-14</v>
      </c>
      <c r="GB200" s="14">
        <f t="shared" si="185"/>
        <v>9.7328366192051127E-13</v>
      </c>
      <c r="GC200" s="22">
        <f t="shared" si="186"/>
        <v>1.8017017738191463E-12</v>
      </c>
      <c r="GD200" s="62">
        <f t="shared" si="200"/>
        <v>290.41603252229061</v>
      </c>
      <c r="GE200" s="62">
        <f ca="1">AVERAGE(OFFSET($GD$3,0,0,'Données projet'!$E$17+1,1))-AVERAGE(OFFSET($H$3,0,0,'Données projet'!$E$17+1,1))</f>
        <v>405.06394904053946</v>
      </c>
      <c r="GF200" s="62">
        <f t="shared" si="212"/>
        <v>393.75247087518198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>
        <f>EXP(-LN(2)/35)*GL199+(1-EXP(-LN(2)/35))/(LN(2)/35)*GH200*GI200*VLOOKUP('Données projet'!$B$17,Paramètres!$A$1:$I$89,3,0)*0.475*44/12</f>
        <v>14.795779557462355</v>
      </c>
      <c r="GM200" s="23">
        <f>EXP(-LN(2)/25)*GM199+(1-EXP(-LN(2)/25))/(LN(2)/25)*Calculateur!GH200*Calculateur!GJ200*VLOOKUP('Données projet'!$B$17,Paramètres!$A$1:$I$89,3,0)*0.475*44/12</f>
        <v>0</v>
      </c>
      <c r="GN200" s="23">
        <f>EXP(-LN(2)/2)*GN199+(1-EXP(-LN(2)/2))/(LN(2)/2)*GH200*GK200*VLOOKUP('Données projet'!$B$17,Paramètres!$A$1:$I$89,3,0)*0.475*44/12</f>
        <v>0</v>
      </c>
      <c r="GO200" s="23">
        <f t="shared" si="187"/>
        <v>14.795779557462355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5.6843418860808015E-14</v>
      </c>
      <c r="GV200" s="18">
        <f>GU200*VLOOKUP('Données projet'!$B$18,Paramètres!$A$1:$I$89,3,0)*VLOOKUP('Données projet'!$B$18,Paramètres!$A$1:$I$89,5,0)</f>
        <v>3.813056537183002E-14</v>
      </c>
      <c r="GW200" s="14">
        <f t="shared" si="188"/>
        <v>6.4086286045526829E-13</v>
      </c>
      <c r="GX200" s="22">
        <f t="shared" si="189"/>
        <v>1.1825802166488628E-12</v>
      </c>
      <c r="GY200" s="62">
        <f t="shared" si="201"/>
        <v>290.41603252228998</v>
      </c>
      <c r="GZ200" s="62">
        <f ca="1">AVERAGE(OFFSET($GY$3,0,0,'Données projet'!$E$18+1,1))-AVERAGE(OFFSET($H$3,0,0,'Données projet'!$E$18+1,1))</f>
        <v>273.21861937609918</v>
      </c>
      <c r="HA200" s="62">
        <f t="shared" si="213"/>
        <v>268.83004886965318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>
        <f>EXP(-LN(2)/35)*HG199+(1-EXP(-LN(2)/35))/(LN(2)/35)*HC200*HD200*VLOOKUP('Données projet'!$B$18,Paramètres!$A$1:$I$89,3,0)*0.475*44/12</f>
        <v>11.36487415283341</v>
      </c>
      <c r="HH200" s="23">
        <f>EXP(-LN(2)/25)*HH199+(1-EXP(-LN(2)/25))/(LN(2)/25)*Calculateur!HC200*Calculateur!HE200*VLOOKUP('Données projet'!$B$18,Paramètres!$A$1:$I$89,3,0)*0.475*44/12</f>
        <v>0</v>
      </c>
      <c r="HI200" s="23">
        <f>EXP(-LN(2)/2)*HI199+(1-EXP(-LN(2)/2))/(LN(2)/2)*HC200*HF200*VLOOKUP('Données projet'!$B$18,Paramètres!$A$1:$I$89,3,0)*0.475*44/12</f>
        <v>0</v>
      </c>
      <c r="HJ200" s="24">
        <f t="shared" si="190"/>
        <v>11.36487415283341</v>
      </c>
    </row>
    <row r="201" spans="1:218" x14ac:dyDescent="0.4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-178.57392686804454</v>
      </c>
      <c r="O201" s="14">
        <f>N201*VLOOKUP('Données projet'!$B$9,Paramètres!$A$1:$I$89,3,0)*VLOOKUP('Données projet'!$B$9,Paramètres!$A$1:$I$89,5,0)</f>
        <v>-161.57368903020668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432.80275651765203</v>
      </c>
      <c r="T201" s="62">
        <f t="shared" si="204"/>
        <v>203.89279893419919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136.61018870230876</v>
      </c>
      <c r="AA201" s="23">
        <f>EXP(-LN(2)/25)*AA200+(1-EXP(-LN(2)/25))/(LN(2)/25)*Calculateur!V201*Calculateur!X201*VLOOKUP('Données projet'!$B$9,Paramètres!$A$1:$I$89,3,0)*0.475*44/12</f>
        <v>14.226733435191829</v>
      </c>
      <c r="AB201" s="23">
        <f>EXP(-LN(2)/2)*AB200+(1-EXP(-LN(2)/2))/(LN(2)/2)*V201*Y201*VLOOKUP('Données projet'!$B$9,Paramètres!$A$1:$I$89,3,0)*0.475*44/12</f>
        <v>0</v>
      </c>
      <c r="AC201" s="24">
        <f t="shared" si="163"/>
        <v>150.83692213750058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54.000000000000341</v>
      </c>
      <c r="AJ201" s="14">
        <f>AI201*VLOOKUP('Données projet'!$B$10,Paramètres!$A$1:$I$89,3,0)*VLOOKUP('Données projet'!$B$10,Paramètres!$A$1:$I$89,5,0)</f>
        <v>23.868000000000151</v>
      </c>
      <c r="AK201" s="14">
        <f t="shared" si="164"/>
        <v>7.6030930962115804</v>
      </c>
      <c r="AL201" s="22">
        <f t="shared" si="165"/>
        <v>54.812153809235433</v>
      </c>
      <c r="AM201" s="62">
        <f t="shared" si="193"/>
        <v>345.27879497848835</v>
      </c>
      <c r="AN201" s="62">
        <f ca="1">AVERAGE(OFFSET($AM$3,0,0,'Données projet'!$E$10+1,1))-AVERAGE(OFFSET($H$3,0,0,'Données projet'!$E$10+1,1))</f>
        <v>413.08876898406481</v>
      </c>
      <c r="AO201" s="62">
        <f t="shared" si="205"/>
        <v>520.31320932826566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17.865943269724102</v>
      </c>
      <c r="AV201" s="23">
        <f>EXP(-LN(2)/25)*AV200+(1-EXP(-LN(2)/25))/(LN(2)/25)*Calculateur!AQ201*Calculateur!AS201*VLOOKUP('Données projet'!$B$10,Paramètres!$A$1:$I$89,3,0)*0.475*44/12</f>
        <v>0.439740099358718</v>
      </c>
      <c r="AW201" s="23">
        <f>EXP(-LN(2)/2)*AW200+(1-EXP(-LN(2)/2))/(LN(2)/2)*AQ201*AT201*VLOOKUP('Données projet'!$B$10,Paramètres!$A$1:$I$89,3,0)*0.475*44/12</f>
        <v>3.7697077772149101E-23</v>
      </c>
      <c r="AX201" s="23">
        <f t="shared" si="166"/>
        <v>18.305683369082821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54.000000000000341</v>
      </c>
      <c r="BE201" s="14">
        <f>BD201*VLOOKUP('Données projet'!$B$11,Paramètres!$A$1:$I$89,3,0)*VLOOKUP('Données projet'!$B$11,Paramètres!$A$1:$I$89,5,0)</f>
        <v>30.186000000000188</v>
      </c>
      <c r="BF201" s="14">
        <f t="shared" si="167"/>
        <v>9.3563888882899153</v>
      </c>
      <c r="BG201" s="22">
        <f t="shared" si="168"/>
        <v>68.869660647105263</v>
      </c>
      <c r="BH201" s="62">
        <f t="shared" si="194"/>
        <v>359.33630181635817</v>
      </c>
      <c r="BI201" s="62">
        <f ca="1">AVERAGE(OFFSET($BH$3,0,0,'Données projet'!$E$11+1,1))-AVERAGE(OFFSET($H$3,0,0,'Données projet'!$E$11+1,1))</f>
        <v>507.66185230065889</v>
      </c>
      <c r="BJ201" s="62">
        <f t="shared" si="206"/>
        <v>640.14375617778342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22.595163547003978</v>
      </c>
      <c r="BQ201" s="23">
        <f>EXP(-LN(2)/25)*BQ200+(1-EXP(-LN(2)/25))/(LN(2)/25)*Calculateur!BL201*Calculateur!BN201*VLOOKUP('Données projet'!$B$11,Paramètres!$A$1:$I$89,3,0)*0.475*44/12</f>
        <v>0.55614189036543793</v>
      </c>
      <c r="BR201" s="23">
        <f>EXP(-LN(2)/2)*BR200+(1-EXP(-LN(2)/2))/(LN(2)/2)*BL201*BO201*VLOOKUP('Données projet'!$B$11,Paramètres!$A$1:$I$89,3,0)*0.475*44/12</f>
        <v>4.7675716005953307E-23</v>
      </c>
      <c r="BS201" s="24">
        <f t="shared" si="169"/>
        <v>23.151305437369416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417.04879970000007</v>
      </c>
      <c r="BZ201" s="14">
        <f>BY201*VLOOKUP('Données projet'!$B$12,Paramètres!$A$1:$I$89,3,0)*VLOOKUP('Données projet'!$B$12,Paramètres!$A$1:$I$89,5,0)</f>
        <v>195.17883825960004</v>
      </c>
      <c r="CA201" s="14">
        <f t="shared" si="170"/>
        <v>48.683122291673484</v>
      </c>
      <c r="CB201" s="22">
        <f t="shared" si="171"/>
        <v>424.72624796013469</v>
      </c>
      <c r="CC201" s="62">
        <f t="shared" si="195"/>
        <v>715.19288912938759</v>
      </c>
      <c r="CD201" s="62">
        <f ca="1">AVERAGE(OFFSET($CC$3,0,0,'Données projet'!$E$12+1,1))-AVERAGE(OFFSET($H$3,0,0,'Données projet'!$E$12+1,1))</f>
        <v>289.21044803824958</v>
      </c>
      <c r="CE201" s="62">
        <f t="shared" si="207"/>
        <v>196.11836398299445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>
        <f>EXP(-LN(2)/35)*CK200+(1-EXP(-LN(2)/35))/(LN(2)/35)*CG201*CH201*VLOOKUP('Données projet'!$B$12,Paramètres!$A$1:$I$89,3,0)*0.475*44/12</f>
        <v>9.8892130989503357</v>
      </c>
      <c r="CL201" s="23">
        <f>EXP(-LN(2)/25)*CL200+(1-EXP(-LN(2)/25))/(LN(2)/25)*Calculateur!CG201*Calculateur!CI201*VLOOKUP('Données projet'!$B$12,Paramètres!$A$1:$I$89,3,0)*0.475*44/12</f>
        <v>2.1179391047585487</v>
      </c>
      <c r="CM201" s="23">
        <f>EXP(-LN(2)/2)*CM200+(1-EXP(-LN(2)/2))/(LN(2)/2)*CG201*CJ201*VLOOKUP('Données projet'!$B$12,Paramètres!$A$1:$I$89,3,0)*0.475*44/12</f>
        <v>0</v>
      </c>
      <c r="CN201" s="24">
        <f t="shared" si="172"/>
        <v>12.007152203708884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-5.6843418860808015E-14</v>
      </c>
      <c r="CU201" s="18">
        <f>CT201*VLOOKUP('Données projet'!$B$13,Paramètres!$A$1:$I$89,3,0)*VLOOKUP('Données projet'!$B$13,Paramètres!$A$1:$I$89,5,0)</f>
        <v>-5.1431925385259088E-14</v>
      </c>
      <c r="CV201" s="14" t="e">
        <f t="shared" si="173"/>
        <v>#NUM!</v>
      </c>
      <c r="CW201" s="22" t="e">
        <f t="shared" si="174"/>
        <v>#NUM!</v>
      </c>
      <c r="CX201" s="62" t="e">
        <f t="shared" si="196"/>
        <v>#NUM!</v>
      </c>
      <c r="CY201" s="62">
        <f ca="1">AVERAGE(OFFSET($CX$3,0,0,'Données projet'!$E$13+1,1))-AVERAGE(OFFSET($H$3,0,0,'Données projet'!$E$13+1,1))</f>
        <v>376.68007030857598</v>
      </c>
      <c r="CZ201" s="62">
        <f t="shared" si="208"/>
        <v>532.90758914457626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>
        <f>EXP(-LN(2)/35)*DF200+(1-EXP(-LN(2)/35))/(LN(2)/35)*DB201*DC201*VLOOKUP('Données projet'!$B$13,Paramètres!$A$1:$I$89,3,0)*0.475*44/12</f>
        <v>4.523185793867631</v>
      </c>
      <c r="DG201" s="23">
        <f>EXP(-LN(2)/25)*DG200+(1-EXP(-LN(2)/25))/(LN(2)/25)*Calculateur!DB201*Calculateur!DD201*VLOOKUP('Données projet'!$B$13,Paramètres!$A$1:$I$89,3,0)*0.475*44/12</f>
        <v>0.12426764580294071</v>
      </c>
      <c r="DH201" s="23">
        <f>EXP(-LN(2)/2)*DH200+(1-EXP(-LN(2)/2))/(LN(2)/2)*DB201*DE201*VLOOKUP('Données projet'!$B$13,Paramètres!$A$1:$I$89,3,0)*0.475*44/12</f>
        <v>0</v>
      </c>
      <c r="DI201" s="24">
        <f t="shared" si="175"/>
        <v>4.6474534396705716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5.6843418860808015E-14</v>
      </c>
      <c r="DP201" s="18">
        <f>DO201*VLOOKUP('Données projet'!$B$14,Paramètres!$A$1:$I$89,3,0)*VLOOKUP('Données projet'!$B$14,Paramètres!$A$1:$I$89,5,0)</f>
        <v>5.4092197387944907E-14</v>
      </c>
      <c r="DQ201" s="14">
        <f t="shared" si="176"/>
        <v>8.7287050538073676E-13</v>
      </c>
      <c r="DR201" s="22">
        <f t="shared" si="177"/>
        <v>1.6144600406554537E-12</v>
      </c>
      <c r="DS201" s="62">
        <f t="shared" si="197"/>
        <v>290.4666411692545</v>
      </c>
      <c r="DT201" s="62">
        <f ca="1">AVERAGE(OFFSET($DS$3,0,0,'Données projet'!$E$14+1,1))-AVERAGE(OFFSET($H$3,0,0,'Données projet'!$E$14+1,1))</f>
        <v>364.63161066507769</v>
      </c>
      <c r="DU201" s="62">
        <f t="shared" si="209"/>
        <v>355.44729904860708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>
        <f>EXP(-LN(2)/35)*EA200+(1-EXP(-LN(2)/35))/(LN(2)/35)*DW201*DX201*VLOOKUP('Données projet'!$B$14,Paramètres!$A$1:$I$89,3,0)*0.475*44/12</f>
        <v>12.82382962373004</v>
      </c>
      <c r="EB201" s="23">
        <f>EXP(-LN(2)/25)*EB200+(1-EXP(-LN(2)/25))/(LN(2)/25)*Calculateur!DW201*Calculateur!DY201*VLOOKUP('Données projet'!$B$14,Paramètres!$A$1:$I$89,3,0)*0.475*44/12</f>
        <v>0</v>
      </c>
      <c r="EC201" s="23">
        <f>EXP(-LN(2)/2)*EC200+(1-EXP(-LN(2)/2))/(LN(2)/2)*DW201*DZ201*VLOOKUP('Données projet'!$B$14,Paramètres!$A$1:$I$89,3,0)*0.475*44/12</f>
        <v>0</v>
      </c>
      <c r="ED201" s="24">
        <f t="shared" si="178"/>
        <v>12.82382962373004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5.6843418860808015E-14</v>
      </c>
      <c r="EK201" s="18">
        <f>EJ201*VLOOKUP('Données projet'!$B$15,Paramètres!$A$1:$I$89,3,0)*VLOOKUP('Données projet'!$B$15,Paramètres!$A$1:$I$89,5,0)</f>
        <v>4.1677594708744434E-14</v>
      </c>
      <c r="EL201" s="14">
        <f t="shared" si="179"/>
        <v>6.9326303456159188E-13</v>
      </c>
      <c r="EM201" s="22">
        <f t="shared" si="180"/>
        <v>1.2800215959791691E-12</v>
      </c>
      <c r="EN201" s="62">
        <f t="shared" si="198"/>
        <v>290.46664116925422</v>
      </c>
      <c r="EO201" s="62">
        <f ca="1">AVERAGE(OFFSET($EN$3,0,0,'Données projet'!$E$15+1,1))-AVERAGE(OFFSET($H$3,0,0,'Données projet'!$E$15+1,1))</f>
        <v>293.59366973965774</v>
      </c>
      <c r="EP201" s="62">
        <f t="shared" si="210"/>
        <v>288.13804536120426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>
        <f>EXP(-LN(2)/35)*EV200+(1-EXP(-LN(2)/35))/(LN(2)/35)*ER201*ES201*VLOOKUP('Données projet'!$B$15,Paramètres!$A$1:$I$89,3,0)*0.475*44/12</f>
        <v>9.8806556117264144</v>
      </c>
      <c r="EW201" s="23">
        <f>EXP(-LN(2)/25)*EW200+(1-EXP(-LN(2)/25))/(LN(2)/25)*Calculateur!ER201*Calculateur!ET201*VLOOKUP('Données projet'!$B$15,Paramètres!$A$1:$I$89,3,0)*0.475*44/12</f>
        <v>0</v>
      </c>
      <c r="EX201" s="23">
        <f>EXP(-LN(2)/2)*EX200+(1-EXP(-LN(2)/2))/(LN(2)/2)*ER201*EU201*VLOOKUP('Données projet'!$B$15,Paramètres!$A$1:$I$89,3,0)*0.475*44/12</f>
        <v>0</v>
      </c>
      <c r="EY201" s="24">
        <f t="shared" si="181"/>
        <v>9.8806556117264144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5.6843418860808015E-14</v>
      </c>
      <c r="FF201" s="18">
        <f>FE201*VLOOKUP('Données projet'!$B$16,Paramètres!$A$1:$I$89,3,0)*VLOOKUP('Données projet'!$B$16,Paramètres!$A$1:$I$89,5,0)</f>
        <v>5.4978954722173515E-14</v>
      </c>
      <c r="FG201" s="14">
        <f t="shared" si="182"/>
        <v>8.8550225887742724E-13</v>
      </c>
      <c r="FH201" s="22">
        <f t="shared" si="183"/>
        <v>1.6380047803526383E-12</v>
      </c>
      <c r="FI201" s="62">
        <f t="shared" si="199"/>
        <v>290.46664116925456</v>
      </c>
      <c r="FJ201" s="62">
        <f ca="1">AVERAGE(OFFSET($FI$3,0,0,'Données projet'!$E$16+1,1))-AVERAGE(OFFSET($H$3,0,0,'Données projet'!$E$16+1,1))</f>
        <v>369.69145521630799</v>
      </c>
      <c r="FK201" s="62">
        <f t="shared" si="211"/>
        <v>360.24112103688719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>
        <f>EXP(-LN(2)/35)*FQ200+(1-EXP(-LN(2)/35))/(LN(2)/35)*FM201*FN201*VLOOKUP('Données projet'!$B$16,Paramètres!$A$1:$I$89,3,0)*0.475*44/12</f>
        <v>13.034056338873153</v>
      </c>
      <c r="FR201" s="23">
        <f>EXP(-LN(2)/25)*FR200+(1-EXP(-LN(2)/25))/(LN(2)/25)*Calculateur!FM201*Calculateur!FO201*VLOOKUP('Données projet'!$B$16,Paramètres!$A$1:$I$89,3,0)*0.475*44/12</f>
        <v>0</v>
      </c>
      <c r="FS201" s="23">
        <f>EXP(-LN(2)/2)*FS200+(1-EXP(-LN(2)/2))/(LN(2)/2)*FM201*FP201*VLOOKUP('Données projet'!$B$16,Paramètres!$A$1:$I$89,3,0)*0.475*44/12</f>
        <v>0</v>
      </c>
      <c r="FT201" s="24">
        <f t="shared" si="184"/>
        <v>13.034056338873153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5.6843418860808015E-14</v>
      </c>
      <c r="GA201" s="18">
        <f>FZ201*VLOOKUP('Données projet'!$B$17,Paramètres!$A$1:$I$89,3,0)*VLOOKUP('Données projet'!$B$17,Paramètres!$A$1:$I$89,5,0)</f>
        <v>6.1186256061773749E-14</v>
      </c>
      <c r="GB201" s="14">
        <f t="shared" si="185"/>
        <v>9.7328366192051127E-13</v>
      </c>
      <c r="GC201" s="22">
        <f t="shared" si="186"/>
        <v>1.8017017738191463E-12</v>
      </c>
      <c r="GD201" s="62">
        <f t="shared" si="200"/>
        <v>290.46664116925473</v>
      </c>
      <c r="GE201" s="62">
        <f ca="1">AVERAGE(OFFSET($GD$3,0,0,'Données projet'!$E$17+1,1))-AVERAGE(OFFSET($H$3,0,0,'Données projet'!$E$17+1,1))</f>
        <v>405.06394904053946</v>
      </c>
      <c r="GF201" s="62">
        <f t="shared" si="212"/>
        <v>393.75247087518198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>
        <f>EXP(-LN(2)/35)*GL200+(1-EXP(-LN(2)/35))/(LN(2)/35)*GH201*GI201*VLOOKUP('Données projet'!$B$17,Paramètres!$A$1:$I$89,3,0)*0.475*44/12</f>
        <v>14.505643344874949</v>
      </c>
      <c r="GM201" s="23">
        <f>EXP(-LN(2)/25)*GM200+(1-EXP(-LN(2)/25))/(LN(2)/25)*Calculateur!GH201*Calculateur!GJ201*VLOOKUP('Données projet'!$B$17,Paramètres!$A$1:$I$89,3,0)*0.475*44/12</f>
        <v>0</v>
      </c>
      <c r="GN201" s="23">
        <f>EXP(-LN(2)/2)*GN200+(1-EXP(-LN(2)/2))/(LN(2)/2)*GH201*GK201*VLOOKUP('Données projet'!$B$17,Paramètres!$A$1:$I$89,3,0)*0.475*44/12</f>
        <v>0</v>
      </c>
      <c r="GO201" s="23">
        <f t="shared" si="187"/>
        <v>14.505643344874949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5.6843418860808015E-14</v>
      </c>
      <c r="GV201" s="18">
        <f>GU201*VLOOKUP('Données projet'!$B$18,Paramètres!$A$1:$I$89,3,0)*VLOOKUP('Données projet'!$B$18,Paramètres!$A$1:$I$89,5,0)</f>
        <v>3.813056537183002E-14</v>
      </c>
      <c r="GW201" s="14">
        <f t="shared" si="188"/>
        <v>6.4086286045526829E-13</v>
      </c>
      <c r="GX201" s="22">
        <f t="shared" si="189"/>
        <v>1.1825802166488628E-12</v>
      </c>
      <c r="GY201" s="62">
        <f t="shared" si="201"/>
        <v>290.4666411692541</v>
      </c>
      <c r="GZ201" s="62">
        <f ca="1">AVERAGE(OFFSET($GY$3,0,0,'Données projet'!$E$18+1,1))-AVERAGE(OFFSET($H$3,0,0,'Données projet'!$E$18+1,1))</f>
        <v>273.21861937609918</v>
      </c>
      <c r="HA201" s="62">
        <f t="shared" si="213"/>
        <v>268.83004886965318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>
        <f>EXP(-LN(2)/35)*HG200+(1-EXP(-LN(2)/35))/(LN(2)/35)*HC201*HD201*VLOOKUP('Données projet'!$B$18,Paramètres!$A$1:$I$89,3,0)*0.475*44/12</f>
        <v>11.142015902585113</v>
      </c>
      <c r="HH201" s="23">
        <f>EXP(-LN(2)/25)*HH200+(1-EXP(-LN(2)/25))/(LN(2)/25)*Calculateur!HC201*Calculateur!HE201*VLOOKUP('Données projet'!$B$18,Paramètres!$A$1:$I$89,3,0)*0.475*44/12</f>
        <v>0</v>
      </c>
      <c r="HI201" s="23">
        <f>EXP(-LN(2)/2)*HI200+(1-EXP(-LN(2)/2))/(LN(2)/2)*HC201*HF201*VLOOKUP('Données projet'!$B$18,Paramètres!$A$1:$I$89,3,0)*0.475*44/12</f>
        <v>0</v>
      </c>
      <c r="HJ201" s="24">
        <f t="shared" si="190"/>
        <v>11.142015902585113</v>
      </c>
    </row>
    <row r="202" spans="1:218" x14ac:dyDescent="0.4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-178.57392686804454</v>
      </c>
      <c r="O202" s="14">
        <f>N202*VLOOKUP('Données projet'!$B$9,Paramètres!$A$1:$I$89,3,0)*VLOOKUP('Données projet'!$B$9,Paramètres!$A$1:$I$89,5,0)</f>
        <v>-161.57368903020668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432.80275651765203</v>
      </c>
      <c r="T202" s="62">
        <f t="shared" si="204"/>
        <v>203.89279893419919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133.93134622584404</v>
      </c>
      <c r="AA202" s="23">
        <f>EXP(-LN(2)/25)*AA201+(1-EXP(-LN(2)/25))/(LN(2)/25)*Calculateur!V202*Calculateur!X202*VLOOKUP('Données projet'!$B$9,Paramètres!$A$1:$I$89,3,0)*0.475*44/12</f>
        <v>13.837702661255113</v>
      </c>
      <c r="AB202" s="23">
        <f>EXP(-LN(2)/2)*AB201+(1-EXP(-LN(2)/2))/(LN(2)/2)*V202*Y202*VLOOKUP('Données projet'!$B$9,Paramètres!$A$1:$I$89,3,0)*0.475*44/12</f>
        <v>0</v>
      </c>
      <c r="AC202" s="24">
        <f t="shared" si="163"/>
        <v>147.76904888709916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54.000000000000341</v>
      </c>
      <c r="AJ202" s="14">
        <f>AI202*VLOOKUP('Données projet'!$B$10,Paramètres!$A$1:$I$89,3,0)*VLOOKUP('Données projet'!$B$10,Paramètres!$A$1:$I$89,5,0)</f>
        <v>23.868000000000151</v>
      </c>
      <c r="AK202" s="14">
        <f t="shared" si="164"/>
        <v>7.6030930962115804</v>
      </c>
      <c r="AL202" s="22">
        <f t="shared" si="165"/>
        <v>54.812153809235433</v>
      </c>
      <c r="AM202" s="62">
        <f t="shared" si="193"/>
        <v>345.32852567857157</v>
      </c>
      <c r="AN202" s="62">
        <f ca="1">AVERAGE(OFFSET($AM$3,0,0,'Données projet'!$E$10+1,1))-AVERAGE(OFFSET($H$3,0,0,'Données projet'!$E$10+1,1))</f>
        <v>413.08876898406481</v>
      </c>
      <c r="AO202" s="62">
        <f t="shared" si="205"/>
        <v>520.31320932826566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17.515603019354202</v>
      </c>
      <c r="AV202" s="23">
        <f>EXP(-LN(2)/25)*AV201+(1-EXP(-LN(2)/25))/(LN(2)/25)*Calculateur!AQ202*Calculateur!AS202*VLOOKUP('Données projet'!$B$10,Paramètres!$A$1:$I$89,3,0)*0.475*44/12</f>
        <v>0.42771538321682706</v>
      </c>
      <c r="AW202" s="23">
        <f>EXP(-LN(2)/2)*AW201+(1-EXP(-LN(2)/2))/(LN(2)/2)*AQ202*AT202*VLOOKUP('Données projet'!$B$10,Paramètres!$A$1:$I$89,3,0)*0.475*44/12</f>
        <v>2.6655859323603298E-23</v>
      </c>
      <c r="AX202" s="23">
        <f t="shared" si="166"/>
        <v>17.94331840257103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54.000000000000341</v>
      </c>
      <c r="BE202" s="14">
        <f>BD202*VLOOKUP('Données projet'!$B$11,Paramètres!$A$1:$I$89,3,0)*VLOOKUP('Données projet'!$B$11,Paramètres!$A$1:$I$89,5,0)</f>
        <v>30.186000000000188</v>
      </c>
      <c r="BF202" s="14">
        <f t="shared" si="167"/>
        <v>9.3563888882899153</v>
      </c>
      <c r="BG202" s="22">
        <f t="shared" si="168"/>
        <v>68.869660647105263</v>
      </c>
      <c r="BH202" s="62">
        <f t="shared" si="194"/>
        <v>359.38603251644139</v>
      </c>
      <c r="BI202" s="62">
        <f ca="1">AVERAGE(OFFSET($BH$3,0,0,'Données projet'!$E$11+1,1))-AVERAGE(OFFSET($H$3,0,0,'Données projet'!$E$11+1,1))</f>
        <v>507.66185230065889</v>
      </c>
      <c r="BJ202" s="62">
        <f t="shared" si="206"/>
        <v>640.14375617778342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22.152086171536165</v>
      </c>
      <c r="BQ202" s="23">
        <f>EXP(-LN(2)/25)*BQ201+(1-EXP(-LN(2)/25))/(LN(2)/25)*Calculateur!BL202*Calculateur!BN202*VLOOKUP('Données projet'!$B$11,Paramètres!$A$1:$I$89,3,0)*0.475*44/12</f>
        <v>0.54093416112716408</v>
      </c>
      <c r="BR202" s="23">
        <f>EXP(-LN(2)/2)*BR201+(1-EXP(-LN(2)/2))/(LN(2)/2)*BL202*BO202*VLOOKUP('Données projet'!$B$11,Paramètres!$A$1:$I$89,3,0)*0.475*44/12</f>
        <v>3.3711822085733606E-23</v>
      </c>
      <c r="BS202" s="24">
        <f t="shared" si="169"/>
        <v>22.69302033266333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417.04879970000007</v>
      </c>
      <c r="BZ202" s="14">
        <f>BY202*VLOOKUP('Données projet'!$B$12,Paramètres!$A$1:$I$89,3,0)*VLOOKUP('Données projet'!$B$12,Paramètres!$A$1:$I$89,5,0)</f>
        <v>195.17883825960004</v>
      </c>
      <c r="CA202" s="14">
        <f t="shared" si="170"/>
        <v>48.683122291673484</v>
      </c>
      <c r="CB202" s="22">
        <f t="shared" si="171"/>
        <v>424.72624796013469</v>
      </c>
      <c r="CC202" s="62">
        <f t="shared" si="195"/>
        <v>715.24261982947087</v>
      </c>
      <c r="CD202" s="62">
        <f ca="1">AVERAGE(OFFSET($CC$3,0,0,'Données projet'!$E$12+1,1))-AVERAGE(OFFSET($H$3,0,0,'Données projet'!$E$12+1,1))</f>
        <v>289.21044803824958</v>
      </c>
      <c r="CE202" s="62">
        <f t="shared" si="207"/>
        <v>196.11836398299445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>
        <f>EXP(-LN(2)/35)*CK201+(1-EXP(-LN(2)/35))/(LN(2)/35)*CG202*CH202*VLOOKUP('Données projet'!$B$12,Paramètres!$A$1:$I$89,3,0)*0.475*44/12</f>
        <v>9.6952916619043172</v>
      </c>
      <c r="CL202" s="23">
        <f>EXP(-LN(2)/25)*CL201+(1-EXP(-LN(2)/25))/(LN(2)/25)*Calculateur!CG202*Calculateur!CI202*VLOOKUP('Données projet'!$B$12,Paramètres!$A$1:$I$89,3,0)*0.475*44/12</f>
        <v>2.0600239485613492</v>
      </c>
      <c r="CM202" s="23">
        <f>EXP(-LN(2)/2)*CM201+(1-EXP(-LN(2)/2))/(LN(2)/2)*CG202*CJ202*VLOOKUP('Données projet'!$B$12,Paramètres!$A$1:$I$89,3,0)*0.475*44/12</f>
        <v>0</v>
      </c>
      <c r="CN202" s="24">
        <f t="shared" si="172"/>
        <v>11.755315610465667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-5.6843418860808015E-14</v>
      </c>
      <c r="CU202" s="18">
        <f>CT202*VLOOKUP('Données projet'!$B$13,Paramètres!$A$1:$I$89,3,0)*VLOOKUP('Données projet'!$B$13,Paramètres!$A$1:$I$89,5,0)</f>
        <v>-5.1431925385259088E-14</v>
      </c>
      <c r="CV202" s="14" t="e">
        <f t="shared" si="173"/>
        <v>#NUM!</v>
      </c>
      <c r="CW202" s="22" t="e">
        <f t="shared" si="174"/>
        <v>#NUM!</v>
      </c>
      <c r="CX202" s="62" t="e">
        <f t="shared" si="196"/>
        <v>#NUM!</v>
      </c>
      <c r="CY202" s="62">
        <f ca="1">AVERAGE(OFFSET($CX$3,0,0,'Données projet'!$E$13+1,1))-AVERAGE(OFFSET($H$3,0,0,'Données projet'!$E$13+1,1))</f>
        <v>376.68007030857598</v>
      </c>
      <c r="CZ202" s="62">
        <f t="shared" si="208"/>
        <v>532.90758914457626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>
        <f>EXP(-LN(2)/35)*DF201+(1-EXP(-LN(2)/35))/(LN(2)/35)*DB202*DC202*VLOOKUP('Données projet'!$B$13,Paramètres!$A$1:$I$89,3,0)*0.475*44/12</f>
        <v>4.4344888793208055</v>
      </c>
      <c r="DG202" s="23">
        <f>EXP(-LN(2)/25)*DG201+(1-EXP(-LN(2)/25))/(LN(2)/25)*Calculateur!DB202*Calculateur!DD202*VLOOKUP('Données projet'!$B$13,Paramètres!$A$1:$I$89,3,0)*0.475*44/12</f>
        <v>0.12086954049350782</v>
      </c>
      <c r="DH202" s="23">
        <f>EXP(-LN(2)/2)*DH201+(1-EXP(-LN(2)/2))/(LN(2)/2)*DB202*DE202*VLOOKUP('Données projet'!$B$13,Paramètres!$A$1:$I$89,3,0)*0.475*44/12</f>
        <v>0</v>
      </c>
      <c r="DI202" s="24">
        <f t="shared" si="175"/>
        <v>4.5553584198143131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5.6843418860808015E-14</v>
      </c>
      <c r="DP202" s="18">
        <f>DO202*VLOOKUP('Données projet'!$B$14,Paramètres!$A$1:$I$89,3,0)*VLOOKUP('Données projet'!$B$14,Paramètres!$A$1:$I$89,5,0)</f>
        <v>5.4092197387944907E-14</v>
      </c>
      <c r="DQ202" s="14">
        <f t="shared" si="176"/>
        <v>8.7287050538073676E-13</v>
      </c>
      <c r="DR202" s="22">
        <f t="shared" si="177"/>
        <v>1.6144600406554537E-12</v>
      </c>
      <c r="DS202" s="62">
        <f t="shared" si="197"/>
        <v>290.51637186933772</v>
      </c>
      <c r="DT202" s="62">
        <f ca="1">AVERAGE(OFFSET($DS$3,0,0,'Données projet'!$E$14+1,1))-AVERAGE(OFFSET($H$3,0,0,'Données projet'!$E$14+1,1))</f>
        <v>364.63161066507769</v>
      </c>
      <c r="DU202" s="62">
        <f t="shared" si="209"/>
        <v>355.44729904860708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>
        <f>EXP(-LN(2)/35)*EA201+(1-EXP(-LN(2)/35))/(LN(2)/35)*DW202*DX202*VLOOKUP('Données projet'!$B$14,Paramètres!$A$1:$I$89,3,0)*0.475*44/12</f>
        <v>12.572362146572429</v>
      </c>
      <c r="EB202" s="23">
        <f>EXP(-LN(2)/25)*EB201+(1-EXP(-LN(2)/25))/(LN(2)/25)*Calculateur!DW202*Calculateur!DY202*VLOOKUP('Données projet'!$B$14,Paramètres!$A$1:$I$89,3,0)*0.475*44/12</f>
        <v>0</v>
      </c>
      <c r="EC202" s="23">
        <f>EXP(-LN(2)/2)*EC201+(1-EXP(-LN(2)/2))/(LN(2)/2)*DW202*DZ202*VLOOKUP('Données projet'!$B$14,Paramètres!$A$1:$I$89,3,0)*0.475*44/12</f>
        <v>0</v>
      </c>
      <c r="ED202" s="24">
        <f t="shared" si="178"/>
        <v>12.572362146572429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5.6843418860808015E-14</v>
      </c>
      <c r="EK202" s="18">
        <f>EJ202*VLOOKUP('Données projet'!$B$15,Paramètres!$A$1:$I$89,3,0)*VLOOKUP('Données projet'!$B$15,Paramètres!$A$1:$I$89,5,0)</f>
        <v>4.1677594708744434E-14</v>
      </c>
      <c r="EL202" s="14">
        <f t="shared" si="179"/>
        <v>6.9326303456159188E-13</v>
      </c>
      <c r="EM202" s="22">
        <f t="shared" si="180"/>
        <v>1.2800215959791691E-12</v>
      </c>
      <c r="EN202" s="62">
        <f t="shared" si="198"/>
        <v>290.51637186933743</v>
      </c>
      <c r="EO202" s="62">
        <f ca="1">AVERAGE(OFFSET($EN$3,0,0,'Données projet'!$E$15+1,1))-AVERAGE(OFFSET($H$3,0,0,'Données projet'!$E$15+1,1))</f>
        <v>293.59366973965774</v>
      </c>
      <c r="EP202" s="62">
        <f t="shared" si="210"/>
        <v>288.13804536120426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>
        <f>EXP(-LN(2)/35)*EV201+(1-EXP(-LN(2)/35))/(LN(2)/35)*ER202*ES202*VLOOKUP('Données projet'!$B$15,Paramètres!$A$1:$I$89,3,0)*0.475*44/12</f>
        <v>9.6869019817853044</v>
      </c>
      <c r="EW202" s="23">
        <f>EXP(-LN(2)/25)*EW201+(1-EXP(-LN(2)/25))/(LN(2)/25)*Calculateur!ER202*Calculateur!ET202*VLOOKUP('Données projet'!$B$15,Paramètres!$A$1:$I$89,3,0)*0.475*44/12</f>
        <v>0</v>
      </c>
      <c r="EX202" s="23">
        <f>EXP(-LN(2)/2)*EX201+(1-EXP(-LN(2)/2))/(LN(2)/2)*ER202*EU202*VLOOKUP('Données projet'!$B$15,Paramètres!$A$1:$I$89,3,0)*0.475*44/12</f>
        <v>0</v>
      </c>
      <c r="EY202" s="24">
        <f t="shared" si="181"/>
        <v>9.6869019817853044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5.6843418860808015E-14</v>
      </c>
      <c r="FF202" s="18">
        <f>FE202*VLOOKUP('Données projet'!$B$16,Paramètres!$A$1:$I$89,3,0)*VLOOKUP('Données projet'!$B$16,Paramètres!$A$1:$I$89,5,0)</f>
        <v>5.4978954722173515E-14</v>
      </c>
      <c r="FG202" s="14">
        <f t="shared" si="182"/>
        <v>8.8550225887742724E-13</v>
      </c>
      <c r="FH202" s="22">
        <f t="shared" si="183"/>
        <v>1.6380047803526383E-12</v>
      </c>
      <c r="FI202" s="62">
        <f t="shared" si="199"/>
        <v>290.51637186933777</v>
      </c>
      <c r="FJ202" s="62">
        <f ca="1">AVERAGE(OFFSET($FI$3,0,0,'Données projet'!$E$16+1,1))-AVERAGE(OFFSET($H$3,0,0,'Données projet'!$E$16+1,1))</f>
        <v>369.69145521630799</v>
      </c>
      <c r="FK202" s="62">
        <f t="shared" si="211"/>
        <v>360.24112103688719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>
        <f>EXP(-LN(2)/35)*FQ201+(1-EXP(-LN(2)/35))/(LN(2)/35)*FM202*FN202*VLOOKUP('Données projet'!$B$16,Paramètres!$A$1:$I$89,3,0)*0.475*44/12</f>
        <v>12.778466444057221</v>
      </c>
      <c r="FR202" s="23">
        <f>EXP(-LN(2)/25)*FR201+(1-EXP(-LN(2)/25))/(LN(2)/25)*Calculateur!FM202*Calculateur!FO202*VLOOKUP('Données projet'!$B$16,Paramètres!$A$1:$I$89,3,0)*0.475*44/12</f>
        <v>0</v>
      </c>
      <c r="FS202" s="23">
        <f>EXP(-LN(2)/2)*FS201+(1-EXP(-LN(2)/2))/(LN(2)/2)*FM202*FP202*VLOOKUP('Données projet'!$B$16,Paramètres!$A$1:$I$89,3,0)*0.475*44/12</f>
        <v>0</v>
      </c>
      <c r="FT202" s="24">
        <f t="shared" si="184"/>
        <v>12.778466444057221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5.6843418860808015E-14</v>
      </c>
      <c r="GA202" s="18">
        <f>FZ202*VLOOKUP('Données projet'!$B$17,Paramètres!$A$1:$I$89,3,0)*VLOOKUP('Données projet'!$B$17,Paramètres!$A$1:$I$89,5,0)</f>
        <v>6.1186256061773749E-14</v>
      </c>
      <c r="GB202" s="14">
        <f t="shared" si="185"/>
        <v>9.7328366192051127E-13</v>
      </c>
      <c r="GC202" s="22">
        <f t="shared" si="186"/>
        <v>1.8017017738191463E-12</v>
      </c>
      <c r="GD202" s="62">
        <f t="shared" si="200"/>
        <v>290.51637186933795</v>
      </c>
      <c r="GE202" s="62">
        <f ca="1">AVERAGE(OFFSET($GD$3,0,0,'Données projet'!$E$17+1,1))-AVERAGE(OFFSET($H$3,0,0,'Données projet'!$E$17+1,1))</f>
        <v>405.06394904053946</v>
      </c>
      <c r="GF202" s="62">
        <f t="shared" si="212"/>
        <v>393.75247087518198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>
        <f>EXP(-LN(2)/35)*GL201+(1-EXP(-LN(2)/35))/(LN(2)/35)*GH202*GI202*VLOOKUP('Données projet'!$B$17,Paramètres!$A$1:$I$89,3,0)*0.475*44/12</f>
        <v>14.221196526450766</v>
      </c>
      <c r="GM202" s="23">
        <f>EXP(-LN(2)/25)*GM201+(1-EXP(-LN(2)/25))/(LN(2)/25)*Calculateur!GH202*Calculateur!GJ202*VLOOKUP('Données projet'!$B$17,Paramètres!$A$1:$I$89,3,0)*0.475*44/12</f>
        <v>0</v>
      </c>
      <c r="GN202" s="23">
        <f>EXP(-LN(2)/2)*GN201+(1-EXP(-LN(2)/2))/(LN(2)/2)*GH202*GK202*VLOOKUP('Données projet'!$B$17,Paramètres!$A$1:$I$89,3,0)*0.475*44/12</f>
        <v>0</v>
      </c>
      <c r="GO202" s="23">
        <f t="shared" si="187"/>
        <v>14.221196526450766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5.6843418860808015E-14</v>
      </c>
      <c r="GV202" s="18">
        <f>GU202*VLOOKUP('Données projet'!$B$18,Paramètres!$A$1:$I$89,3,0)*VLOOKUP('Données projet'!$B$18,Paramètres!$A$1:$I$89,5,0)</f>
        <v>3.813056537183002E-14</v>
      </c>
      <c r="GW202" s="14">
        <f t="shared" si="188"/>
        <v>6.4086286045526829E-13</v>
      </c>
      <c r="GX202" s="22">
        <f t="shared" si="189"/>
        <v>1.1825802166488628E-12</v>
      </c>
      <c r="GY202" s="62">
        <f t="shared" si="201"/>
        <v>290.51637186933732</v>
      </c>
      <c r="GZ202" s="62">
        <f ca="1">AVERAGE(OFFSET($GY$3,0,0,'Données projet'!$E$18+1,1))-AVERAGE(OFFSET($H$3,0,0,'Données projet'!$E$18+1,1))</f>
        <v>273.21861937609918</v>
      </c>
      <c r="HA202" s="62">
        <f t="shared" si="213"/>
        <v>268.83004886965318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>
        <f>EXP(-LN(2)/35)*HG201+(1-EXP(-LN(2)/35))/(LN(2)/35)*HC202*HD202*VLOOKUP('Données projet'!$B$18,Paramètres!$A$1:$I$89,3,0)*0.475*44/12</f>
        <v>10.923527766694074</v>
      </c>
      <c r="HH202" s="23">
        <f>EXP(-LN(2)/25)*HH201+(1-EXP(-LN(2)/25))/(LN(2)/25)*Calculateur!HC202*Calculateur!HE202*VLOOKUP('Données projet'!$B$18,Paramètres!$A$1:$I$89,3,0)*0.475*44/12</f>
        <v>0</v>
      </c>
      <c r="HI202" s="23">
        <f>EXP(-LN(2)/2)*HI201+(1-EXP(-LN(2)/2))/(LN(2)/2)*HC202*HF202*VLOOKUP('Données projet'!$B$18,Paramètres!$A$1:$I$89,3,0)*0.475*44/12</f>
        <v>0</v>
      </c>
      <c r="HJ202" s="24">
        <f t="shared" si="190"/>
        <v>10.923527766694074</v>
      </c>
    </row>
    <row r="203" spans="1:218" ht="14.65" thickBot="1" x14ac:dyDescent="0.5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-178.57392686804454</v>
      </c>
      <c r="O203" s="14">
        <f>N203*VLOOKUP('Données projet'!$B$9,Paramètres!$A$1:$I$89,3,0)*VLOOKUP('Données projet'!$B$9,Paramètres!$A$1:$I$89,5,0)</f>
        <v>-161.57368903020668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432.80275651765203</v>
      </c>
      <c r="T203" s="62">
        <f t="shared" si="204"/>
        <v>203.89279893419919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131.30503421641021</v>
      </c>
      <c r="AA203" s="23">
        <f>EXP(-LN(2)/25)*AA202+(1-EXP(-LN(2)/25))/(LN(2)/25)*Calculateur!V203*Calculateur!X203*VLOOKUP('Données projet'!$B$9,Paramètres!$A$1:$I$89,3,0)*0.475*44/12</f>
        <v>13.459309954289935</v>
      </c>
      <c r="AB203" s="23">
        <f>EXP(-LN(2)/2)*AB202+(1-EXP(-LN(2)/2))/(LN(2)/2)*V203*Y203*VLOOKUP('Données projet'!$B$9,Paramètres!$A$1:$I$89,3,0)*0.475*44/12</f>
        <v>0</v>
      </c>
      <c r="AC203" s="24">
        <f t="shared" si="163"/>
        <v>144.76434417070016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54.000000000000341</v>
      </c>
      <c r="AJ203" s="14">
        <f>AI203*VLOOKUP('Données projet'!$B$10,Paramètres!$A$1:$I$89,3,0)*VLOOKUP('Données projet'!$B$10,Paramètres!$A$1:$I$89,5,0)</f>
        <v>23.868000000000151</v>
      </c>
      <c r="AK203" s="14">
        <f t="shared" si="164"/>
        <v>7.6030930962115804</v>
      </c>
      <c r="AL203" s="22">
        <f t="shared" si="165"/>
        <v>54.812153809235433</v>
      </c>
      <c r="AM203" s="62">
        <f t="shared" si="193"/>
        <v>345.37739366218955</v>
      </c>
      <c r="AN203" s="62">
        <f ca="1">AVERAGE(OFFSET($AM$3,0,0,'Données projet'!$E$10+1,1))-AVERAGE(OFFSET($H$3,0,0,'Données projet'!$E$10+1,1))</f>
        <v>413.08876898406481</v>
      </c>
      <c r="AO203" s="62">
        <f t="shared" si="205"/>
        <v>520.31320932826566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17.172132727607604</v>
      </c>
      <c r="AV203" s="23">
        <f>EXP(-LN(2)/25)*AV202+(1-EXP(-LN(2)/25))/(LN(2)/25)*Calculateur!AQ203*Calculateur!AS203*VLOOKUP('Données projet'!$B$10,Paramètres!$A$1:$I$89,3,0)*0.475*44/12</f>
        <v>0.41601948357018848</v>
      </c>
      <c r="AW203" s="23">
        <f>EXP(-LN(2)/2)*AW202+(1-EXP(-LN(2)/2))/(LN(2)/2)*AQ203*AT203*VLOOKUP('Données projet'!$B$10,Paramètres!$A$1:$I$89,3,0)*0.475*44/12</f>
        <v>1.8848538886074551E-23</v>
      </c>
      <c r="AX203" s="23">
        <f t="shared" si="166"/>
        <v>17.588152211177793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54.000000000000341</v>
      </c>
      <c r="BE203" s="14">
        <f>BD203*VLOOKUP('Données projet'!$B$11,Paramètres!$A$1:$I$89,3,0)*VLOOKUP('Données projet'!$B$11,Paramètres!$A$1:$I$89,5,0)</f>
        <v>30.186000000000188</v>
      </c>
      <c r="BF203" s="14">
        <f t="shared" si="167"/>
        <v>9.3563888882899153</v>
      </c>
      <c r="BG203" s="22">
        <f t="shared" si="168"/>
        <v>68.869660647105263</v>
      </c>
      <c r="BH203" s="62">
        <f t="shared" si="194"/>
        <v>359.43490050005937</v>
      </c>
      <c r="BI203" s="62">
        <f ca="1">AVERAGE(OFFSET($BH$3,0,0,'Données projet'!$E$11+1,1))-AVERAGE(OFFSET($H$3,0,0,'Données projet'!$E$11+1,1))</f>
        <v>507.66185230065889</v>
      </c>
      <c r="BJ203" s="62">
        <f t="shared" si="206"/>
        <v>640.14375617778342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21.717697273150762</v>
      </c>
      <c r="BQ203" s="23">
        <f>EXP(-LN(2)/25)*BQ202+(1-EXP(-LN(2)/25))/(LN(2)/25)*Calculateur!BL203*Calculateur!BN203*VLOOKUP('Données projet'!$B$11,Paramètres!$A$1:$I$89,3,0)*0.475*44/12</f>
        <v>0.52614228804465057</v>
      </c>
      <c r="BR203" s="23">
        <f>EXP(-LN(2)/2)*BR202+(1-EXP(-LN(2)/2))/(LN(2)/2)*BL203*BO203*VLOOKUP('Données projet'!$B$11,Paramètres!$A$1:$I$89,3,0)*0.475*44/12</f>
        <v>2.3837858002976653E-23</v>
      </c>
      <c r="BS203" s="24">
        <f t="shared" si="169"/>
        <v>22.243839561195411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417.04879970000007</v>
      </c>
      <c r="BZ203" s="14">
        <f>BY203*VLOOKUP('Données projet'!$B$12,Paramètres!$A$1:$I$89,3,0)*VLOOKUP('Données projet'!$B$12,Paramètres!$A$1:$I$89,5,0)</f>
        <v>195.17883825960004</v>
      </c>
      <c r="CA203" s="14">
        <f t="shared" si="170"/>
        <v>48.683122291673484</v>
      </c>
      <c r="CB203" s="22">
        <f t="shared" si="171"/>
        <v>424.72624796013469</v>
      </c>
      <c r="CC203" s="62">
        <f t="shared" si="195"/>
        <v>715.29148781308879</v>
      </c>
      <c r="CD203" s="62">
        <f ca="1">AVERAGE(OFFSET($CC$3,0,0,'Données projet'!$E$12+1,1))-AVERAGE(OFFSET($H$3,0,0,'Données projet'!$E$12+1,1))</f>
        <v>289.21044803824958</v>
      </c>
      <c r="CE203" s="62">
        <f t="shared" si="207"/>
        <v>196.11836398299445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>
        <f>EXP(-LN(2)/35)*CK202+(1-EXP(-LN(2)/35))/(LN(2)/35)*CG203*CH203*VLOOKUP('Données projet'!$B$12,Paramètres!$A$1:$I$89,3,0)*0.475*44/12</f>
        <v>9.5051729059583732</v>
      </c>
      <c r="CL203" s="23">
        <f>EXP(-LN(2)/25)*CL202+(1-EXP(-LN(2)/25))/(LN(2)/25)*Calculateur!CG203*Calculateur!CI203*VLOOKUP('Données projet'!$B$12,Paramètres!$A$1:$I$89,3,0)*0.475*44/12</f>
        <v>2.0036924853559879</v>
      </c>
      <c r="CM203" s="23">
        <f>EXP(-LN(2)/2)*CM202+(1-EXP(-LN(2)/2))/(LN(2)/2)*CG203*CJ203*VLOOKUP('Données projet'!$B$12,Paramètres!$A$1:$I$89,3,0)*0.475*44/12</f>
        <v>0</v>
      </c>
      <c r="CN203" s="24">
        <f t="shared" si="172"/>
        <v>11.508865391314361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-5.6843418860808015E-14</v>
      </c>
      <c r="CU203" s="18">
        <f>CT203*VLOOKUP('Données projet'!$B$13,Paramètres!$A$1:$I$89,3,0)*VLOOKUP('Données projet'!$B$13,Paramètres!$A$1:$I$89,5,0)</f>
        <v>-5.1431925385259088E-14</v>
      </c>
      <c r="CV203" s="14" t="e">
        <f t="shared" si="173"/>
        <v>#NUM!</v>
      </c>
      <c r="CW203" s="22" t="e">
        <f t="shared" si="174"/>
        <v>#NUM!</v>
      </c>
      <c r="CX203" s="62" t="e">
        <f t="shared" si="196"/>
        <v>#NUM!</v>
      </c>
      <c r="CY203" s="62">
        <f ca="1">AVERAGE(OFFSET($CX$3,0,0,'Données projet'!$E$13+1,1))-AVERAGE(OFFSET($H$3,0,0,'Données projet'!$E$13+1,1))</f>
        <v>376.68007030857598</v>
      </c>
      <c r="CZ203" s="62">
        <f t="shared" si="208"/>
        <v>532.90758914457626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>
        <f>EXP(-LN(2)/35)*DF202+(1-EXP(-LN(2)/35))/(LN(2)/35)*DB203*DC203*VLOOKUP('Données projet'!$B$13,Paramètres!$A$1:$I$89,3,0)*0.475*44/12</f>
        <v>4.347531257168467</v>
      </c>
      <c r="DG203" s="23">
        <f>EXP(-LN(2)/25)*DG202+(1-EXP(-LN(2)/25))/(LN(2)/25)*Calculateur!DB203*Calculateur!DD203*VLOOKUP('Données projet'!$B$13,Paramètres!$A$1:$I$89,3,0)*0.475*44/12</f>
        <v>0.11756435655245996</v>
      </c>
      <c r="DH203" s="23">
        <f>EXP(-LN(2)/2)*DH202+(1-EXP(-LN(2)/2))/(LN(2)/2)*DB203*DE203*VLOOKUP('Données projet'!$B$13,Paramètres!$A$1:$I$89,3,0)*0.475*44/12</f>
        <v>0</v>
      </c>
      <c r="DI203" s="24">
        <f t="shared" si="175"/>
        <v>4.4650956137209272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5.6843418860808015E-14</v>
      </c>
      <c r="DP203" s="18">
        <f>DO203*VLOOKUP('Données projet'!$B$14,Paramètres!$A$1:$I$89,3,0)*VLOOKUP('Données projet'!$B$14,Paramètres!$A$1:$I$89,5,0)</f>
        <v>5.4092197387944907E-14</v>
      </c>
      <c r="DQ203" s="14">
        <f t="shared" si="176"/>
        <v>8.7287050538073676E-13</v>
      </c>
      <c r="DR203" s="22">
        <f t="shared" si="177"/>
        <v>1.6144600406554537E-12</v>
      </c>
      <c r="DS203" s="62">
        <f t="shared" si="197"/>
        <v>290.5652398529557</v>
      </c>
      <c r="DT203" s="62">
        <f ca="1">AVERAGE(OFFSET($DS$3,0,0,'Données projet'!$E$14+1,1))-AVERAGE(OFFSET($H$3,0,0,'Données projet'!$E$14+1,1))</f>
        <v>364.63161066507769</v>
      </c>
      <c r="DU203" s="62">
        <f t="shared" si="209"/>
        <v>355.44729904860708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>
        <f>EXP(-LN(2)/35)*EA202+(1-EXP(-LN(2)/35))/(LN(2)/35)*DW203*DX203*VLOOKUP('Données projet'!$B$14,Paramètres!$A$1:$I$89,3,0)*0.475*44/12</f>
        <v>12.325825793261863</v>
      </c>
      <c r="EB203" s="23">
        <f>EXP(-LN(2)/25)*EB202+(1-EXP(-LN(2)/25))/(LN(2)/25)*Calculateur!DW203*Calculateur!DY203*VLOOKUP('Données projet'!$B$14,Paramètres!$A$1:$I$89,3,0)*0.475*44/12</f>
        <v>0</v>
      </c>
      <c r="EC203" s="23">
        <f>EXP(-LN(2)/2)*EC202+(1-EXP(-LN(2)/2))/(LN(2)/2)*DW203*DZ203*VLOOKUP('Données projet'!$B$14,Paramètres!$A$1:$I$89,3,0)*0.475*44/12</f>
        <v>0</v>
      </c>
      <c r="ED203" s="24">
        <f t="shared" si="178"/>
        <v>12.325825793261863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5.6843418860808015E-14</v>
      </c>
      <c r="EK203" s="18">
        <f>EJ203*VLOOKUP('Données projet'!$B$15,Paramètres!$A$1:$I$89,3,0)*VLOOKUP('Données projet'!$B$15,Paramètres!$A$1:$I$89,5,0)</f>
        <v>4.1677594708744434E-14</v>
      </c>
      <c r="EL203" s="14">
        <f t="shared" si="179"/>
        <v>6.9326303456159188E-13</v>
      </c>
      <c r="EM203" s="22">
        <f t="shared" si="180"/>
        <v>1.2800215959791691E-12</v>
      </c>
      <c r="EN203" s="62">
        <f t="shared" si="198"/>
        <v>290.56523985295541</v>
      </c>
      <c r="EO203" s="62">
        <f ca="1">AVERAGE(OFFSET($EN$3,0,0,'Données projet'!$E$15+1,1))-AVERAGE(OFFSET($H$3,0,0,'Données projet'!$E$15+1,1))</f>
        <v>293.59366973965774</v>
      </c>
      <c r="EP203" s="62">
        <f t="shared" si="210"/>
        <v>288.13804536120426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>
        <f>EXP(-LN(2)/35)*EV202+(1-EXP(-LN(2)/35))/(LN(2)/35)*ER203*ES203*VLOOKUP('Données projet'!$B$15,Paramètres!$A$1:$I$89,3,0)*0.475*44/12</f>
        <v>9.4969477423492954</v>
      </c>
      <c r="EW203" s="23">
        <f>EXP(-LN(2)/25)*EW202+(1-EXP(-LN(2)/25))/(LN(2)/25)*Calculateur!ER203*Calculateur!ET203*VLOOKUP('Données projet'!$B$15,Paramètres!$A$1:$I$89,3,0)*0.475*44/12</f>
        <v>0</v>
      </c>
      <c r="EX203" s="23">
        <f>EXP(-LN(2)/2)*EX202+(1-EXP(-LN(2)/2))/(LN(2)/2)*ER203*EU203*VLOOKUP('Données projet'!$B$15,Paramètres!$A$1:$I$89,3,0)*0.475*44/12</f>
        <v>0</v>
      </c>
      <c r="EY203" s="24">
        <f t="shared" si="181"/>
        <v>9.4969477423492954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5.6843418860808015E-14</v>
      </c>
      <c r="FF203" s="18">
        <f>FE203*VLOOKUP('Données projet'!$B$16,Paramètres!$A$1:$I$89,3,0)*VLOOKUP('Données projet'!$B$16,Paramètres!$A$1:$I$89,5,0)</f>
        <v>5.4978954722173515E-14</v>
      </c>
      <c r="FG203" s="14">
        <f t="shared" si="182"/>
        <v>8.8550225887742724E-13</v>
      </c>
      <c r="FH203" s="22">
        <f t="shared" si="183"/>
        <v>1.6380047803526383E-12</v>
      </c>
      <c r="FI203" s="62">
        <f t="shared" si="199"/>
        <v>290.56523985295576</v>
      </c>
      <c r="FJ203" s="62">
        <f ca="1">AVERAGE(OFFSET($FI$3,0,0,'Données projet'!$E$16+1,1))-AVERAGE(OFFSET($H$3,0,0,'Données projet'!$E$16+1,1))</f>
        <v>369.69145521630799</v>
      </c>
      <c r="FK203" s="62">
        <f t="shared" si="211"/>
        <v>360.24112103688719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>
        <f>EXP(-LN(2)/35)*FQ202+(1-EXP(-LN(2)/35))/(LN(2)/35)*FM203*FN203*VLOOKUP('Données projet'!$B$16,Paramètres!$A$1:$I$89,3,0)*0.475*44/12</f>
        <v>12.527888511184187</v>
      </c>
      <c r="FR203" s="23">
        <f>EXP(-LN(2)/25)*FR202+(1-EXP(-LN(2)/25))/(LN(2)/25)*Calculateur!FM203*Calculateur!FO203*VLOOKUP('Données projet'!$B$16,Paramètres!$A$1:$I$89,3,0)*0.475*44/12</f>
        <v>0</v>
      </c>
      <c r="FS203" s="23">
        <f>EXP(-LN(2)/2)*FS202+(1-EXP(-LN(2)/2))/(LN(2)/2)*FM203*FP203*VLOOKUP('Données projet'!$B$16,Paramètres!$A$1:$I$89,3,0)*0.475*44/12</f>
        <v>0</v>
      </c>
      <c r="FT203" s="24">
        <f t="shared" si="184"/>
        <v>12.527888511184187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5.6843418860808015E-14</v>
      </c>
      <c r="GA203" s="18">
        <f>FZ203*VLOOKUP('Données projet'!$B$17,Paramètres!$A$1:$I$89,3,0)*VLOOKUP('Données projet'!$B$17,Paramètres!$A$1:$I$89,5,0)</f>
        <v>6.1186256061773749E-14</v>
      </c>
      <c r="GB203" s="14">
        <f t="shared" si="185"/>
        <v>9.7328366192051127E-13</v>
      </c>
      <c r="GC203" s="22">
        <f t="shared" si="186"/>
        <v>1.8017017738191463E-12</v>
      </c>
      <c r="GD203" s="62">
        <f t="shared" si="200"/>
        <v>290.56523985295593</v>
      </c>
      <c r="GE203" s="62">
        <f ca="1">AVERAGE(OFFSET($GD$3,0,0,'Données projet'!$E$17+1,1))-AVERAGE(OFFSET($H$3,0,0,'Données projet'!$E$17+1,1))</f>
        <v>405.06394904053946</v>
      </c>
      <c r="GF203" s="62">
        <f t="shared" si="212"/>
        <v>393.75247087518198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>
        <f>EXP(-LN(2)/35)*GL202+(1-EXP(-LN(2)/35))/(LN(2)/35)*GH203*GI203*VLOOKUP('Données projet'!$B$17,Paramètres!$A$1:$I$89,3,0)*0.475*44/12</f>
        <v>13.942327536640455</v>
      </c>
      <c r="GM203" s="23">
        <f>EXP(-LN(2)/25)*GM202+(1-EXP(-LN(2)/25))/(LN(2)/25)*Calculateur!GH203*Calculateur!GJ203*VLOOKUP('Données projet'!$B$17,Paramètres!$A$1:$I$89,3,0)*0.475*44/12</f>
        <v>0</v>
      </c>
      <c r="GN203" s="23">
        <f>EXP(-LN(2)/2)*GN202+(1-EXP(-LN(2)/2))/(LN(2)/2)*GH203*GK203*VLOOKUP('Données projet'!$B$17,Paramètres!$A$1:$I$89,3,0)*0.475*44/12</f>
        <v>0</v>
      </c>
      <c r="GO203" s="23">
        <f t="shared" si="187"/>
        <v>13.942327536640455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5.6843418860808015E-14</v>
      </c>
      <c r="GV203" s="18">
        <f>GU203*VLOOKUP('Données projet'!$B$18,Paramètres!$A$1:$I$89,3,0)*VLOOKUP('Données projet'!$B$18,Paramètres!$A$1:$I$89,5,0)</f>
        <v>3.813056537183002E-14</v>
      </c>
      <c r="GW203" s="14">
        <f t="shared" si="188"/>
        <v>6.4086286045526829E-13</v>
      </c>
      <c r="GX203" s="22">
        <f t="shared" si="189"/>
        <v>1.1825802166488628E-12</v>
      </c>
      <c r="GY203" s="62">
        <f t="shared" si="201"/>
        <v>290.5652398529553</v>
      </c>
      <c r="GZ203" s="62">
        <f ca="1">AVERAGE(OFFSET($GY$3,0,0,'Données projet'!$E$18+1,1))-AVERAGE(OFFSET($H$3,0,0,'Données projet'!$E$18+1,1))</f>
        <v>273.21861937609918</v>
      </c>
      <c r="HA203" s="62">
        <f t="shared" si="213"/>
        <v>268.83004886965318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>
        <f>EXP(-LN(2)/35)*HG202+(1-EXP(-LN(2)/35))/(LN(2)/35)*HC203*HD203*VLOOKUP('Données projet'!$B$18,Paramètres!$A$1:$I$89,3,0)*0.475*44/12</f>
        <v>10.709324049883254</v>
      </c>
      <c r="HH203" s="23">
        <f>EXP(-LN(2)/25)*HH202+(1-EXP(-LN(2)/25))/(LN(2)/25)*Calculateur!HC203*Calculateur!HE203*VLOOKUP('Données projet'!$B$18,Paramètres!$A$1:$I$89,3,0)*0.475*44/12</f>
        <v>0</v>
      </c>
      <c r="HI203" s="23">
        <f>EXP(-LN(2)/2)*HI202+(1-EXP(-LN(2)/2))/(LN(2)/2)*HC203*HF203*VLOOKUP('Données projet'!$B$18,Paramètres!$A$1:$I$89,3,0)*0.475*44/12</f>
        <v>0</v>
      </c>
      <c r="HJ203" s="24">
        <f t="shared" si="190"/>
        <v>10.709324049883254</v>
      </c>
    </row>
    <row r="204" spans="1:218" ht="14.65" thickBot="1" x14ac:dyDescent="0.5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4.65" thickBot="1" x14ac:dyDescent="0.5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1.097634537603984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1.2671315883708416</v>
      </c>
      <c r="BA205" s="88">
        <f>EXP(LN('Données projet'!B88)/'Données projet'!A88)</f>
        <v>1.2671315883708416</v>
      </c>
      <c r="BV205" s="88">
        <f>EXP(LN('Données projet'!B114)/'Données projet'!A114)</f>
        <v>1.2562492911629928</v>
      </c>
      <c r="CQ205" s="88">
        <f>EXP(LN('Données projet'!B140)/'Données projet'!A140)</f>
        <v>2.0243974584998852</v>
      </c>
      <c r="DL205" s="88">
        <f>EXP(LN('Données projet'!B166)/'Données projet'!A166)</f>
        <v>1.2788040393997409</v>
      </c>
      <c r="EG205" s="88">
        <f>EXP(LN('Données projet'!B192)/'Données projet'!A192)</f>
        <v>1.2788040393997409</v>
      </c>
      <c r="FB205" s="88">
        <f>EXP(LN('Données projet'!B218)/'Données projet'!A218)</f>
        <v>1.2788040393997409</v>
      </c>
      <c r="FW205" s="88">
        <f>EXP(LN('Données projet'!B244)/'Données projet'!A244)</f>
        <v>1.2788040393997409</v>
      </c>
      <c r="GR205" s="88">
        <f>EXP(LN('Données projet'!B270)/'Données projet'!A270)</f>
        <v>1.2788040393997409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3984375" defaultRowHeight="14.25" x14ac:dyDescent="0.45"/>
  <cols>
    <col min="1" max="1" width="23.3984375" style="5" bestFit="1" customWidth="1"/>
    <col min="2" max="2" width="27.73046875" style="5" bestFit="1" customWidth="1"/>
    <col min="3" max="3" width="11.86328125" style="5" bestFit="1" customWidth="1"/>
    <col min="4" max="4" width="40" style="5" bestFit="1" customWidth="1"/>
    <col min="5" max="5" width="11.86328125" style="5" bestFit="1" customWidth="1"/>
    <col min="6" max="6" width="13.73046875" style="5" bestFit="1" customWidth="1"/>
    <col min="7" max="7" width="11.3984375" style="5" bestFit="1" customWidth="1"/>
    <col min="8" max="8" width="39" style="5" bestFit="1" customWidth="1"/>
    <col min="9" max="9" width="16.73046875" style="5" customWidth="1"/>
    <col min="10" max="14" width="11.3984375" style="5"/>
    <col min="15" max="15" width="23.3984375" style="5" bestFit="1" customWidth="1"/>
    <col min="16" max="16384" width="11.3984375" style="5"/>
  </cols>
  <sheetData>
    <row r="1" spans="1:16" ht="43.15" thickBot="1" x14ac:dyDescent="0.5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4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20" t="s">
        <v>238</v>
      </c>
      <c r="P2" s="130">
        <v>0</v>
      </c>
    </row>
    <row r="3" spans="1:16" ht="14.65" thickBot="1" x14ac:dyDescent="0.5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21"/>
      <c r="P3" s="137">
        <v>0.2</v>
      </c>
    </row>
    <row r="4" spans="1:16" ht="14.65" thickBot="1" x14ac:dyDescent="0.5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4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20" t="s">
        <v>237</v>
      </c>
      <c r="P5" s="130">
        <v>0</v>
      </c>
    </row>
    <row r="6" spans="1:16" x14ac:dyDescent="0.4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22"/>
      <c r="P6" s="138">
        <v>0.05</v>
      </c>
    </row>
    <row r="7" spans="1:16" x14ac:dyDescent="0.4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22"/>
      <c r="P7" s="138">
        <v>0.1</v>
      </c>
    </row>
    <row r="8" spans="1:16" ht="14.65" thickBot="1" x14ac:dyDescent="0.5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21"/>
      <c r="P8" s="137">
        <v>0.15</v>
      </c>
    </row>
    <row r="9" spans="1:16" ht="14.65" thickBot="1" x14ac:dyDescent="0.5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4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20" t="s">
        <v>236</v>
      </c>
      <c r="P10" s="130">
        <v>0</v>
      </c>
    </row>
    <row r="11" spans="1:16" ht="14.65" thickBot="1" x14ac:dyDescent="0.5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21"/>
      <c r="P11" s="137">
        <v>0.1</v>
      </c>
    </row>
    <row r="12" spans="1:16" x14ac:dyDescent="0.4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4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4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4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4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4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4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4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4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4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4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4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4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4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4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4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4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4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4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4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4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4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4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4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4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4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4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4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4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4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4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4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4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4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4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4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4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4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4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4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4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4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4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4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4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4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4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4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4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4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4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4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4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4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4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4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4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4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4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4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4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4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4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4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4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4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4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4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4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4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4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4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4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4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4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4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4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4.65" thickBot="1" x14ac:dyDescent="0.5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45">
      <c r="A93" s="131" t="s">
        <v>208</v>
      </c>
    </row>
    <row r="94" spans="1:14" x14ac:dyDescent="0.45">
      <c r="A94" s="131" t="s">
        <v>209</v>
      </c>
    </row>
    <row r="95" spans="1:14" x14ac:dyDescent="0.4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2" zoomScale="70" zoomScaleNormal="70" workbookViewId="0">
      <selection activeCell="K20" sqref="K20"/>
    </sheetView>
  </sheetViews>
  <sheetFormatPr baseColWidth="10" defaultColWidth="11.3984375" defaultRowHeight="14.25" x14ac:dyDescent="0.45"/>
  <cols>
    <col min="1" max="1" width="22.86328125" style="1" bestFit="1" customWidth="1"/>
    <col min="2" max="2" width="10.59765625" style="1" bestFit="1" customWidth="1"/>
    <col min="3" max="3" width="15.59765625" style="1" bestFit="1" customWidth="1"/>
    <col min="4" max="4" width="13.3984375" style="1" bestFit="1" customWidth="1"/>
    <col min="5" max="8" width="11.3984375" style="1"/>
    <col min="9" max="13" width="11.3984375" style="65"/>
    <col min="14" max="15" width="11.3984375" style="1"/>
    <col min="16" max="17" width="13.3984375" style="1" customWidth="1"/>
    <col min="18" max="16384" width="11.3984375" style="1"/>
  </cols>
  <sheetData>
    <row r="1" spans="1:62" ht="14.65" thickBot="1" x14ac:dyDescent="0.5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5.9" thickBot="1" x14ac:dyDescent="0.8">
      <c r="A2" s="311" t="s">
        <v>271</v>
      </c>
      <c r="B2" s="312"/>
      <c r="C2" s="312"/>
      <c r="D2" s="312"/>
      <c r="E2" s="312"/>
      <c r="F2" s="312"/>
      <c r="G2" s="312"/>
      <c r="H2" s="312"/>
      <c r="I2" s="312"/>
      <c r="J2" s="312"/>
      <c r="K2" s="312"/>
      <c r="L2" s="313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4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4.65" thickBot="1" x14ac:dyDescent="0.5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57.4" thickBot="1" x14ac:dyDescent="0.5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45">
      <c r="A6" s="154" t="str">
        <f>IF('Données projet'!$B$9="","",'Données projet'!$B$9)</f>
        <v>Chêne sessile</v>
      </c>
      <c r="B6" s="155">
        <f>'Données projet'!D9</f>
        <v>7.2709000000000001</v>
      </c>
      <c r="C6" s="156">
        <f ca="1">IF(OR('Données projet'!B9="",'Données projet'!C9="",'Données projet'!C9=0%),0,Calculateur!S3)</f>
        <v>432.80275651765203</v>
      </c>
      <c r="D6" s="156">
        <f>IF(OR('Données projet'!B9="",'Données projet'!C9="",'Données projet'!C9=0%),0,Calculateur!T3)</f>
        <v>203.89279893419919</v>
      </c>
      <c r="E6" s="156">
        <f ca="1">MIN(C6,D6)</f>
        <v>203.89279893419919</v>
      </c>
      <c r="F6" s="156">
        <f ca="1">E6*B6</f>
        <v>1482.4841517706689</v>
      </c>
      <c r="G6" s="156">
        <f ca="1">F6*(100%-'Données projet'!$C$24)*(100%-'Données projet'!$C$25)*(100%-'Données projet'!$C$26)*(100%-'Données projet'!$C$27)</f>
        <v>1334.235736593602</v>
      </c>
      <c r="H6" s="157">
        <f>IF(OR('Données projet'!B9="",'Données projet'!C9="",'Données projet'!C9=0%),0,AVERAGE(Calculateur!$AC$3:$AC$33)*B6)</f>
        <v>0</v>
      </c>
      <c r="I6" s="158">
        <f>H6*(100%-'Données projet'!$C$24)*(100%-'Données projet'!$C$25)*(100%-'Données projet'!$C$26)*(100%-'Données projet'!$C$27)</f>
        <v>0</v>
      </c>
      <c r="J6" s="159">
        <f>IF(OR('Données projet'!B9="",'Données projet'!C9="",'Données projet'!C9=0%),0,SUM(Calculateur!$V$3:$V$33)*VLOOKUP('Données projet'!$B$9,Paramètres!$A$1:$I$89,9,0)*B6)</f>
        <v>0</v>
      </c>
      <c r="K6" s="160">
        <f>J6*(100%-'Données projet'!$C$24)*(100%-'Données projet'!$C$25)*(100%-'Données projet'!$C$26)*(100%-'Données projet'!$C$27)</f>
        <v>0</v>
      </c>
      <c r="L6" s="161">
        <f ca="1">G6+I6+K6</f>
        <v>1334.235736593602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45">
      <c r="A7" s="162" t="str">
        <f>IF('Données projet'!$B$10="","",'Données projet'!$B$10)</f>
        <v>Séquoia toujours vert</v>
      </c>
      <c r="B7" s="163">
        <f>'Données projet'!D10</f>
        <v>0.55509999999999993</v>
      </c>
      <c r="C7" s="156">
        <f ca="1">IF(OR('Données projet'!B10="",'Données projet'!C10="",'Données projet'!C10=0%),0,Calculateur!AN3)</f>
        <v>413.08876898406481</v>
      </c>
      <c r="D7" s="156">
        <f>IF(OR('Données projet'!B10="",'Données projet'!C10="",'Données projet'!C10=0%),0,Calculateur!AO3)</f>
        <v>520.31320932826566</v>
      </c>
      <c r="E7" s="156">
        <f t="shared" ref="E7:E15" ca="1" si="0">MIN(C7,D7)</f>
        <v>413.08876898406481</v>
      </c>
      <c r="F7" s="156">
        <f t="shared" ref="F7:F15" ca="1" si="1">E7*B7</f>
        <v>229.30557566305436</v>
      </c>
      <c r="G7" s="156">
        <f ca="1">F7*(100%-'Données projet'!$C$24)*(100%-'Données projet'!$C$25)*(100%-'Données projet'!$C$26)*(100%-'Données projet'!$C$27)</f>
        <v>206.37501809674893</v>
      </c>
      <c r="H7" s="164">
        <f>IF(OR('Données projet'!B10="",'Données projet'!C10="",'Données projet'!C10=0%),0,AVERAGE(Calculateur!$AX$3:$AX$33)*B7)</f>
        <v>0.47652562556165834</v>
      </c>
      <c r="I7" s="158">
        <f>H7*(100%-'Données projet'!$C$24)*(100%-'Données projet'!$C$25)*(100%-'Données projet'!$C$26)*(100%-'Données projet'!$C$27)</f>
        <v>0.42887306300549249</v>
      </c>
      <c r="J7" s="159">
        <f>IF(OR('Données projet'!B10="",'Données projet'!C10="",'Données projet'!C10=0%),0,SUM(Calculateur!$AQ$3:$AQ$33)*VLOOKUP('Données projet'!$B$10,Paramètres!$A$1:$I$89,9,0)*B7)</f>
        <v>16.469816999999995</v>
      </c>
      <c r="K7" s="160">
        <f>J7*(100%-'Données projet'!$C$24)*(100%-'Données projet'!$C$25)*(100%-'Données projet'!$C$26)*(100%-'Données projet'!$C$27)</f>
        <v>14.822835299999996</v>
      </c>
      <c r="L7" s="161">
        <f t="shared" ref="L7:L15" ca="1" si="2">G7+I7+K7</f>
        <v>221.62672645975442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45">
      <c r="A8" s="162" t="str">
        <f>IF('Données projet'!$B$11="","",'Données projet'!$B$11)</f>
        <v>Douglas</v>
      </c>
      <c r="B8" s="163">
        <f>'Données projet'!D11</f>
        <v>0.38857000000000003</v>
      </c>
      <c r="C8" s="156">
        <f ca="1">IF(OR('Données projet'!B11="",'Données projet'!C11="",'Données projet'!C11=0%),0,Calculateur!BI3)</f>
        <v>507.66185230065889</v>
      </c>
      <c r="D8" s="156">
        <f>IF(OR('Données projet'!B11="",'Données projet'!C11="",'Données projet'!C11=0%),0,Calculateur!BJ3)</f>
        <v>640.14375617778342</v>
      </c>
      <c r="E8" s="156">
        <f t="shared" ca="1" si="0"/>
        <v>507.66185230065889</v>
      </c>
      <c r="F8" s="156">
        <f t="shared" ca="1" si="1"/>
        <v>197.26216594846704</v>
      </c>
      <c r="G8" s="156">
        <f ca="1">F8*(100%-'Données projet'!$C$24)*(100%-'Données projet'!$C$25)*(100%-'Données projet'!$C$26)*(100%-'Données projet'!$C$27)</f>
        <v>177.53594935362034</v>
      </c>
      <c r="H8" s="164">
        <f>IF(OR('Données projet'!B11="",'Données projet'!C11="",'Données projet'!C11=0%),0,AVERAGE(Calculateur!$BS$3:$BS$33)*B8)</f>
        <v>0.4218653332178211</v>
      </c>
      <c r="I8" s="158">
        <f>H8*(100%-'Données projet'!$C$24)*(100%-'Données projet'!$C$25)*(100%-'Données projet'!$C$26)*(100%-'Données projet'!$C$27)</f>
        <v>0.37967879989603898</v>
      </c>
      <c r="J8" s="159">
        <f>IF(OR('Données projet'!B11="",'Données projet'!C11="",'Données projet'!C11=0%),0,SUM(Calculateur!$BL$3:$BL$33)*VLOOKUP('Données projet'!$B$11,Paramètres!$A$1:$I$89,9,0)*B8)</f>
        <v>11.5288719</v>
      </c>
      <c r="K8" s="160">
        <f>J8*(100%-'Données projet'!$C$24)*(100%-'Données projet'!$C$25)*(100%-'Données projet'!$C$26)*(100%-'Données projet'!$C$27)</f>
        <v>10.375984710000001</v>
      </c>
      <c r="L8" s="161">
        <f t="shared" ca="1" si="2"/>
        <v>188.29161286351638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45">
      <c r="A9" s="162" t="str">
        <f>IF('Données projet'!$B$12="","",'Données projet'!$B$12)</f>
        <v>Cèdre de l'Atlas</v>
      </c>
      <c r="B9" s="163">
        <f>'Données projet'!D12</f>
        <v>0.10009999999999999</v>
      </c>
      <c r="C9" s="156">
        <f ca="1">IF(OR('Données projet'!B12="",'Données projet'!C12="",'Données projet'!C12=0%),0,Calculateur!CD3)</f>
        <v>289.21044803824958</v>
      </c>
      <c r="D9" s="156">
        <f>IF(OR('Données projet'!B12="",'Données projet'!C12="",'Données projet'!C12=0%),0,Calculateur!CE3)</f>
        <v>196.11836398299445</v>
      </c>
      <c r="E9" s="156">
        <f t="shared" ca="1" si="0"/>
        <v>196.11836398299445</v>
      </c>
      <c r="F9" s="156">
        <f t="shared" ca="1" si="1"/>
        <v>19.631448234697743</v>
      </c>
      <c r="G9" s="156">
        <f ca="1">F9*(100%-'Données projet'!$C$24)*(100%-'Données projet'!$C$25)*(100%-'Données projet'!$C$26)*(100%-'Données projet'!$C$27)</f>
        <v>17.668303411227971</v>
      </c>
      <c r="H9" s="164">
        <f>IF(OR('Données projet'!B12="",'Données projet'!C12="",'Données projet'!C12=0%),0,AVERAGE(Calculateur!$CN$3:$CN$33)*B9)</f>
        <v>1.4719421490399323E-2</v>
      </c>
      <c r="I9" s="158">
        <f>H9*(100%-'Données projet'!$C$24)*(100%-'Données projet'!$C$25)*(100%-'Données projet'!$C$26)*(100%-'Données projet'!$C$27)</f>
        <v>1.3247479341359392E-2</v>
      </c>
      <c r="J9" s="159">
        <f>IF(OR('Données projet'!B12="",'Données projet'!C12="",'Données projet'!C12=0%),0,SUM(Calculateur!$CG$3:$CG$33)*VLOOKUP('Données projet'!$B$12,Paramètres!$A$1:$I$89,9,0)*B9)</f>
        <v>1.9787823614458897</v>
      </c>
      <c r="K9" s="160">
        <f>J9*(100%-'Données projet'!$C$24)*(100%-'Données projet'!$C$25)*(100%-'Données projet'!$C$26)*(100%-'Données projet'!$C$27)</f>
        <v>1.7809041253013007</v>
      </c>
      <c r="L9" s="161">
        <f t="shared" ca="1" si="2"/>
        <v>19.462455015870631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45">
      <c r="A10" s="162" t="str">
        <f>IF('Données projet'!$B$13="","",'Données projet'!$B$13)</f>
        <v>Robinier faux-acacia</v>
      </c>
      <c r="B10" s="163">
        <f>'Données projet'!D13</f>
        <v>0.22204000000000002</v>
      </c>
      <c r="C10" s="156">
        <f ca="1">IF(OR('Données projet'!B13="",'Données projet'!C13="",'Données projet'!C13=0%),0,Calculateur!CY3)</f>
        <v>376.68007030857598</v>
      </c>
      <c r="D10" s="156">
        <f>IF(OR('Données projet'!B13="",'Données projet'!C13="",'Données projet'!C13=0%),0,Calculateur!CZ3)</f>
        <v>532.90758914457626</v>
      </c>
      <c r="E10" s="156">
        <f t="shared" ca="1" si="0"/>
        <v>376.68007030857598</v>
      </c>
      <c r="F10" s="156">
        <f t="shared" ca="1" si="1"/>
        <v>83.638042811316211</v>
      </c>
      <c r="G10" s="156">
        <f ca="1">F10*(100%-'Données projet'!$C$24)*(100%-'Données projet'!$C$25)*(100%-'Données projet'!$C$26)*(100%-'Données projet'!$C$27)</f>
        <v>75.27423853018459</v>
      </c>
      <c r="H10" s="164">
        <f>IF(OR('Données projet'!B13="",'Données projet'!C13="",'Données projet'!C13=0%),0,AVERAGE(Calculateur!$DI$3:$DI$33)*B10)</f>
        <v>1.087292035504603</v>
      </c>
      <c r="I10" s="158">
        <f>H10*(100%-'Données projet'!$C$24)*(100%-'Données projet'!$C$25)*(100%-'Données projet'!$C$26)*(100%-'Données projet'!$C$27)</f>
        <v>0.97856283195414273</v>
      </c>
      <c r="J10" s="159">
        <f>IF(OR('Données projet'!B13="",'Données projet'!C13="",'Données projet'!C13=0%),0,SUM(Calculateur!$DB$3:$DB$33)*VLOOKUP('Données projet'!$B$13,Paramètres!$A$1:$I$89,9,0)*B10)</f>
        <v>5.5510000000000002</v>
      </c>
      <c r="K10" s="160">
        <f>J10*(100%-'Données projet'!$C$24)*(100%-'Données projet'!$C$25)*(100%-'Données projet'!$C$26)*(100%-'Données projet'!$C$27)</f>
        <v>4.9959000000000007</v>
      </c>
      <c r="L10" s="161">
        <f t="shared" ca="1" si="2"/>
        <v>81.248701362138732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45">
      <c r="A11" s="162" t="str">
        <f>IF('Données projet'!$B$14="","",'Données projet'!$B$14)</f>
        <v>Charme</v>
      </c>
      <c r="B11" s="163">
        <f>'Données projet'!D14</f>
        <v>0.16652999999999998</v>
      </c>
      <c r="C11" s="156">
        <f ca="1">IF(OR('Données projet'!B14="",'Données projet'!C14="",'Données projet'!C14=0%),0,Calculateur!DT3)</f>
        <v>364.63161066507769</v>
      </c>
      <c r="D11" s="156">
        <f>IF(OR('Données projet'!B14="",'Données projet'!C14="",'Données projet'!C14=0%),0,Calculateur!DU3)</f>
        <v>355.44729904860708</v>
      </c>
      <c r="E11" s="156">
        <f t="shared" ca="1" si="0"/>
        <v>355.44729904860708</v>
      </c>
      <c r="F11" s="156">
        <f t="shared" ca="1" si="1"/>
        <v>59.19263871056453</v>
      </c>
      <c r="G11" s="156">
        <f ca="1">F11*(100%-'Données projet'!$C$24)*(100%-'Données projet'!$C$25)*(100%-'Données projet'!$C$26)*(100%-'Données projet'!$C$27)</f>
        <v>53.27337483950808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2.2897874999999996</v>
      </c>
      <c r="K11" s="160">
        <f>J11*(100%-'Données projet'!$C$24)*(100%-'Données projet'!$C$25)*(100%-'Données projet'!$C$26)*(100%-'Données projet'!$C$27)</f>
        <v>2.0608087499999996</v>
      </c>
      <c r="L11" s="161">
        <f t="shared" ca="1" si="2"/>
        <v>55.334183589508079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45">
      <c r="A12" s="162" t="str">
        <f>IF('Données projet'!$B$15="","",'Données projet'!$B$15)</f>
        <v>Châtaignier</v>
      </c>
      <c r="B12" s="163">
        <f>'Données projet'!D15</f>
        <v>0.10009999999999999</v>
      </c>
      <c r="C12" s="156">
        <f ca="1">IF(OR('Données projet'!B15="",'Données projet'!C15="",'Données projet'!C15=0%),0,Calculateur!EO3)</f>
        <v>293.59366973965774</v>
      </c>
      <c r="D12" s="156">
        <f>IF(OR('Données projet'!B15="",'Données projet'!C15="",'Données projet'!C15=0%),0,Calculateur!EP3)</f>
        <v>288.13804536120426</v>
      </c>
      <c r="E12" s="156">
        <f t="shared" ca="1" si="0"/>
        <v>288.13804536120426</v>
      </c>
      <c r="F12" s="156">
        <f t="shared" ca="1" si="1"/>
        <v>28.842618340656546</v>
      </c>
      <c r="G12" s="156">
        <f ca="1">F12*(100%-'Données projet'!$C$24)*(100%-'Données projet'!$C$25)*(100%-'Données projet'!$C$26)*(100%-'Données projet'!$C$27)</f>
        <v>25.958356506590892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1.3763749999999999</v>
      </c>
      <c r="K12" s="160">
        <f>J12*(100%-'Données projet'!$C$24)*(100%-'Données projet'!$C$25)*(100%-'Données projet'!$C$26)*(100%-'Données projet'!$C$27)</f>
        <v>1.2387375</v>
      </c>
      <c r="L12" s="161">
        <f t="shared" ca="1" si="2"/>
        <v>27.197094006590891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45">
      <c r="A13" s="162" t="str">
        <f>IF('Données projet'!$B$16="","",'Données projet'!$B$16)</f>
        <v>Alisier torminal</v>
      </c>
      <c r="B13" s="163">
        <f>'Données projet'!D16</f>
        <v>8.2809999999999995E-2</v>
      </c>
      <c r="C13" s="156">
        <f ca="1">IF(OR('Données projet'!B16="",'Données projet'!C16="",'Données projet'!C16=0%),0,Calculateur!FJ3)</f>
        <v>369.69145521630799</v>
      </c>
      <c r="D13" s="156">
        <f>IF(OR('Données projet'!B16="",'Données projet'!C16="",'Données projet'!C16=0%),0,Calculateur!FK3)</f>
        <v>360.24112103688719</v>
      </c>
      <c r="E13" s="156">
        <f t="shared" ca="1" si="0"/>
        <v>360.24112103688719</v>
      </c>
      <c r="F13" s="156">
        <f t="shared" ca="1" si="1"/>
        <v>29.831567233064625</v>
      </c>
      <c r="G13" s="156">
        <f ca="1">F13*(100%-'Données projet'!$C$24)*(100%-'Données projet'!$C$25)*(100%-'Données projet'!$C$26)*(100%-'Données projet'!$C$27)</f>
        <v>26.848410509758164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1.1386375</v>
      </c>
      <c r="K13" s="160">
        <f>J13*(100%-'Données projet'!$C$24)*(100%-'Données projet'!$C$25)*(100%-'Données projet'!$C$26)*(100%-'Données projet'!$C$27)</f>
        <v>1.02477375</v>
      </c>
      <c r="L13" s="161">
        <f t="shared" ca="1" si="2"/>
        <v>27.873184259758165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45">
      <c r="A14" s="162" t="str">
        <f>IF('Données projet'!$B$17="","",'Données projet'!$B$17)</f>
        <v>Cormier</v>
      </c>
      <c r="B14" s="163">
        <f>'Données projet'!D17</f>
        <v>0.11102000000000001</v>
      </c>
      <c r="C14" s="156">
        <f ca="1">IF(OR('Données projet'!B17="",'Données projet'!C17="",'Données projet'!C17=0%),0,Calculateur!GE3)</f>
        <v>405.06394904053946</v>
      </c>
      <c r="D14" s="156">
        <f>IF(OR('Données projet'!B17="",'Données projet'!C17="",'Données projet'!C17=0%),0,Calculateur!GF3)</f>
        <v>393.75247087518198</v>
      </c>
      <c r="E14" s="156">
        <f t="shared" ca="1" si="0"/>
        <v>393.75247087518198</v>
      </c>
      <c r="F14" s="156">
        <f t="shared" ca="1" si="1"/>
        <v>43.714399316562705</v>
      </c>
      <c r="G14" s="156">
        <f ca="1">F14*(100%-'Données projet'!$C$24)*(100%-'Données projet'!$C$25)*(100%-'Données projet'!$C$26)*(100%-'Données projet'!$C$27)</f>
        <v>39.342959384906436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1.5265250000000001</v>
      </c>
      <c r="K14" s="160">
        <f>J14*(100%-'Données projet'!$C$24)*(100%-'Données projet'!$C$25)*(100%-'Données projet'!$C$26)*(100%-'Données projet'!$C$27)</f>
        <v>1.3738725000000001</v>
      </c>
      <c r="L14" s="161">
        <f t="shared" ca="1" si="2"/>
        <v>40.716831884906433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4.65" thickBot="1" x14ac:dyDescent="0.5">
      <c r="A15" s="165" t="str">
        <f>IF('Données projet'!B18="","",'Données projet'!B18)</f>
        <v>Tilleul</v>
      </c>
      <c r="B15" s="166">
        <f>'Données projet'!D18</f>
        <v>0.10009999999999999</v>
      </c>
      <c r="C15" s="167">
        <f ca="1">IF(OR('Données projet'!B18="",'Données projet'!C18="",'Données projet'!C18=0%),0,Calculateur!GZ3)</f>
        <v>273.21861937609918</v>
      </c>
      <c r="D15" s="167">
        <f>IF(OR('Données projet'!B18="",'Données projet'!C18="",'Données projet'!C18=0%),0,Calculateur!HA3)</f>
        <v>268.83004886965318</v>
      </c>
      <c r="E15" s="167">
        <f t="shared" ca="1" si="0"/>
        <v>268.83004886965318</v>
      </c>
      <c r="F15" s="168">
        <f t="shared" ca="1" si="1"/>
        <v>26.909887891852282</v>
      </c>
      <c r="G15" s="168">
        <f ca="1">F15*(100%-'Données projet'!$C$24)*(100%-'Données projet'!$C$25)*(100%-'Données projet'!$C$26)*(100%-'Données projet'!$C$27)</f>
        <v>24.218899102667056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1.3763749999999999</v>
      </c>
      <c r="K15" s="172">
        <f>J15*(100%-'Données projet'!$C$24)*(100%-'Données projet'!$C$25)*(100%-'Données projet'!$C$26)*(100%-'Données projet'!$C$27)</f>
        <v>1.2387375</v>
      </c>
      <c r="L15" s="173">
        <f t="shared" ca="1" si="2"/>
        <v>25.457636602667055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4.65" thickBot="1" x14ac:dyDescent="0.5">
      <c r="A16" s="226"/>
      <c r="B16" s="233"/>
      <c r="C16" s="234"/>
      <c r="D16" s="25"/>
      <c r="E16" s="25"/>
      <c r="F16" s="174">
        <f t="shared" ref="F16:L16" ca="1" si="3">SUM(F6:F15)</f>
        <v>2200.8124959209044</v>
      </c>
      <c r="G16" s="175">
        <f t="shared" ca="1" si="3"/>
        <v>1980.7312463288144</v>
      </c>
      <c r="H16" s="176">
        <f t="shared" si="3"/>
        <v>2.0004024157744817</v>
      </c>
      <c r="I16" s="176">
        <f t="shared" si="3"/>
        <v>1.8003621741970335</v>
      </c>
      <c r="J16" s="177">
        <f t="shared" si="3"/>
        <v>43.236171261445897</v>
      </c>
      <c r="K16" s="177">
        <f t="shared" si="3"/>
        <v>38.912554135301299</v>
      </c>
      <c r="L16" s="178">
        <f t="shared" ca="1" si="3"/>
        <v>2021.4441626383125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45">
      <c r="A17" s="226"/>
      <c r="B17" s="233"/>
      <c r="C17" s="234"/>
      <c r="D17" s="231"/>
      <c r="E17" s="231"/>
      <c r="F17" s="323" t="s">
        <v>246</v>
      </c>
      <c r="G17" s="324"/>
      <c r="H17" s="324"/>
      <c r="I17" s="324"/>
      <c r="J17" s="324"/>
      <c r="K17" s="324"/>
      <c r="L17" s="324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45">
      <c r="A18" s="226"/>
      <c r="B18" s="233"/>
      <c r="C18" s="234"/>
      <c r="D18" s="231"/>
      <c r="E18" s="231"/>
      <c r="F18" s="325"/>
      <c r="G18" s="325"/>
      <c r="H18" s="325"/>
      <c r="I18" s="325"/>
      <c r="J18" s="325"/>
      <c r="K18" s="325"/>
      <c r="L18" s="325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4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4.65" thickBot="1" x14ac:dyDescent="0.5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4.65" thickBot="1" x14ac:dyDescent="0.5">
      <c r="A21" s="179" t="str">
        <f>A6</f>
        <v>Chêne sessile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4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4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4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4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4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4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4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4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4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4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4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4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4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4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4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4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4.65" thickBot="1" x14ac:dyDescent="0.5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4.65" thickBot="1" x14ac:dyDescent="0.5">
      <c r="A39" s="179" t="str">
        <f>A7</f>
        <v>Séquoia toujours vert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4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4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4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4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4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4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4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4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4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4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4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4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4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4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4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4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4.65" thickBot="1" x14ac:dyDescent="0.5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4.65" thickBot="1" x14ac:dyDescent="0.5">
      <c r="A57" s="179" t="str">
        <f>A8</f>
        <v>Douglas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4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4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4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4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4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4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4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4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4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4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4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4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4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4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4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4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4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4.65" thickBot="1" x14ac:dyDescent="0.5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4.65" thickBot="1" x14ac:dyDescent="0.5">
      <c r="A76" s="179" t="str">
        <f>A9</f>
        <v>Cèdre de l'Atlas</v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4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4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4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4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4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4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4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4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4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4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4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4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4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4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4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4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4.65" thickBot="1" x14ac:dyDescent="0.5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4.65" thickBot="1" x14ac:dyDescent="0.5">
      <c r="A94" s="179" t="str">
        <f>A10</f>
        <v>Robinier faux-acacia</v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4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4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4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4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4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4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4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4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4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4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4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4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4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4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4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4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4.65" thickBot="1" x14ac:dyDescent="0.5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4.65" thickBot="1" x14ac:dyDescent="0.5">
      <c r="A112" s="179" t="str">
        <f>A11</f>
        <v>Charme</v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4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4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4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4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4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4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4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4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4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4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4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4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4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4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4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4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4.65" thickBot="1" x14ac:dyDescent="0.5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4.65" thickBot="1" x14ac:dyDescent="0.5">
      <c r="A130" s="179" t="str">
        <f>A12</f>
        <v>Châtaignier</v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4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4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4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4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4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4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4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4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4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4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4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4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4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4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4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4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4.65" thickBot="1" x14ac:dyDescent="0.5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4.65" thickBot="1" x14ac:dyDescent="0.5">
      <c r="A148" s="179" t="str">
        <f>A13</f>
        <v>Alisier torminal</v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4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4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4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4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4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4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4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4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4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4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4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4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4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4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4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4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4.65" thickBot="1" x14ac:dyDescent="0.5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4.65" thickBot="1" x14ac:dyDescent="0.5">
      <c r="A166" s="179" t="str">
        <f>A14</f>
        <v>Cormier</v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4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4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4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4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4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4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4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4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4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4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4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4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4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4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4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4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4.65" thickBot="1" x14ac:dyDescent="0.5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4.65" thickBot="1" x14ac:dyDescent="0.5">
      <c r="A184" s="179" t="str">
        <f>A15</f>
        <v>Tilleul</v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4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4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4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4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4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4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4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4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4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4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4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4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4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4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4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4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4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4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4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4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4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4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4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4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4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4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4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4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4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4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4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4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4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4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4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4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4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4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4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4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4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4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4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4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4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4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4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4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4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4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4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4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4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4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4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4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4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4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4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4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4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4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4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4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4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4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4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4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4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4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4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4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4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4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4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4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4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4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4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4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4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4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4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4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4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4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4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4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4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4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4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4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4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4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4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4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4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4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4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4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4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4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4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4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4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4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4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4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4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4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4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4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4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4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4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4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4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4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4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4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4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4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4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4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4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4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4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4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4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4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4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4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4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4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4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4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4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4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4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4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4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4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4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4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4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4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4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4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4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4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4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4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4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4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4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4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4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4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4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4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4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4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4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4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4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4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4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4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4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4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4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4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4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S13" zoomScale="90" zoomScaleNormal="90" workbookViewId="0">
      <selection activeCell="T25" sqref="T25:V25"/>
    </sheetView>
  </sheetViews>
  <sheetFormatPr baseColWidth="10" defaultColWidth="11.3984375" defaultRowHeight="14.25" x14ac:dyDescent="0.45"/>
  <cols>
    <col min="1" max="1" width="11.3984375" style="1"/>
    <col min="2" max="2" width="30.86328125" style="1" bestFit="1" customWidth="1"/>
    <col min="3" max="3" width="18.1328125" style="1" bestFit="1" customWidth="1"/>
    <col min="4" max="5" width="11.3984375" style="1"/>
    <col min="6" max="6" width="14" style="3" customWidth="1"/>
    <col min="7" max="7" width="17.59765625" style="3" customWidth="1"/>
    <col min="8" max="8" width="21.73046875" style="1" customWidth="1"/>
    <col min="9" max="9" width="37" style="1" customWidth="1"/>
    <col min="10" max="10" width="11.3984375" style="1"/>
    <col min="11" max="11" width="8.86328125" style="1" customWidth="1"/>
    <col min="12" max="12" width="11.3984375" style="1"/>
    <col min="13" max="13" width="21" style="1" customWidth="1"/>
    <col min="14" max="16" width="11.3984375" style="1"/>
    <col min="17" max="17" width="8" style="1" customWidth="1"/>
    <col min="18" max="18" width="11.3984375" style="1"/>
    <col min="19" max="19" width="31" style="1" customWidth="1"/>
    <col min="20" max="20" width="18.1328125" style="1" customWidth="1"/>
    <col min="21" max="21" width="16.3984375" style="1" customWidth="1"/>
    <col min="22" max="22" width="17.86328125" style="1" customWidth="1"/>
    <col min="23" max="16384" width="11.3984375" style="1"/>
  </cols>
  <sheetData>
    <row r="1" spans="1:42" ht="14.65" thickBot="1" x14ac:dyDescent="0.5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5.9" thickBot="1" x14ac:dyDescent="0.8">
      <c r="A2" s="5"/>
      <c r="B2" s="311" t="s">
        <v>272</v>
      </c>
      <c r="C2" s="312"/>
      <c r="D2" s="312"/>
      <c r="E2" s="312"/>
      <c r="F2" s="312"/>
      <c r="G2" s="312"/>
      <c r="H2" s="312"/>
      <c r="I2" s="312"/>
      <c r="J2" s="312"/>
      <c r="K2" s="312"/>
      <c r="L2" s="312"/>
      <c r="M2" s="312"/>
      <c r="N2" s="312"/>
      <c r="O2" s="312"/>
      <c r="P2" s="313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4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45">
      <c r="A4" s="99"/>
      <c r="B4" s="99"/>
      <c r="C4" s="99"/>
      <c r="D4" s="99"/>
      <c r="E4" s="99"/>
      <c r="G4" s="180"/>
      <c r="H4" s="329" t="s">
        <v>315</v>
      </c>
      <c r="I4" s="329"/>
      <c r="K4" s="326" t="s">
        <v>253</v>
      </c>
      <c r="L4" s="327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4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4.65" thickBot="1" x14ac:dyDescent="0.5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8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37" t="s">
        <v>310</v>
      </c>
      <c r="S7" s="338"/>
      <c r="T7" s="338"/>
      <c r="U7" s="338"/>
      <c r="V7" s="33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4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4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4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Chêne sessile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71.775773527714875</v>
      </c>
      <c r="U10" s="190">
        <f>'Données projet'!D9</f>
        <v>7.2709000000000001</v>
      </c>
      <c r="V10" s="189">
        <f>U10*T10</f>
        <v>521.87447174266208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4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Séquoia toujours vert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4508.0206464425346</v>
      </c>
      <c r="U11" s="190">
        <f>'Données projet'!D10</f>
        <v>0.55509999999999993</v>
      </c>
      <c r="V11" s="189">
        <f t="shared" ref="V11" si="0">U11*T11</f>
        <v>2502.4022608402506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4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Douglas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4556.0806492337952</v>
      </c>
      <c r="U12" s="190">
        <f>'Données projet'!D11</f>
        <v>0.38857000000000003</v>
      </c>
      <c r="V12" s="189">
        <f t="shared" ref="V12:V19" si="1">U12*T12</f>
        <v>1770.3562578727758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4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>Cèdre de l'Atlas</v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501.38899166445844</v>
      </c>
      <c r="U13" s="190">
        <f>'Données projet'!D12</f>
        <v>0.10009999999999999</v>
      </c>
      <c r="V13" s="189">
        <f t="shared" si="1"/>
        <v>50.189038065612287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45">
      <c r="A14" s="49" t="s">
        <v>165</v>
      </c>
      <c r="B14" s="186" t="str">
        <f>IF('Données projet'!$B$9="","",'Données projet'!$B$9)</f>
        <v>Chêne sessile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>Robinier faux-acacia</v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4543.9758180731751</v>
      </c>
      <c r="U14" s="190">
        <f>'Données projet'!D13</f>
        <v>0.22204000000000002</v>
      </c>
      <c r="V14" s="189">
        <f t="shared" si="1"/>
        <v>1008.9443906449678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45">
      <c r="A15" s="5"/>
      <c r="B15" s="5"/>
      <c r="C15" s="5"/>
      <c r="D15" s="5"/>
      <c r="E15" s="5"/>
      <c r="F15" s="261"/>
      <c r="G15" s="330" t="s">
        <v>318</v>
      </c>
      <c r="H15" s="203">
        <v>1</v>
      </c>
      <c r="I15" s="204">
        <v>0</v>
      </c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>Charme</v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2169.238295240601</v>
      </c>
      <c r="U15" s="190">
        <f>'Données projet'!D14</f>
        <v>0.16652999999999998</v>
      </c>
      <c r="V15" s="189">
        <f t="shared" si="1"/>
        <v>361.24325330641727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4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30"/>
      <c r="H16" s="203"/>
      <c r="I16" s="204"/>
      <c r="J16" s="216"/>
      <c r="K16" s="225"/>
      <c r="L16" s="326" t="s">
        <v>254</v>
      </c>
      <c r="M16" s="327"/>
      <c r="N16" s="2"/>
      <c r="O16" s="25"/>
      <c r="P16" s="25"/>
      <c r="Q16" s="265"/>
      <c r="R16" s="25"/>
      <c r="S16" s="185" t="str">
        <f>B200</f>
        <v>Châtaignier</v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2169.238295240601</v>
      </c>
      <c r="U16" s="190">
        <f>'Données projet'!D15</f>
        <v>0.10009999999999999</v>
      </c>
      <c r="V16" s="189">
        <f t="shared" si="1"/>
        <v>217.14075335358416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45">
      <c r="A17" s="210">
        <v>0</v>
      </c>
      <c r="B17" s="213" t="s">
        <v>132</v>
      </c>
      <c r="C17" s="212" t="s">
        <v>132</v>
      </c>
      <c r="D17" s="211" t="s">
        <v>132</v>
      </c>
      <c r="E17" s="206"/>
      <c r="F17" s="261"/>
      <c r="G17" s="330"/>
      <c r="J17" s="216"/>
      <c r="K17" s="225"/>
      <c r="L17" s="297" t="s">
        <v>289</v>
      </c>
      <c r="M17" s="299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>Alisier torminal</v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2169.238295240601</v>
      </c>
      <c r="U17" s="190">
        <f>'Données projet'!D16</f>
        <v>8.2809999999999995E-2</v>
      </c>
      <c r="V17" s="189">
        <f t="shared" si="1"/>
        <v>179.63462322887415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4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30"/>
      <c r="J18" s="216"/>
      <c r="K18" s="225"/>
      <c r="L18" s="297" t="s">
        <v>255</v>
      </c>
      <c r="M18" s="299"/>
      <c r="N18" s="205"/>
      <c r="O18" s="25"/>
      <c r="P18" s="25"/>
      <c r="Q18" s="265"/>
      <c r="R18" s="25"/>
      <c r="S18" s="185" t="str">
        <f>B262</f>
        <v>Cormier</v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2169.238295240601</v>
      </c>
      <c r="U18" s="190">
        <f>'Données projet'!D17</f>
        <v>0.11102000000000001</v>
      </c>
      <c r="V18" s="189">
        <f t="shared" si="1"/>
        <v>240.82883553761155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4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30"/>
      <c r="H19" s="232" t="s">
        <v>178</v>
      </c>
      <c r="I19" s="232" t="s">
        <v>287</v>
      </c>
      <c r="J19" s="260"/>
      <c r="K19" s="183"/>
      <c r="L19" s="326" t="s">
        <v>288</v>
      </c>
      <c r="M19" s="327"/>
      <c r="N19" s="191">
        <f>N17*N18</f>
        <v>0</v>
      </c>
      <c r="O19" s="25"/>
      <c r="P19" s="5"/>
      <c r="Q19" s="266"/>
      <c r="R19" s="5"/>
      <c r="S19" s="185" t="str">
        <f>B293</f>
        <v>Tilleul</v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2142.2865093611031</v>
      </c>
      <c r="U19" s="190">
        <f>'Données projet'!D18</f>
        <v>0.10009999999999999</v>
      </c>
      <c r="V19" s="189">
        <f t="shared" si="1"/>
        <v>214.44287958704641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4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30"/>
      <c r="H20" s="203">
        <v>1</v>
      </c>
      <c r="I20" s="204">
        <v>7694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4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2</v>
      </c>
      <c r="I21" s="204">
        <v>375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4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3</v>
      </c>
      <c r="I22" s="204">
        <v>375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45">
      <c r="A23" s="192">
        <f>'Données projet'!A36</f>
        <v>52</v>
      </c>
      <c r="B23" s="193">
        <f>'Données projet'!D36</f>
        <v>29</v>
      </c>
      <c r="C23" s="206">
        <v>5</v>
      </c>
      <c r="D23" s="194">
        <f>B23*C23</f>
        <v>145</v>
      </c>
      <c r="E23" s="206">
        <v>60</v>
      </c>
      <c r="F23" s="261"/>
      <c r="H23" s="203">
        <v>4</v>
      </c>
      <c r="I23" s="204">
        <v>375</v>
      </c>
      <c r="K23" s="225"/>
      <c r="L23" s="328" t="s">
        <v>260</v>
      </c>
      <c r="M23" s="328"/>
      <c r="N23" s="328"/>
      <c r="O23" s="25"/>
      <c r="P23" s="25"/>
      <c r="Q23" s="265"/>
      <c r="R23" s="25"/>
      <c r="S23" s="185" t="s">
        <v>264</v>
      </c>
      <c r="T23" s="34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-68910.207215886607</v>
      </c>
      <c r="U23" s="342"/>
      <c r="V23" s="342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45">
      <c r="A24" s="192">
        <f>'Données projet'!A37</f>
        <v>60</v>
      </c>
      <c r="B24" s="193">
        <f>'Données projet'!D37</f>
        <v>30</v>
      </c>
      <c r="C24" s="206">
        <v>5</v>
      </c>
      <c r="D24" s="194">
        <f t="shared" ref="D24:D42" si="2">B24*C24</f>
        <v>150</v>
      </c>
      <c r="E24" s="206">
        <v>60</v>
      </c>
      <c r="F24" s="264"/>
      <c r="H24" s="203"/>
      <c r="I24" s="204"/>
      <c r="K24" s="225"/>
      <c r="O24" s="25"/>
      <c r="P24" s="25"/>
      <c r="Q24" s="265"/>
      <c r="R24" s="25"/>
      <c r="S24" s="185" t="s">
        <v>261</v>
      </c>
      <c r="T24" s="343">
        <f ca="1">'Scénario référence'!$B$8*$M$30*'Données projet'!$C$5+('Scénario référence'!B9+'Scénario référence'!B10+'Scénario référence'!F8+'Scénario référence'!F9)*$N$19/(1+M4)^N16*'Données projet'!$C$5</f>
        <v>55026.828455927018</v>
      </c>
      <c r="U24" s="343"/>
      <c r="V24" s="343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45">
      <c r="A25" s="192">
        <f>'Données projet'!A38</f>
        <v>68</v>
      </c>
      <c r="B25" s="193">
        <f>'Données projet'!D38</f>
        <v>31</v>
      </c>
      <c r="C25" s="206">
        <v>5</v>
      </c>
      <c r="D25" s="194">
        <f t="shared" si="2"/>
        <v>155</v>
      </c>
      <c r="E25" s="206">
        <v>60</v>
      </c>
      <c r="F25" s="264"/>
      <c r="G25" s="1"/>
      <c r="H25" s="203"/>
      <c r="I25" s="204"/>
      <c r="K25" s="225"/>
      <c r="L25" s="271" t="s">
        <v>285</v>
      </c>
      <c r="M25" s="271"/>
      <c r="N25" s="271"/>
      <c r="O25" s="271"/>
      <c r="P25" s="205">
        <v>300</v>
      </c>
      <c r="Q25" s="265"/>
      <c r="R25" s="25"/>
      <c r="S25" s="198" t="s">
        <v>266</v>
      </c>
      <c r="T25" s="344">
        <f ca="1">T23-T24</f>
        <v>-123937.03567181362</v>
      </c>
      <c r="U25" s="344"/>
      <c r="V25" s="344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45">
      <c r="A26" s="192">
        <f>'Données projet'!A39</f>
        <v>78</v>
      </c>
      <c r="B26" s="193">
        <f>'Données projet'!D39</f>
        <v>32</v>
      </c>
      <c r="C26" s="206">
        <v>5</v>
      </c>
      <c r="D26" s="194">
        <f t="shared" si="2"/>
        <v>160</v>
      </c>
      <c r="E26" s="206">
        <v>60</v>
      </c>
      <c r="F26" s="264"/>
      <c r="G26" s="259"/>
      <c r="H26" s="203"/>
      <c r="I26" s="204"/>
      <c r="K26" s="225"/>
      <c r="L26" s="331" t="s">
        <v>258</v>
      </c>
      <c r="M26" s="332"/>
      <c r="N26" s="332"/>
      <c r="O26" s="332"/>
      <c r="P26" s="333"/>
      <c r="Q26" s="265"/>
      <c r="R26" s="25"/>
      <c r="S26" s="198" t="s">
        <v>265</v>
      </c>
      <c r="T26" s="341" t="str">
        <f ca="1">IF(T25&lt;0,"Votre projet est additionnel","Votre projet n'est pas additionnel")</f>
        <v>Votre projet est additionnel</v>
      </c>
      <c r="U26" s="341"/>
      <c r="V26" s="341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45">
      <c r="A27" s="192">
        <f>'Données projet'!A40</f>
        <v>88</v>
      </c>
      <c r="B27" s="193">
        <f>'Données projet'!D40</f>
        <v>35</v>
      </c>
      <c r="C27" s="206">
        <v>5</v>
      </c>
      <c r="D27" s="194">
        <f t="shared" si="2"/>
        <v>175</v>
      </c>
      <c r="E27" s="206">
        <v>60</v>
      </c>
      <c r="F27" s="264"/>
      <c r="G27" s="259"/>
      <c r="H27" s="203"/>
      <c r="I27" s="204"/>
      <c r="K27" s="225"/>
      <c r="L27" s="334"/>
      <c r="M27" s="335"/>
      <c r="N27" s="335"/>
      <c r="O27" s="335"/>
      <c r="P27" s="336"/>
      <c r="Q27" s="265"/>
      <c r="R27" s="25"/>
      <c r="S27" s="340" t="s">
        <v>267</v>
      </c>
      <c r="T27" s="340"/>
      <c r="U27" s="340"/>
      <c r="V27" s="340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45">
      <c r="A28" s="192">
        <f>'Données projet'!A41</f>
        <v>98</v>
      </c>
      <c r="B28" s="193">
        <f>'Données projet'!D41</f>
        <v>34</v>
      </c>
      <c r="C28" s="206">
        <v>20</v>
      </c>
      <c r="D28" s="194">
        <f t="shared" si="2"/>
        <v>680</v>
      </c>
      <c r="E28" s="206">
        <v>60</v>
      </c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45">
      <c r="A29" s="192">
        <f>'Données projet'!A42</f>
        <v>108</v>
      </c>
      <c r="B29" s="193">
        <f>'Données projet'!D42</f>
        <v>39</v>
      </c>
      <c r="C29" s="206">
        <v>150</v>
      </c>
      <c r="D29" s="194">
        <f t="shared" si="2"/>
        <v>5850</v>
      </c>
      <c r="E29" s="206">
        <v>60</v>
      </c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45">
      <c r="A30" s="192">
        <f>'Données projet'!A43</f>
        <v>118</v>
      </c>
      <c r="B30" s="193">
        <f>'Données projet'!D43</f>
        <v>40</v>
      </c>
      <c r="C30" s="206">
        <v>150</v>
      </c>
      <c r="D30" s="194">
        <f t="shared" si="2"/>
        <v>6000</v>
      </c>
      <c r="E30" s="206">
        <v>60</v>
      </c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6046.9042259260459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45">
      <c r="A31" s="192">
        <f>'Données projet'!A44</f>
        <v>128</v>
      </c>
      <c r="B31" s="193">
        <f>'Données projet'!D44</f>
        <v>39</v>
      </c>
      <c r="C31" s="206">
        <v>150</v>
      </c>
      <c r="D31" s="194">
        <f t="shared" si="2"/>
        <v>5850</v>
      </c>
      <c r="E31" s="206">
        <v>60</v>
      </c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45">
      <c r="A32" s="192">
        <f>'Données projet'!A45</f>
        <v>138</v>
      </c>
      <c r="B32" s="193">
        <f>'Données projet'!D45</f>
        <v>39</v>
      </c>
      <c r="C32" s="206">
        <v>150</v>
      </c>
      <c r="D32" s="194">
        <f t="shared" si="2"/>
        <v>5850</v>
      </c>
      <c r="E32" s="206">
        <v>60</v>
      </c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45">
      <c r="A33" s="192">
        <f>'Données projet'!A46</f>
        <v>148</v>
      </c>
      <c r="B33" s="193">
        <f>'Données projet'!D46</f>
        <v>41</v>
      </c>
      <c r="C33" s="206">
        <v>150</v>
      </c>
      <c r="D33" s="194">
        <f t="shared" si="2"/>
        <v>6150</v>
      </c>
      <c r="E33" s="206">
        <v>60</v>
      </c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300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45">
      <c r="A34" s="192">
        <f>'Données projet'!A47</f>
        <v>185</v>
      </c>
      <c r="B34" s="193">
        <f>'Données projet'!D47</f>
        <v>41</v>
      </c>
      <c r="C34" s="206">
        <v>150</v>
      </c>
      <c r="D34" s="194">
        <f t="shared" si="2"/>
        <v>6150</v>
      </c>
      <c r="E34" s="206">
        <v>60</v>
      </c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287.08133971291869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45">
      <c r="A35" s="192">
        <f>'Données projet'!A48</f>
        <v>168</v>
      </c>
      <c r="B35" s="193">
        <f>'Données projet'!D48</f>
        <v>41</v>
      </c>
      <c r="C35" s="206">
        <v>150</v>
      </c>
      <c r="D35" s="194">
        <f t="shared" si="2"/>
        <v>6150</v>
      </c>
      <c r="E35" s="206">
        <v>60</v>
      </c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274.7189853712141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45">
      <c r="A36" s="192">
        <f>'Données projet'!A49</f>
        <v>180</v>
      </c>
      <c r="B36" s="193">
        <f>'Données projet'!D49</f>
        <v>368</v>
      </c>
      <c r="C36" s="206">
        <v>200</v>
      </c>
      <c r="D36" s="194">
        <f t="shared" si="2"/>
        <v>73600</v>
      </c>
      <c r="E36" s="206">
        <v>60</v>
      </c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262.88898121647281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4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>
        <v>60</v>
      </c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251.56840307796446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4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>
        <v>60</v>
      </c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240.73531395020524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4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230.36872148345003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4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220.44853730473687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4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210.95553809065734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4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201.87132831641853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4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193.178304609013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4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184.85962163541913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45">
      <c r="A45" s="49" t="s">
        <v>166</v>
      </c>
      <c r="B45" s="186" t="str">
        <f>IF('Données projet'!$B$10="","",'Données projet'!$B$10)</f>
        <v>Séquoia toujours vert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176.89915945973127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4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169.28149230596293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4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161.99185866599325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45">
      <c r="A48" s="210">
        <v>0</v>
      </c>
      <c r="B48" s="213" t="s">
        <v>132</v>
      </c>
      <c r="C48" s="212" t="s">
        <v>132</v>
      </c>
      <c r="D48" s="211" t="s">
        <v>132</v>
      </c>
      <c r="E48" s="206"/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155.01613269473037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4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148.34079683706261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4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141.95291563355275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4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135.8401106541175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4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129.99053651111723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4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124.39285790537537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45">
      <c r="A54" s="192">
        <f>'Données projet'!A62</f>
        <v>25</v>
      </c>
      <c r="B54" s="193">
        <f>'Données projet'!D62</f>
        <v>21</v>
      </c>
      <c r="C54" s="204">
        <v>5</v>
      </c>
      <c r="D54" s="191">
        <f>B54*C54</f>
        <v>105</v>
      </c>
      <c r="E54" s="206">
        <v>60</v>
      </c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119.03622766064626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45">
      <c r="A55" s="192">
        <f>'Données projet'!A63</f>
        <v>30</v>
      </c>
      <c r="B55" s="193">
        <f>'Données projet'!D63</f>
        <v>48</v>
      </c>
      <c r="C55" s="204">
        <v>5</v>
      </c>
      <c r="D55" s="191">
        <f t="shared" ref="D55:D73" si="4">B55*C55</f>
        <v>240</v>
      </c>
      <c r="E55" s="206">
        <v>60</v>
      </c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113.91026570396777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45">
      <c r="A56" s="192">
        <f>'Données projet'!A64</f>
        <v>35</v>
      </c>
      <c r="B56" s="193">
        <f>'Données projet'!D64</f>
        <v>61</v>
      </c>
      <c r="C56" s="204">
        <v>5</v>
      </c>
      <c r="D56" s="191">
        <f t="shared" si="4"/>
        <v>305</v>
      </c>
      <c r="E56" s="206">
        <v>60</v>
      </c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109.00503895116532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45">
      <c r="A57" s="192">
        <f>'Données projet'!A65</f>
        <v>40</v>
      </c>
      <c r="B57" s="193">
        <f>'Données projet'!D65</f>
        <v>65</v>
      </c>
      <c r="C57" s="204">
        <v>20</v>
      </c>
      <c r="D57" s="191">
        <f t="shared" si="4"/>
        <v>1300</v>
      </c>
      <c r="E57" s="206">
        <v>60</v>
      </c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104.31104205853143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45">
      <c r="A58" s="192">
        <f>'Données projet'!A66</f>
        <v>45</v>
      </c>
      <c r="B58" s="193">
        <f>'Données projet'!D66</f>
        <v>69</v>
      </c>
      <c r="C58" s="204">
        <v>20</v>
      </c>
      <c r="D58" s="191">
        <f t="shared" si="4"/>
        <v>1380</v>
      </c>
      <c r="E58" s="206">
        <v>60</v>
      </c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99.819179003379361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45">
      <c r="A59" s="192">
        <f>'Données projet'!A67</f>
        <v>50</v>
      </c>
      <c r="B59" s="193">
        <f>'Données projet'!D67</f>
        <v>73</v>
      </c>
      <c r="C59" s="204">
        <v>20</v>
      </c>
      <c r="D59" s="191">
        <f t="shared" si="4"/>
        <v>1460</v>
      </c>
      <c r="E59" s="206">
        <v>60</v>
      </c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95.520745457779313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45">
      <c r="A60" s="192">
        <f>'Données projet'!A68</f>
        <v>55</v>
      </c>
      <c r="B60" s="193">
        <f>'Données projet'!D68</f>
        <v>68</v>
      </c>
      <c r="C60" s="204">
        <v>20</v>
      </c>
      <c r="D60" s="191">
        <f t="shared" si="4"/>
        <v>1360</v>
      </c>
      <c r="E60" s="206">
        <v>60</v>
      </c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91.40741192131992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45">
      <c r="A61" s="192">
        <f>'Données projet'!A69</f>
        <v>60</v>
      </c>
      <c r="B61" s="193">
        <f>'Données projet'!D69</f>
        <v>61</v>
      </c>
      <c r="C61" s="204">
        <v>20</v>
      </c>
      <c r="D61" s="191">
        <f t="shared" si="4"/>
        <v>1220</v>
      </c>
      <c r="E61" s="206">
        <v>60</v>
      </c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87.471207580210475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45">
      <c r="A62" s="192">
        <f>'Données projet'!A70</f>
        <v>65</v>
      </c>
      <c r="B62" s="193">
        <f>'Données projet'!D70</f>
        <v>646</v>
      </c>
      <c r="C62" s="204">
        <v>100</v>
      </c>
      <c r="D62" s="191">
        <f t="shared" si="4"/>
        <v>64600</v>
      </c>
      <c r="E62" s="206">
        <v>60</v>
      </c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83.704504861445415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4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80.100004652100907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4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76.650722155120462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4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73.349973354182296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4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70.191362061418488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4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67.168767522888501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4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64.276332557788038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4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61.508452208409622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4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58.859762878860884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4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56.32513194149368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4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53.899647790903046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4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51.578610326223021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4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49.357521843275627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4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47.232078318924053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45">
      <c r="A76" s="49" t="s">
        <v>167</v>
      </c>
      <c r="B76" s="186" t="str">
        <f>IF('Données projet'!B11="","",'Données projet'!B11)</f>
        <v>Douglas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45.198161070740717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4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43.251828775828443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4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41.389309833328653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45">
      <c r="A79" s="210">
        <v>0</v>
      </c>
      <c r="B79" s="213" t="s">
        <v>132</v>
      </c>
      <c r="C79" s="212" t="s">
        <v>132</v>
      </c>
      <c r="D79" s="211" t="s">
        <v>132</v>
      </c>
      <c r="E79" s="206"/>
      <c r="F79" s="262"/>
      <c r="G79" s="223"/>
      <c r="H79" s="203"/>
      <c r="I79" s="204"/>
      <c r="J79" s="5"/>
      <c r="K79" s="183"/>
      <c r="L79" s="5"/>
      <c r="M79" s="5"/>
      <c r="N79" s="5"/>
      <c r="O79" s="207" t="str">
        <f>IF(O78+1&lt;=MIN('Données projet'!$E$9:$E$18),O78+1,"STOP")</f>
        <v>STOP</v>
      </c>
      <c r="P79" s="197" t="e">
        <f t="shared" si="5"/>
        <v>#VALUE!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4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 t="e">
        <f>IF(O79+1&lt;=MIN('Données projet'!$E$9:$E$18),O79+1,"STOP")</f>
        <v>#VALUE!</v>
      </c>
      <c r="P80" s="197" t="e">
        <f t="shared" si="5"/>
        <v>#VALUE!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4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 t="e">
        <f>IF(O80+1&lt;=MIN('Données projet'!$E$9:$E$18),O80+1,"STOP")</f>
        <v>#VALUE!</v>
      </c>
      <c r="P81" s="197" t="e">
        <f t="shared" si="5"/>
        <v>#VALUE!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4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 t="e">
        <f>IF(O81+1&lt;=MIN('Données projet'!$E$9:$E$18),O81+1,"STOP")</f>
        <v>#VALUE!</v>
      </c>
      <c r="P82" s="197" t="e">
        <f t="shared" si="5"/>
        <v>#VALUE!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4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 t="e">
        <f>IF(O82+1&lt;=MIN('Données projet'!$E$9:$E$18),O82+1,"STOP")</f>
        <v>#VALUE!</v>
      </c>
      <c r="P83" s="197" t="e">
        <f t="shared" si="5"/>
        <v>#VALUE!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4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 t="e">
        <f>IF(O83+1&lt;=MIN('Données projet'!$E$9:$E$18),O83+1,"STOP")</f>
        <v>#VALUE!</v>
      </c>
      <c r="P84" s="197" t="e">
        <f t="shared" si="5"/>
        <v>#VALUE!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45">
      <c r="A85" s="192">
        <f>'Données projet'!A88</f>
        <v>25</v>
      </c>
      <c r="B85" s="193">
        <f>'Données projet'!D88</f>
        <v>21</v>
      </c>
      <c r="C85" s="204">
        <v>5</v>
      </c>
      <c r="D85" s="191">
        <f>B85*C85</f>
        <v>105</v>
      </c>
      <c r="E85" s="206">
        <v>60</v>
      </c>
      <c r="F85" s="263"/>
      <c r="G85" s="222"/>
      <c r="H85" s="203"/>
      <c r="I85" s="204"/>
      <c r="J85" s="5"/>
      <c r="K85" s="183"/>
      <c r="L85" s="5"/>
      <c r="M85" s="5"/>
      <c r="N85" s="5"/>
      <c r="O85" s="207" t="e">
        <f>IF(O84+1&lt;=MIN('Données projet'!$E$9:$E$18),O84+1,"STOP")</f>
        <v>#VALUE!</v>
      </c>
      <c r="P85" s="197" t="e">
        <f t="shared" si="5"/>
        <v>#VALUE!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45">
      <c r="A86" s="192">
        <f>'Données projet'!A89</f>
        <v>30</v>
      </c>
      <c r="B86" s="193">
        <f>'Données projet'!D89</f>
        <v>48</v>
      </c>
      <c r="C86" s="204">
        <v>5</v>
      </c>
      <c r="D86" s="191">
        <f t="shared" ref="D86:D104" si="6">B86*C86</f>
        <v>240</v>
      </c>
      <c r="E86" s="206">
        <v>60</v>
      </c>
      <c r="F86" s="263"/>
      <c r="G86" s="222"/>
      <c r="H86" s="203"/>
      <c r="I86" s="204"/>
      <c r="J86" s="5"/>
      <c r="K86" s="183"/>
      <c r="L86" s="5"/>
      <c r="M86" s="5"/>
      <c r="N86" s="5"/>
      <c r="O86" s="207" t="e">
        <f>IF(O85+1&lt;=MIN('Données projet'!$E$9:$E$18),O85+1,"STOP")</f>
        <v>#VALUE!</v>
      </c>
      <c r="P86" s="197" t="e">
        <f t="shared" si="5"/>
        <v>#VALUE!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45">
      <c r="A87" s="192">
        <f>'Données projet'!A90</f>
        <v>35</v>
      </c>
      <c r="B87" s="193">
        <f>'Données projet'!D90</f>
        <v>61</v>
      </c>
      <c r="C87" s="204">
        <v>5</v>
      </c>
      <c r="D87" s="191">
        <f t="shared" si="6"/>
        <v>305</v>
      </c>
      <c r="E87" s="206">
        <v>60</v>
      </c>
      <c r="F87" s="263"/>
      <c r="G87" s="222"/>
      <c r="H87" s="203"/>
      <c r="I87" s="204"/>
      <c r="J87" s="5"/>
      <c r="K87" s="183"/>
      <c r="L87" s="5"/>
      <c r="M87" s="5"/>
      <c r="N87" s="5"/>
      <c r="O87" s="207" t="e">
        <f>IF(O86+1&lt;=MIN('Données projet'!$E$9:$E$18),O86+1,"STOP")</f>
        <v>#VALUE!</v>
      </c>
      <c r="P87" s="197" t="e">
        <f t="shared" si="5"/>
        <v>#VALUE!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45">
      <c r="A88" s="192">
        <f>'Données projet'!A91</f>
        <v>40</v>
      </c>
      <c r="B88" s="193">
        <f>'Données projet'!D91</f>
        <v>65</v>
      </c>
      <c r="C88" s="204">
        <v>20</v>
      </c>
      <c r="D88" s="191">
        <f t="shared" si="6"/>
        <v>1300</v>
      </c>
      <c r="E88" s="206">
        <v>60</v>
      </c>
      <c r="F88" s="263"/>
      <c r="G88" s="222"/>
      <c r="H88" s="203"/>
      <c r="I88" s="204"/>
      <c r="J88" s="5"/>
      <c r="K88" s="183"/>
      <c r="L88" s="5"/>
      <c r="M88" s="5"/>
      <c r="N88" s="5"/>
      <c r="O88" s="207" t="e">
        <f>IF(O87+1&lt;=MIN('Données projet'!$E$9:$E$18),O87+1,"STOP")</f>
        <v>#VALUE!</v>
      </c>
      <c r="P88" s="197" t="e">
        <f t="shared" si="5"/>
        <v>#VALUE!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45">
      <c r="A89" s="192">
        <f>'Données projet'!A92</f>
        <v>45</v>
      </c>
      <c r="B89" s="193">
        <f>'Données projet'!D92</f>
        <v>69</v>
      </c>
      <c r="C89" s="204">
        <v>20</v>
      </c>
      <c r="D89" s="191">
        <f t="shared" si="6"/>
        <v>1380</v>
      </c>
      <c r="E89" s="206">
        <v>60</v>
      </c>
      <c r="F89" s="263"/>
      <c r="G89" s="222"/>
      <c r="H89" s="203"/>
      <c r="I89" s="204"/>
      <c r="J89" s="5"/>
      <c r="K89" s="183"/>
      <c r="L89" s="5"/>
      <c r="M89" s="5"/>
      <c r="N89" s="5"/>
      <c r="O89" s="207" t="e">
        <f>IF(O88+1&lt;=MIN('Données projet'!$E$9:$E$18),O88+1,"STOP")</f>
        <v>#VALUE!</v>
      </c>
      <c r="P89" s="197" t="e">
        <f t="shared" si="5"/>
        <v>#VALUE!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45">
      <c r="A90" s="192">
        <f>'Données projet'!A93</f>
        <v>50</v>
      </c>
      <c r="B90" s="193">
        <f>'Données projet'!D93</f>
        <v>73</v>
      </c>
      <c r="C90" s="204">
        <v>20</v>
      </c>
      <c r="D90" s="191">
        <f t="shared" si="6"/>
        <v>1460</v>
      </c>
      <c r="E90" s="206">
        <v>60</v>
      </c>
      <c r="F90" s="263"/>
      <c r="G90" s="222"/>
      <c r="H90" s="203"/>
      <c r="I90" s="204"/>
      <c r="J90" s="5"/>
      <c r="K90" s="183"/>
      <c r="L90" s="5"/>
      <c r="M90" s="5"/>
      <c r="N90" s="5"/>
      <c r="O90" s="207" t="e">
        <f>IF(O89+1&lt;=MIN('Données projet'!$E$9:$E$18),O89+1,"STOP")</f>
        <v>#VALUE!</v>
      </c>
      <c r="P90" s="197" t="e">
        <f t="shared" si="5"/>
        <v>#VALUE!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45">
      <c r="A91" s="192">
        <f>'Données projet'!A94</f>
        <v>55</v>
      </c>
      <c r="B91" s="193">
        <f>'Données projet'!D94</f>
        <v>68</v>
      </c>
      <c r="C91" s="204">
        <v>20</v>
      </c>
      <c r="D91" s="191">
        <f t="shared" si="6"/>
        <v>1360</v>
      </c>
      <c r="E91" s="206">
        <v>60</v>
      </c>
      <c r="F91" s="263"/>
      <c r="G91" s="223"/>
      <c r="H91" s="203"/>
      <c r="I91" s="204"/>
      <c r="J91" s="5"/>
      <c r="K91" s="183"/>
      <c r="L91" s="5"/>
      <c r="M91" s="5"/>
      <c r="N91" s="5"/>
      <c r="O91" s="207" t="e">
        <f>IF(O90+1&lt;=MIN('Données projet'!$E$9:$E$18),O90+1,"STOP")</f>
        <v>#VALUE!</v>
      </c>
      <c r="P91" s="197" t="e">
        <f t="shared" si="5"/>
        <v>#VALUE!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45">
      <c r="A92" s="192">
        <f>'Données projet'!A95</f>
        <v>60</v>
      </c>
      <c r="B92" s="193">
        <f>'Données projet'!D95</f>
        <v>61</v>
      </c>
      <c r="C92" s="204">
        <v>20</v>
      </c>
      <c r="D92" s="191">
        <f t="shared" si="6"/>
        <v>1220</v>
      </c>
      <c r="E92" s="206">
        <v>60</v>
      </c>
      <c r="F92" s="263"/>
      <c r="G92" s="223"/>
      <c r="H92" s="203"/>
      <c r="I92" s="204"/>
      <c r="J92" s="5"/>
      <c r="K92" s="183"/>
      <c r="L92" s="5"/>
      <c r="M92" s="5"/>
      <c r="N92" s="5"/>
      <c r="O92" s="207" t="e">
        <f>IF(O91+1&lt;=MIN('Données projet'!$E$9:$E$18),O91+1,"STOP")</f>
        <v>#VALUE!</v>
      </c>
      <c r="P92" s="197" t="e">
        <f t="shared" si="5"/>
        <v>#VALUE!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45">
      <c r="A93" s="192">
        <f>'Données projet'!A96</f>
        <v>65</v>
      </c>
      <c r="B93" s="193">
        <f>'Données projet'!D96</f>
        <v>646</v>
      </c>
      <c r="C93" s="204">
        <v>100</v>
      </c>
      <c r="D93" s="191">
        <f t="shared" si="6"/>
        <v>64600</v>
      </c>
      <c r="E93" s="206">
        <v>60</v>
      </c>
      <c r="F93" s="263"/>
      <c r="G93" s="223"/>
      <c r="H93" s="203"/>
      <c r="I93" s="204"/>
      <c r="J93" s="5"/>
      <c r="K93" s="183"/>
      <c r="L93" s="5"/>
      <c r="M93" s="5"/>
      <c r="N93" s="5"/>
      <c r="O93" s="207" t="e">
        <f>IF(O92+1&lt;=MIN('Données projet'!$E$9:$E$18),O92+1,"STOP")</f>
        <v>#VALUE!</v>
      </c>
      <c r="P93" s="197" t="e">
        <f t="shared" si="5"/>
        <v>#VALUE!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45">
      <c r="A94" s="192">
        <f>'Données projet'!A97</f>
        <v>0</v>
      </c>
      <c r="B94" s="193">
        <f>'Données projet'!D97</f>
        <v>0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e">
        <f>IF(O93+1&lt;=MIN('Données projet'!$E$9:$E$18),O93+1,"STOP")</f>
        <v>#VALUE!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45">
      <c r="A95" s="192">
        <f>'Données projet'!A98</f>
        <v>0</v>
      </c>
      <c r="B95" s="193">
        <f>'Données projet'!D98</f>
        <v>0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45">
      <c r="A96" s="192">
        <f>'Données projet'!A99</f>
        <v>0</v>
      </c>
      <c r="B96" s="193">
        <f>'Données projet'!D99</f>
        <v>0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45">
      <c r="A97" s="192">
        <f>'Données projet'!A100</f>
        <v>0</v>
      </c>
      <c r="B97" s="193">
        <f>'Données projet'!D100</f>
        <v>0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45">
      <c r="A98" s="192">
        <f>'Données projet'!A101</f>
        <v>0</v>
      </c>
      <c r="B98" s="193">
        <f>'Données projet'!D101</f>
        <v>0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45">
      <c r="A99" s="192">
        <f>'Données projet'!A102</f>
        <v>0</v>
      </c>
      <c r="B99" s="193">
        <f>'Données projet'!D102</f>
        <v>0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45">
      <c r="A100" s="192">
        <f>'Données projet'!A103</f>
        <v>0</v>
      </c>
      <c r="B100" s="193">
        <f>'Données projet'!D103</f>
        <v>0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4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4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4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4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4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4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45">
      <c r="A107" s="49" t="s">
        <v>168</v>
      </c>
      <c r="B107" s="186" t="str">
        <f>IF('Données projet'!B12="","",'Données projet'!B12)</f>
        <v>Cèdre de l'Atlas</v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4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4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4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4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4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4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4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4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45">
      <c r="A116" s="192">
        <f>'Données projet'!A114</f>
        <v>20</v>
      </c>
      <c r="B116" s="193">
        <f>'Données projet'!D114</f>
        <v>19.166666670000001</v>
      </c>
      <c r="C116" s="204">
        <v>5</v>
      </c>
      <c r="D116" s="191">
        <f>B116*C116</f>
        <v>95.833333350000004</v>
      </c>
      <c r="E116" s="206">
        <v>60</v>
      </c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45">
      <c r="A117" s="192">
        <f>'Données projet'!A115</f>
        <v>30</v>
      </c>
      <c r="B117" s="193">
        <f>'Données projet'!D115</f>
        <v>26.805555559999998</v>
      </c>
      <c r="C117" s="204">
        <v>5</v>
      </c>
      <c r="D117" s="191">
        <f t="shared" ref="D117:D135" si="8">B117*C117</f>
        <v>134.0277778</v>
      </c>
      <c r="E117" s="206">
        <v>60</v>
      </c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45">
      <c r="A118" s="192">
        <f>'Données projet'!A116</f>
        <v>40</v>
      </c>
      <c r="B118" s="193">
        <f>'Données projet'!D116</f>
        <v>37.199074070000002</v>
      </c>
      <c r="C118" s="204">
        <v>5</v>
      </c>
      <c r="D118" s="191">
        <f t="shared" si="8"/>
        <v>185.99537035</v>
      </c>
      <c r="E118" s="206">
        <v>60</v>
      </c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45">
      <c r="A119" s="192">
        <f>'Données projet'!A117</f>
        <v>50</v>
      </c>
      <c r="B119" s="193">
        <f>'Données projet'!D117</f>
        <v>47.133487649999999</v>
      </c>
      <c r="C119" s="204">
        <v>20</v>
      </c>
      <c r="D119" s="191">
        <f t="shared" si="8"/>
        <v>942.66975300000001</v>
      </c>
      <c r="E119" s="206">
        <v>60</v>
      </c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45">
      <c r="A120" s="192">
        <f>'Données projet'!A118</f>
        <v>60</v>
      </c>
      <c r="B120" s="193">
        <f>'Données projet'!D118</f>
        <v>58.811085390000002</v>
      </c>
      <c r="C120" s="204">
        <v>20</v>
      </c>
      <c r="D120" s="191">
        <f t="shared" si="8"/>
        <v>1176.2217078000001</v>
      </c>
      <c r="E120" s="206">
        <v>60</v>
      </c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45">
      <c r="A121" s="192">
        <f>'Données projet'!A119</f>
        <v>70</v>
      </c>
      <c r="B121" s="193">
        <f>'Données projet'!D119</f>
        <v>69.364819100000005</v>
      </c>
      <c r="C121" s="204">
        <v>20</v>
      </c>
      <c r="D121" s="191">
        <f t="shared" si="8"/>
        <v>1387.296382</v>
      </c>
      <c r="E121" s="206">
        <v>60</v>
      </c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45">
      <c r="A122" s="192">
        <f>'Données projet'!A120</f>
        <v>80</v>
      </c>
      <c r="B122" s="193">
        <f>'Données projet'!D120</f>
        <v>80.439196820000006</v>
      </c>
      <c r="C122" s="204">
        <v>20</v>
      </c>
      <c r="D122" s="191">
        <f t="shared" si="8"/>
        <v>1608.7839364000001</v>
      </c>
      <c r="E122" s="206">
        <v>60</v>
      </c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45">
      <c r="A123" s="192">
        <f>'Données projet'!A121</f>
        <v>90</v>
      </c>
      <c r="B123" s="193">
        <f>'Données projet'!D121</f>
        <v>92.426800529999994</v>
      </c>
      <c r="C123" s="204">
        <v>20</v>
      </c>
      <c r="D123" s="191">
        <f t="shared" si="8"/>
        <v>1848.5360105999998</v>
      </c>
      <c r="E123" s="206">
        <v>60</v>
      </c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45">
      <c r="A124" s="192">
        <f>'Données projet'!A122</f>
        <v>100</v>
      </c>
      <c r="B124" s="193">
        <f>'Données projet'!D122</f>
        <v>104.2621999</v>
      </c>
      <c r="C124" s="204">
        <v>100</v>
      </c>
      <c r="D124" s="191">
        <f t="shared" si="8"/>
        <v>10426.21999</v>
      </c>
      <c r="E124" s="206">
        <v>60</v>
      </c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4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4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4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4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4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4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4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4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4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4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4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4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4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45">
      <c r="A138" s="49" t="s">
        <v>169</v>
      </c>
      <c r="B138" s="186" t="str">
        <f>IF('Données projet'!B13="","",'Données projet'!B13)</f>
        <v>Robinier faux-acacia</v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4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4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4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4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4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4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4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4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45">
      <c r="A147" s="45">
        <f>'Données projet'!A140</f>
        <v>5</v>
      </c>
      <c r="B147" s="187">
        <f>'Données projet'!D140</f>
        <v>6</v>
      </c>
      <c r="C147" s="204">
        <v>5</v>
      </c>
      <c r="D147" s="194">
        <f>B147*C147</f>
        <v>30</v>
      </c>
      <c r="E147" s="206">
        <v>60</v>
      </c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45">
      <c r="A148" s="45">
        <f>'Données projet'!A141</f>
        <v>10</v>
      </c>
      <c r="B148" s="187">
        <f>'Données projet'!D141</f>
        <v>28</v>
      </c>
      <c r="C148" s="204">
        <v>5</v>
      </c>
      <c r="D148" s="194">
        <f t="shared" ref="D148:D166" si="10">B148*C148</f>
        <v>140</v>
      </c>
      <c r="E148" s="206">
        <v>60</v>
      </c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45">
      <c r="A149" s="45">
        <f>'Données projet'!A142</f>
        <v>15</v>
      </c>
      <c r="B149" s="187">
        <f>'Données projet'!D142</f>
        <v>23</v>
      </c>
      <c r="C149" s="204">
        <v>5</v>
      </c>
      <c r="D149" s="194">
        <f t="shared" si="10"/>
        <v>115</v>
      </c>
      <c r="E149" s="206">
        <v>60</v>
      </c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45">
      <c r="A150" s="45">
        <f>'Données projet'!A143</f>
        <v>20</v>
      </c>
      <c r="B150" s="187">
        <f>'Données projet'!D143</f>
        <v>18</v>
      </c>
      <c r="C150" s="204">
        <v>5</v>
      </c>
      <c r="D150" s="194">
        <f t="shared" si="10"/>
        <v>90</v>
      </c>
      <c r="E150" s="206">
        <v>60</v>
      </c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45">
      <c r="A151" s="45">
        <f>'Données projet'!A144</f>
        <v>25</v>
      </c>
      <c r="B151" s="187">
        <f>'Données projet'!D144</f>
        <v>14</v>
      </c>
      <c r="C151" s="204">
        <v>5</v>
      </c>
      <c r="D151" s="194">
        <f t="shared" si="10"/>
        <v>70</v>
      </c>
      <c r="E151" s="206">
        <v>60</v>
      </c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45">
      <c r="A152" s="45">
        <f>'Données projet'!A145</f>
        <v>30</v>
      </c>
      <c r="B152" s="187">
        <f>'Données projet'!D145</f>
        <v>11</v>
      </c>
      <c r="C152" s="204">
        <v>20</v>
      </c>
      <c r="D152" s="194">
        <f t="shared" si="10"/>
        <v>220</v>
      </c>
      <c r="E152" s="206">
        <v>60</v>
      </c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45">
      <c r="A153" s="45">
        <f>'Données projet'!A146</f>
        <v>35</v>
      </c>
      <c r="B153" s="187">
        <f>'Données projet'!D146</f>
        <v>9</v>
      </c>
      <c r="C153" s="204">
        <v>50</v>
      </c>
      <c r="D153" s="194">
        <f t="shared" si="10"/>
        <v>450</v>
      </c>
      <c r="E153" s="206">
        <v>60</v>
      </c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45">
      <c r="A154" s="45">
        <f>'Données projet'!A147</f>
        <v>40</v>
      </c>
      <c r="B154" s="187">
        <f>'Données projet'!D147</f>
        <v>7</v>
      </c>
      <c r="C154" s="204">
        <v>50</v>
      </c>
      <c r="D154" s="194">
        <f t="shared" si="10"/>
        <v>350</v>
      </c>
      <c r="E154" s="206">
        <v>60</v>
      </c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45">
      <c r="A155" s="45">
        <f>'Données projet'!A148</f>
        <v>45</v>
      </c>
      <c r="B155" s="187">
        <f>'Données projet'!D148</f>
        <v>312</v>
      </c>
      <c r="C155" s="204">
        <v>100</v>
      </c>
      <c r="D155" s="194">
        <f t="shared" si="10"/>
        <v>31200</v>
      </c>
      <c r="E155" s="206">
        <v>60</v>
      </c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4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4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4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4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4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4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4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4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4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4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4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4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4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45">
      <c r="A169" s="49" t="s">
        <v>170</v>
      </c>
      <c r="B169" s="186" t="str">
        <f>IF('Données projet'!B14="","",'Données projet'!B14)</f>
        <v>Charme</v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4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4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4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4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4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4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4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4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45">
      <c r="A178" s="192">
        <f>'Données projet'!A166</f>
        <v>15</v>
      </c>
      <c r="B178" s="193">
        <f>'Données projet'!D166</f>
        <v>3</v>
      </c>
      <c r="C178" s="204">
        <v>5</v>
      </c>
      <c r="D178" s="191">
        <f>B178*C178</f>
        <v>15</v>
      </c>
      <c r="E178" s="206">
        <v>60</v>
      </c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45">
      <c r="A179" s="192">
        <f>'Données projet'!A167</f>
        <v>20</v>
      </c>
      <c r="B179" s="193">
        <f>'Données projet'!D167</f>
        <v>25</v>
      </c>
      <c r="C179" s="204">
        <v>5</v>
      </c>
      <c r="D179" s="191">
        <f t="shared" ref="D179:D197" si="11">B179*C179</f>
        <v>125</v>
      </c>
      <c r="E179" s="206">
        <v>60</v>
      </c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45">
      <c r="A180" s="192">
        <f>'Données projet'!A168</f>
        <v>25</v>
      </c>
      <c r="B180" s="193">
        <f>'Données projet'!D168</f>
        <v>27</v>
      </c>
      <c r="C180" s="204">
        <v>5</v>
      </c>
      <c r="D180" s="191">
        <f t="shared" si="11"/>
        <v>135</v>
      </c>
      <c r="E180" s="206">
        <v>60</v>
      </c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45">
      <c r="A181" s="192">
        <f>'Données projet'!A169</f>
        <v>31</v>
      </c>
      <c r="B181" s="193">
        <f>'Données projet'!D169</f>
        <v>36</v>
      </c>
      <c r="C181" s="204">
        <v>5</v>
      </c>
      <c r="D181" s="191">
        <f t="shared" si="11"/>
        <v>180</v>
      </c>
      <c r="E181" s="206">
        <v>60</v>
      </c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45">
      <c r="A182" s="192">
        <f>'Données projet'!A170</f>
        <v>37</v>
      </c>
      <c r="B182" s="193">
        <f>'Données projet'!D170</f>
        <v>36</v>
      </c>
      <c r="C182" s="204">
        <v>5</v>
      </c>
      <c r="D182" s="191">
        <f t="shared" si="11"/>
        <v>180</v>
      </c>
      <c r="E182" s="206">
        <v>60</v>
      </c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45">
      <c r="A183" s="192">
        <f>'Données projet'!A171</f>
        <v>44</v>
      </c>
      <c r="B183" s="193">
        <f>'Données projet'!D171</f>
        <v>43</v>
      </c>
      <c r="C183" s="204">
        <v>20</v>
      </c>
      <c r="D183" s="191">
        <f t="shared" si="11"/>
        <v>860</v>
      </c>
      <c r="E183" s="206">
        <v>60</v>
      </c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45">
      <c r="A184" s="192">
        <f>'Données projet'!A172</f>
        <v>52</v>
      </c>
      <c r="B184" s="193">
        <f>'Données projet'!D172</f>
        <v>48</v>
      </c>
      <c r="C184" s="204">
        <v>50</v>
      </c>
      <c r="D184" s="191">
        <f t="shared" si="11"/>
        <v>2400</v>
      </c>
      <c r="E184" s="206">
        <v>60</v>
      </c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45">
      <c r="A185" s="192">
        <f>'Données projet'!A173</f>
        <v>60</v>
      </c>
      <c r="B185" s="193">
        <f>'Données projet'!D173</f>
        <v>47</v>
      </c>
      <c r="C185" s="204">
        <v>50</v>
      </c>
      <c r="D185" s="191">
        <f t="shared" si="11"/>
        <v>2350</v>
      </c>
      <c r="E185" s="206">
        <v>60</v>
      </c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45">
      <c r="A186" s="192">
        <f>'Données projet'!A174</f>
        <v>69</v>
      </c>
      <c r="B186" s="193">
        <f>'Données projet'!D174</f>
        <v>328</v>
      </c>
      <c r="C186" s="204">
        <v>100</v>
      </c>
      <c r="D186" s="191">
        <f t="shared" si="11"/>
        <v>32800</v>
      </c>
      <c r="E186" s="206">
        <v>60</v>
      </c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4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4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4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4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4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4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4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4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4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4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4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4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4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45">
      <c r="A200" s="49" t="s">
        <v>171</v>
      </c>
      <c r="B200" s="186" t="str">
        <f>IF('Données projet'!$B$15="","",'Données projet'!$B$15)</f>
        <v>Châtaignier</v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4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4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4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4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4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4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4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4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45">
      <c r="A209" s="192">
        <f>'Données projet'!A192</f>
        <v>15</v>
      </c>
      <c r="B209" s="193">
        <f>'Données projet'!D192</f>
        <v>3</v>
      </c>
      <c r="C209" s="204">
        <v>5</v>
      </c>
      <c r="D209" s="191">
        <f>B209*C209</f>
        <v>15</v>
      </c>
      <c r="E209" s="206">
        <v>60</v>
      </c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45">
      <c r="A210" s="192">
        <f>'Données projet'!A193</f>
        <v>20</v>
      </c>
      <c r="B210" s="193">
        <f>'Données projet'!D193</f>
        <v>25</v>
      </c>
      <c r="C210" s="204">
        <v>5</v>
      </c>
      <c r="D210" s="191">
        <f t="shared" ref="D210:D228" si="12">B210*C210</f>
        <v>125</v>
      </c>
      <c r="E210" s="206">
        <v>60</v>
      </c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45">
      <c r="A211" s="192">
        <f>'Données projet'!A194</f>
        <v>25</v>
      </c>
      <c r="B211" s="193">
        <f>'Données projet'!D194</f>
        <v>27</v>
      </c>
      <c r="C211" s="204">
        <v>5</v>
      </c>
      <c r="D211" s="191">
        <f t="shared" si="12"/>
        <v>135</v>
      </c>
      <c r="E211" s="206">
        <v>60</v>
      </c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45">
      <c r="A212" s="192">
        <f>'Données projet'!A195</f>
        <v>31</v>
      </c>
      <c r="B212" s="193">
        <f>'Données projet'!D195</f>
        <v>36</v>
      </c>
      <c r="C212" s="204">
        <v>5</v>
      </c>
      <c r="D212" s="191">
        <f t="shared" si="12"/>
        <v>180</v>
      </c>
      <c r="E212" s="206">
        <v>60</v>
      </c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45">
      <c r="A213" s="192">
        <f>'Données projet'!A196</f>
        <v>37</v>
      </c>
      <c r="B213" s="193">
        <f>'Données projet'!D196</f>
        <v>36</v>
      </c>
      <c r="C213" s="204">
        <v>5</v>
      </c>
      <c r="D213" s="191">
        <f t="shared" si="12"/>
        <v>180</v>
      </c>
      <c r="E213" s="206">
        <v>60</v>
      </c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45">
      <c r="A214" s="192">
        <f>'Données projet'!A197</f>
        <v>44</v>
      </c>
      <c r="B214" s="193">
        <f>'Données projet'!D197</f>
        <v>43</v>
      </c>
      <c r="C214" s="204">
        <v>20</v>
      </c>
      <c r="D214" s="191">
        <f t="shared" si="12"/>
        <v>860</v>
      </c>
      <c r="E214" s="206">
        <v>60</v>
      </c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45">
      <c r="A215" s="192">
        <f>'Données projet'!A198</f>
        <v>52</v>
      </c>
      <c r="B215" s="193">
        <f>'Données projet'!D198</f>
        <v>48</v>
      </c>
      <c r="C215" s="204">
        <v>50</v>
      </c>
      <c r="D215" s="191">
        <f t="shared" si="12"/>
        <v>2400</v>
      </c>
      <c r="E215" s="206">
        <v>60</v>
      </c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45">
      <c r="A216" s="192">
        <f>'Données projet'!A199</f>
        <v>60</v>
      </c>
      <c r="B216" s="193">
        <f>'Données projet'!D199</f>
        <v>47</v>
      </c>
      <c r="C216" s="204">
        <v>50</v>
      </c>
      <c r="D216" s="191">
        <f t="shared" si="12"/>
        <v>2350</v>
      </c>
      <c r="E216" s="206">
        <v>60</v>
      </c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45">
      <c r="A217" s="192">
        <f>'Données projet'!A200</f>
        <v>69</v>
      </c>
      <c r="B217" s="193">
        <f>'Données projet'!D200</f>
        <v>328</v>
      </c>
      <c r="C217" s="204">
        <v>100</v>
      </c>
      <c r="D217" s="191">
        <f t="shared" si="12"/>
        <v>32800</v>
      </c>
      <c r="E217" s="206">
        <v>60</v>
      </c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4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4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4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4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4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4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4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4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4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4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4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4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4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45">
      <c r="A231" s="49" t="s">
        <v>172</v>
      </c>
      <c r="B231" s="186" t="str">
        <f>IF('Données projet'!$B$16="","",'Données projet'!$B$16)</f>
        <v>Alisier torminal</v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4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4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4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4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4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4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4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4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45">
      <c r="A240" s="192">
        <f>'Données projet'!A218</f>
        <v>15</v>
      </c>
      <c r="B240" s="193">
        <f>'Données projet'!D218</f>
        <v>3</v>
      </c>
      <c r="C240" s="204">
        <v>5</v>
      </c>
      <c r="D240" s="191">
        <f>B240*C240</f>
        <v>15</v>
      </c>
      <c r="E240" s="206">
        <v>60</v>
      </c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45">
      <c r="A241" s="192">
        <f>'Données projet'!A219</f>
        <v>20</v>
      </c>
      <c r="B241" s="193">
        <f>'Données projet'!D219</f>
        <v>25</v>
      </c>
      <c r="C241" s="204">
        <v>5</v>
      </c>
      <c r="D241" s="191">
        <f t="shared" ref="D241:D259" si="13">B241*C241</f>
        <v>125</v>
      </c>
      <c r="E241" s="206">
        <v>60</v>
      </c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45">
      <c r="A242" s="192">
        <f>'Données projet'!A220</f>
        <v>25</v>
      </c>
      <c r="B242" s="193">
        <f>'Données projet'!D220</f>
        <v>27</v>
      </c>
      <c r="C242" s="204">
        <v>5</v>
      </c>
      <c r="D242" s="191">
        <f t="shared" si="13"/>
        <v>135</v>
      </c>
      <c r="E242" s="206">
        <v>60</v>
      </c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45">
      <c r="A243" s="192">
        <f>'Données projet'!A221</f>
        <v>31</v>
      </c>
      <c r="B243" s="193">
        <f>'Données projet'!D221</f>
        <v>36</v>
      </c>
      <c r="C243" s="204">
        <v>5</v>
      </c>
      <c r="D243" s="191">
        <f t="shared" si="13"/>
        <v>180</v>
      </c>
      <c r="E243" s="206">
        <v>60</v>
      </c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45">
      <c r="A244" s="192">
        <f>'Données projet'!A222</f>
        <v>37</v>
      </c>
      <c r="B244" s="193">
        <f>'Données projet'!D222</f>
        <v>36</v>
      </c>
      <c r="C244" s="204">
        <v>5</v>
      </c>
      <c r="D244" s="191">
        <f t="shared" si="13"/>
        <v>180</v>
      </c>
      <c r="E244" s="206">
        <v>60</v>
      </c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45">
      <c r="A245" s="192">
        <f>'Données projet'!A223</f>
        <v>44</v>
      </c>
      <c r="B245" s="193">
        <f>'Données projet'!D223</f>
        <v>43</v>
      </c>
      <c r="C245" s="204">
        <v>20</v>
      </c>
      <c r="D245" s="191">
        <f t="shared" si="13"/>
        <v>860</v>
      </c>
      <c r="E245" s="206">
        <v>60</v>
      </c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45">
      <c r="A246" s="192">
        <f>'Données projet'!A224</f>
        <v>52</v>
      </c>
      <c r="B246" s="193">
        <f>'Données projet'!D224</f>
        <v>48</v>
      </c>
      <c r="C246" s="204">
        <v>50</v>
      </c>
      <c r="D246" s="191">
        <f t="shared" si="13"/>
        <v>2400</v>
      </c>
      <c r="E246" s="206">
        <v>60</v>
      </c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45">
      <c r="A247" s="192">
        <f>'Données projet'!A225</f>
        <v>60</v>
      </c>
      <c r="B247" s="193">
        <f>'Données projet'!D225</f>
        <v>47</v>
      </c>
      <c r="C247" s="204">
        <v>50</v>
      </c>
      <c r="D247" s="191">
        <f t="shared" si="13"/>
        <v>2350</v>
      </c>
      <c r="E247" s="206">
        <v>60</v>
      </c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45">
      <c r="A248" s="192">
        <f>'Données projet'!A226</f>
        <v>69</v>
      </c>
      <c r="B248" s="193">
        <f>'Données projet'!D226</f>
        <v>328</v>
      </c>
      <c r="C248" s="204">
        <v>100</v>
      </c>
      <c r="D248" s="191">
        <f t="shared" si="13"/>
        <v>32800</v>
      </c>
      <c r="E248" s="206">
        <v>60</v>
      </c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4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4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4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4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4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4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4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4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4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4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4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4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4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45">
      <c r="A262" s="49" t="s">
        <v>173</v>
      </c>
      <c r="B262" s="186" t="str">
        <f>IF('Données projet'!$B$17="","",'Données projet'!$B$17)</f>
        <v>Cormier</v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4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4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4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4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4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4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4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4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45">
      <c r="A271" s="192">
        <f>'Données projet'!A244</f>
        <v>15</v>
      </c>
      <c r="B271" s="193">
        <f>'Données projet'!D244</f>
        <v>3</v>
      </c>
      <c r="C271" s="204">
        <v>5</v>
      </c>
      <c r="D271" s="191">
        <f>B271*C271</f>
        <v>15</v>
      </c>
      <c r="E271" s="206">
        <v>60</v>
      </c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45">
      <c r="A272" s="192">
        <f>'Données projet'!A245</f>
        <v>20</v>
      </c>
      <c r="B272" s="193">
        <f>'Données projet'!D245</f>
        <v>25</v>
      </c>
      <c r="C272" s="204">
        <v>5</v>
      </c>
      <c r="D272" s="191">
        <f t="shared" ref="D272:D290" si="14">B272*C272</f>
        <v>125</v>
      </c>
      <c r="E272" s="206">
        <v>60</v>
      </c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45">
      <c r="A273" s="192">
        <f>'Données projet'!A246</f>
        <v>25</v>
      </c>
      <c r="B273" s="193">
        <f>'Données projet'!D246</f>
        <v>27</v>
      </c>
      <c r="C273" s="204">
        <v>5</v>
      </c>
      <c r="D273" s="191">
        <f t="shared" si="14"/>
        <v>135</v>
      </c>
      <c r="E273" s="206">
        <v>60</v>
      </c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45">
      <c r="A274" s="192">
        <f>'Données projet'!A247</f>
        <v>31</v>
      </c>
      <c r="B274" s="193">
        <f>'Données projet'!D247</f>
        <v>36</v>
      </c>
      <c r="C274" s="204">
        <v>5</v>
      </c>
      <c r="D274" s="191">
        <f t="shared" si="14"/>
        <v>180</v>
      </c>
      <c r="E274" s="206">
        <v>60</v>
      </c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45">
      <c r="A275" s="192">
        <f>'Données projet'!A248</f>
        <v>37</v>
      </c>
      <c r="B275" s="193">
        <f>'Données projet'!D248</f>
        <v>36</v>
      </c>
      <c r="C275" s="204">
        <v>5</v>
      </c>
      <c r="D275" s="191">
        <f t="shared" si="14"/>
        <v>180</v>
      </c>
      <c r="E275" s="206">
        <v>60</v>
      </c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45">
      <c r="A276" s="192">
        <f>'Données projet'!A249</f>
        <v>44</v>
      </c>
      <c r="B276" s="193">
        <f>'Données projet'!D249</f>
        <v>43</v>
      </c>
      <c r="C276" s="204">
        <v>20</v>
      </c>
      <c r="D276" s="191">
        <f t="shared" si="14"/>
        <v>860</v>
      </c>
      <c r="E276" s="206">
        <v>60</v>
      </c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45">
      <c r="A277" s="192">
        <f>'Données projet'!A250</f>
        <v>52</v>
      </c>
      <c r="B277" s="193">
        <f>'Données projet'!D250</f>
        <v>48</v>
      </c>
      <c r="C277" s="204">
        <v>50</v>
      </c>
      <c r="D277" s="191">
        <f t="shared" si="14"/>
        <v>2400</v>
      </c>
      <c r="E277" s="206">
        <v>60</v>
      </c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45">
      <c r="A278" s="192">
        <f>'Données projet'!A251</f>
        <v>60</v>
      </c>
      <c r="B278" s="193">
        <f>'Données projet'!D251</f>
        <v>47</v>
      </c>
      <c r="C278" s="204">
        <v>50</v>
      </c>
      <c r="D278" s="191">
        <f t="shared" si="14"/>
        <v>2350</v>
      </c>
      <c r="E278" s="206">
        <v>60</v>
      </c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45">
      <c r="A279" s="192">
        <f>'Données projet'!A252</f>
        <v>69</v>
      </c>
      <c r="B279" s="193">
        <f>'Données projet'!D252</f>
        <v>328</v>
      </c>
      <c r="C279" s="204">
        <v>100</v>
      </c>
      <c r="D279" s="191">
        <f t="shared" si="14"/>
        <v>32800</v>
      </c>
      <c r="E279" s="206">
        <v>60</v>
      </c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4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4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4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4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4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4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4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4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4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4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4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4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4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45">
      <c r="A293" s="49" t="s">
        <v>174</v>
      </c>
      <c r="B293" s="186" t="str">
        <f>IF('Données projet'!$B$18="","",'Données projet'!$B$18)</f>
        <v>Tilleul</v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4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4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4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4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4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4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4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4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45">
      <c r="A302" s="192">
        <f>'Données projet'!A270</f>
        <v>15</v>
      </c>
      <c r="B302" s="193">
        <f>'Données projet'!D270</f>
        <v>3</v>
      </c>
      <c r="C302" s="204">
        <v>5</v>
      </c>
      <c r="D302" s="194">
        <f>B302*C302</f>
        <v>15</v>
      </c>
      <c r="E302" s="206">
        <v>60</v>
      </c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45">
      <c r="A303" s="192">
        <f>'Données projet'!A271</f>
        <v>20</v>
      </c>
      <c r="B303" s="193">
        <f>'Données projet'!D271</f>
        <v>25</v>
      </c>
      <c r="C303" s="204">
        <v>5</v>
      </c>
      <c r="D303" s="194">
        <f t="shared" ref="D303:D321" si="15">B303*C303</f>
        <v>125</v>
      </c>
      <c r="E303" s="206">
        <v>60</v>
      </c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45">
      <c r="A304" s="192">
        <f>'Données projet'!A272</f>
        <v>25</v>
      </c>
      <c r="B304" s="193">
        <f>'Données projet'!D272</f>
        <v>27</v>
      </c>
      <c r="C304" s="204">
        <v>5</v>
      </c>
      <c r="D304" s="194">
        <f t="shared" si="15"/>
        <v>135</v>
      </c>
      <c r="E304" s="206">
        <v>60</v>
      </c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45">
      <c r="A305" s="192">
        <f>'Données projet'!A273</f>
        <v>31</v>
      </c>
      <c r="B305" s="193">
        <f>'Données projet'!D273</f>
        <v>36</v>
      </c>
      <c r="C305" s="204">
        <v>5</v>
      </c>
      <c r="D305" s="194">
        <f t="shared" si="15"/>
        <v>180</v>
      </c>
      <c r="E305" s="206">
        <v>60</v>
      </c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45">
      <c r="A306" s="192">
        <f>'Données projet'!A274</f>
        <v>37</v>
      </c>
      <c r="B306" s="193">
        <f>'Données projet'!D274</f>
        <v>36</v>
      </c>
      <c r="C306" s="204">
        <v>5</v>
      </c>
      <c r="D306" s="194">
        <f t="shared" si="15"/>
        <v>180</v>
      </c>
      <c r="E306" s="206">
        <v>60</v>
      </c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45">
      <c r="A307" s="192">
        <f>'Données projet'!A275</f>
        <v>44</v>
      </c>
      <c r="B307" s="193">
        <f>'Données projet'!D275</f>
        <v>43</v>
      </c>
      <c r="C307" s="204">
        <v>20</v>
      </c>
      <c r="D307" s="194">
        <f t="shared" si="15"/>
        <v>860</v>
      </c>
      <c r="E307" s="206">
        <v>60</v>
      </c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45">
      <c r="A308" s="192">
        <f>'Données projet'!A276</f>
        <v>52</v>
      </c>
      <c r="B308" s="193">
        <f>'Données projet'!D276</f>
        <v>48</v>
      </c>
      <c r="C308" s="204">
        <v>50</v>
      </c>
      <c r="D308" s="194">
        <f t="shared" si="15"/>
        <v>2400</v>
      </c>
      <c r="E308" s="206">
        <v>60</v>
      </c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45">
      <c r="A309" s="192">
        <f>'Données projet'!A277</f>
        <v>60</v>
      </c>
      <c r="B309" s="193">
        <f>'Données projet'!D277</f>
        <v>47</v>
      </c>
      <c r="C309" s="204">
        <v>50</v>
      </c>
      <c r="D309" s="194">
        <f t="shared" si="15"/>
        <v>2350</v>
      </c>
      <c r="E309" s="206">
        <v>60</v>
      </c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45">
      <c r="A310" s="192">
        <f>'Données projet'!A278</f>
        <v>69</v>
      </c>
      <c r="B310" s="193">
        <f>'Données projet'!D278</f>
        <v>328</v>
      </c>
      <c r="C310" s="204">
        <v>100</v>
      </c>
      <c r="D310" s="194">
        <f t="shared" si="15"/>
        <v>32800</v>
      </c>
      <c r="E310" s="206">
        <v>60</v>
      </c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4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4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4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4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4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4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4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4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4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4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4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4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4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4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4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4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4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4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4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4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4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4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4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4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4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4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4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4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4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4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4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4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4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4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4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4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4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4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4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4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4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4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4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4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4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4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4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4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4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4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4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4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4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4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4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4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4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4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4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4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4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4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4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4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4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4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4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4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4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4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4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4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4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4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4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4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4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4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4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4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4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4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4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4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4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4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4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4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4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4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4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4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4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4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4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4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4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4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4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4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4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4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4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4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4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4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4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4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4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4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4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4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4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4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4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4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4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4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4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4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4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4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4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4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4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4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4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4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4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4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4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4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4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4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4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4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4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4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4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4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4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4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4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4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4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4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4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4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4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4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4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4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4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4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4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4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4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4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4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4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4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4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4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4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4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4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4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4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4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4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4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4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4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4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4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4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4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4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4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4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4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4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4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4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4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4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4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4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4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4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4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4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4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4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4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4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4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4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4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4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4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4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4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4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4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4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4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4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4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4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4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4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4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4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4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4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4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4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4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4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4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4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4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4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4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4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4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4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4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4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4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4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4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4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4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4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4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4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4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4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4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4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Hortense Wiart</cp:lastModifiedBy>
  <dcterms:created xsi:type="dcterms:W3CDTF">2021-02-01T08:22:39Z</dcterms:created>
  <dcterms:modified xsi:type="dcterms:W3CDTF">2022-07-01T13:46:21Z</dcterms:modified>
</cp:coreProperties>
</file>