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\Fransylva Services\LBC\Dossiers LBC\Manon Lopez\De La Riviere\"/>
    </mc:Choice>
  </mc:AlternateContent>
  <xr:revisionPtr revIDLastSave="0" documentId="13_ncr:1_{44BE8B00-2DF4-46FD-817A-ADC8CF8030A0}" xr6:coauthVersionLast="47" xr6:coauthVersionMax="47" xr10:uidLastSave="{00000000-0000-0000-0000-000000000000}"/>
  <bookViews>
    <workbookView xWindow="712" yWindow="120" windowWidth="13703" windowHeight="104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H202" i="2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30" i="2" l="1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84" i="2" a="1"/>
  <c r="BC84" i="2" s="1"/>
  <c r="BC114" i="2" a="1"/>
  <c r="BC114" i="2" s="1"/>
  <c r="BC32" i="2" a="1"/>
  <c r="BC32" i="2" s="1"/>
  <c r="BC126" i="2" a="1"/>
  <c r="BC12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178" i="2" l="1"/>
  <c r="CY149" i="2"/>
  <c r="CY179" i="2"/>
  <c r="CY181" i="2"/>
  <c r="CY85" i="2"/>
  <c r="CY10" i="2"/>
  <c r="CY57" i="2"/>
  <c r="CY35" i="2"/>
  <c r="CY191" i="2"/>
  <c r="CY63" i="2"/>
  <c r="CY186" i="2"/>
  <c r="CY117" i="2"/>
  <c r="CY114" i="2"/>
  <c r="CY65" i="2"/>
  <c r="CY71" i="2"/>
  <c r="CY160" i="2"/>
  <c r="CY32" i="2"/>
  <c r="CY107" i="2"/>
  <c r="CY102" i="2"/>
  <c r="CY66" i="2"/>
  <c r="CY180" i="2"/>
  <c r="CY200" i="2"/>
  <c r="CY123" i="2"/>
  <c r="CY192" i="2"/>
  <c r="CY143" i="2"/>
  <c r="CY51" i="2"/>
  <c r="CY182" i="2"/>
  <c r="CY98" i="2"/>
  <c r="CY18" i="2"/>
  <c r="CY173" i="2"/>
  <c r="CY176" i="2"/>
  <c r="CY175" i="2"/>
  <c r="CY162" i="2"/>
  <c r="CY148" i="2"/>
  <c r="CY14" i="2"/>
  <c r="CY203" i="2"/>
  <c r="CY92" i="2"/>
  <c r="CY145" i="2"/>
  <c r="CY169" i="2"/>
  <c r="CY38" i="2"/>
  <c r="CY195" i="2"/>
  <c r="CY41" i="2"/>
  <c r="CY168" i="2"/>
  <c r="CY103" i="2"/>
  <c r="CY86" i="2"/>
  <c r="CY72" i="2"/>
  <c r="CY193" i="2"/>
  <c r="CY151" i="2"/>
  <c r="CY190" i="2"/>
  <c r="CY9" i="2"/>
  <c r="CY142" i="2"/>
  <c r="CY80" i="2"/>
  <c r="CY36" i="2"/>
  <c r="CY96" i="2"/>
  <c r="CY164" i="2"/>
  <c r="CY187" i="2"/>
  <c r="CY111" i="2"/>
  <c r="CY127" i="2"/>
  <c r="CY120" i="2"/>
  <c r="CY56" i="2"/>
  <c r="CY201" i="2"/>
  <c r="CY116" i="2"/>
  <c r="CY158" i="2"/>
  <c r="CY113" i="2"/>
  <c r="CY194" i="2"/>
  <c r="CY198" i="2"/>
  <c r="CY24" i="2"/>
  <c r="CY118" i="2"/>
  <c r="CY13" i="2"/>
  <c r="CY15" i="2"/>
  <c r="CY137" i="2"/>
  <c r="CY135" i="2"/>
  <c r="CY81" i="2"/>
  <c r="CY12" i="2"/>
  <c r="CY47" i="2"/>
  <c r="CY166" i="2"/>
  <c r="CY44" i="2"/>
  <c r="CY140" i="2"/>
  <c r="CY124" i="2"/>
  <c r="CY101" i="2"/>
  <c r="CY141" i="2"/>
  <c r="CY95" i="2"/>
  <c r="CY49" i="2"/>
  <c r="CY188" i="2"/>
  <c r="CY110" i="2"/>
  <c r="CY136" i="2"/>
  <c r="CY78" i="2"/>
  <c r="CY155" i="2"/>
  <c r="CY88" i="2"/>
  <c r="CY31" i="2"/>
  <c r="CY30" i="2"/>
  <c r="CY154" i="2"/>
  <c r="CY131" i="2"/>
  <c r="CY64" i="2"/>
  <c r="CY67" i="2"/>
  <c r="CY104" i="2"/>
  <c r="CY29" i="2"/>
  <c r="CY17" i="2"/>
  <c r="CY146" i="2"/>
  <c r="CY83" i="2"/>
  <c r="CY7" i="2"/>
  <c r="CY109" i="2"/>
  <c r="CY27" i="2"/>
  <c r="CY74" i="2"/>
  <c r="CY87" i="2"/>
  <c r="CY68" i="2"/>
  <c r="CY53" i="2"/>
  <c r="CY19" i="2"/>
  <c r="CY45" i="2"/>
  <c r="CY48" i="2"/>
  <c r="CY40" i="2"/>
  <c r="CY58" i="2"/>
  <c r="CY75" i="2"/>
  <c r="CY84" i="2"/>
  <c r="CY16" i="2"/>
  <c r="CY50" i="2"/>
  <c r="CY22" i="2"/>
  <c r="CY144" i="2"/>
  <c r="CY138" i="2"/>
  <c r="CY150" i="2"/>
  <c r="CY4" i="2"/>
  <c r="CY129" i="2"/>
  <c r="CY174" i="2"/>
  <c r="CY39" i="2"/>
  <c r="CY130" i="2"/>
  <c r="CY70" i="2"/>
  <c r="CY77" i="2"/>
  <c r="CY6" i="2"/>
  <c r="CY172" i="2"/>
  <c r="CY82" i="2"/>
  <c r="CY3" i="2"/>
  <c r="C10" i="4" s="1"/>
  <c r="E10" i="4" s="1"/>
  <c r="F10" i="4" s="1"/>
  <c r="G10" i="4" s="1"/>
  <c r="L10" i="4" s="1"/>
  <c r="CY171" i="2"/>
  <c r="CY93" i="2"/>
  <c r="CY152" i="2"/>
  <c r="CY161" i="2"/>
  <c r="CY106" i="2"/>
  <c r="CY59" i="2"/>
  <c r="CY202" i="2"/>
  <c r="CY167" i="2"/>
  <c r="CY121" i="2"/>
  <c r="CY177" i="2"/>
  <c r="CY54" i="2"/>
  <c r="CY183" i="2"/>
  <c r="CY61" i="2"/>
  <c r="CY37" i="2"/>
  <c r="CY185" i="2"/>
  <c r="CY79" i="2"/>
  <c r="CY99" i="2"/>
  <c r="CY89" i="2"/>
  <c r="CY91" i="2"/>
  <c r="CY25" i="2"/>
  <c r="CY112" i="2"/>
  <c r="CY55" i="2"/>
  <c r="CY5" i="2"/>
  <c r="CY62" i="2"/>
  <c r="CY94" i="2"/>
  <c r="CY34" i="2"/>
  <c r="CY165" i="2"/>
  <c r="CY133" i="2"/>
  <c r="CY42" i="2"/>
  <c r="CY189" i="2"/>
  <c r="CY153" i="2"/>
  <c r="CY139" i="2"/>
  <c r="CY46" i="2"/>
  <c r="CY90" i="2"/>
  <c r="CY157" i="2"/>
  <c r="CY159" i="2"/>
  <c r="CY156" i="2"/>
  <c r="CY100" i="2"/>
  <c r="CY52" i="2"/>
  <c r="CY73" i="2"/>
  <c r="CY76" i="2"/>
  <c r="CY11" i="2"/>
  <c r="CY147" i="2"/>
  <c r="CY20" i="2"/>
  <c r="CY122" i="2"/>
  <c r="CY184" i="2"/>
  <c r="CY8" i="2"/>
  <c r="CY69" i="2"/>
  <c r="CY119" i="2"/>
  <c r="CY115" i="2"/>
  <c r="CY33" i="2"/>
  <c r="CY126" i="2"/>
  <c r="CY21" i="2"/>
  <c r="CY197" i="2"/>
  <c r="CY108" i="2"/>
  <c r="CY134" i="2"/>
  <c r="CY60" i="2"/>
  <c r="CY132" i="2"/>
  <c r="CY125" i="2"/>
  <c r="CY199" i="2"/>
  <c r="CY163" i="2"/>
  <c r="CY128" i="2"/>
  <c r="CY196" i="2"/>
  <c r="CY26" i="2"/>
  <c r="CY28" i="2"/>
  <c r="CY170" i="2"/>
  <c r="CY43" i="2"/>
  <c r="CY105" i="2"/>
  <c r="CY23" i="2"/>
  <c r="CY97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<sst xmlns="http://schemas.openxmlformats.org/spreadsheetml/2006/main" count="1179" uniqueCount="325">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</sst>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5.4660230907994141</c:v>
                </c:pt>
                <c:pt idx="2">
                  <c:v>10.681323473939329</c:v>
                </c:pt>
                <c:pt idx="3">
                  <c:v>15.815653007997854</c:v>
                </c:pt>
                <c:pt idx="4">
                  <c:v>20.900070226698777</c:v>
                </c:pt>
                <c:pt idx="5">
                  <c:v>25.94865187569178</c:v>
                </c:pt>
                <c:pt idx="6">
                  <c:v>30.969427918415988</c:v>
                </c:pt>
                <c:pt idx="7">
                  <c:v>35.967574961817526</c:v>
                </c:pt>
                <c:pt idx="8">
                  <c:v>40.946698717006726</c:v>
                </c:pt>
                <c:pt idx="9">
                  <c:v>45.909449427517977</c:v>
                </c:pt>
                <c:pt idx="10">
                  <c:v>50.857853843459729</c:v>
                </c:pt>
                <c:pt idx="11">
                  <c:v>55.793509908396324</c:v>
                </c:pt>
                <c:pt idx="12">
                  <c:v>60.717708366555691</c:v>
                </c:pt>
                <c:pt idx="13">
                  <c:v>65.63151257084742</c:v>
                </c:pt>
                <c:pt idx="14">
                  <c:v>70.535812988304585</c:v>
                </c:pt>
                <c:pt idx="15">
                  <c:v>75.431365668089654</c:v>
                </c:pt>
                <c:pt idx="16">
                  <c:v>80.318820149717823</c:v>
                </c:pt>
                <c:pt idx="17">
                  <c:v>85.198740191253449</c:v>
                </c:pt>
                <c:pt idx="18">
                  <c:v>90.071619479564632</c:v>
                </c:pt>
                <c:pt idx="19">
                  <c:v>94.937893749321418</c:v>
                </c:pt>
                <c:pt idx="20">
                  <c:v>99.797950277841281</c:v>
                </c:pt>
                <c:pt idx="21">
                  <c:v>104.652135427</c:v>
                </c:pt>
                <c:pt idx="22">
                  <c:v>109.50076070788542</c:v>
                </c:pt>
                <c:pt idx="23">
                  <c:v>114.34410771161743</c:v>
                </c:pt>
                <c:pt idx="24">
                  <c:v>119.18243215843677</c:v>
                </c:pt>
                <c:pt idx="25">
                  <c:v>124.01596725292983</c:v>
                </c:pt>
                <c:pt idx="26">
                  <c:v>128.8449264873062</c:v>
                </c:pt>
                <c:pt idx="27">
                  <c:v>133.66950600127205</c:v>
                </c:pt>
                <c:pt idx="28">
                  <c:v>138.48988658246478</c:v>
                </c:pt>
                <c:pt idx="29">
                  <c:v>143.30623537308037</c:v>
                </c:pt>
                <c:pt idx="30">
                  <c:v>148.11870733449055</c:v>
                </c:pt>
                <c:pt idx="31">
                  <c:v>152.92744651109214</c:v>
                </c:pt>
                <c:pt idx="32">
                  <c:v>157.7325871264978</c:v>
                </c:pt>
                <c:pt idx="33">
                  <c:v>162.53425453885362</c:v>
                </c:pt>
                <c:pt idx="34">
                  <c:v>167.33256607710749</c:v>
                </c:pt>
                <c:pt idx="35">
                  <c:v>172.12763177612814</c:v>
                </c:pt>
                <c:pt idx="36">
                  <c:v>176.91955502544894</c:v>
                </c:pt>
                <c:pt idx="37">
                  <c:v>181.70843314390311</c:v>
                </c:pt>
                <c:pt idx="38">
                  <c:v>186.49435789038873</c:v>
                </c:pt>
                <c:pt idx="39">
                  <c:v>191.27741591935674</c:v>
                </c:pt>
                <c:pt idx="40">
                  <c:v>196.05768918826797</c:v>
                </c:pt>
                <c:pt idx="41">
                  <c:v>200.83525532315684</c:v>
                </c:pt>
                <c:pt idx="42">
                  <c:v>205.61018794752695</c:v>
                </c:pt>
                <c:pt idx="43">
                  <c:v>210.38255697904034</c:v>
                </c:pt>
                <c:pt idx="44">
                  <c:v>215.15242889783022</c:v>
                </c:pt>
                <c:pt idx="45">
                  <c:v>219.91986698973434</c:v>
                </c:pt>
                <c:pt idx="46">
                  <c:v>224.68493156729764</c:v>
                </c:pt>
                <c:pt idx="47">
                  <c:v>229.44768017101543</c:v>
                </c:pt>
                <c:pt idx="48">
                  <c:v>234.20816775296598</c:v>
                </c:pt>
                <c:pt idx="49">
                  <c:v>238.96644684470857</c:v>
                </c:pt>
                <c:pt idx="50">
                  <c:v>243.72256771108889</c:v>
                </c:pt>
                <c:pt idx="51">
                  <c:v>248.47657849139151</c:v>
                </c:pt>
                <c:pt idx="52">
                  <c:v>253.22852532910977</c:v>
                </c:pt>
                <c:pt idx="53">
                  <c:v>208.6354867238299</c:v>
                </c:pt>
                <c:pt idx="54">
                  <c:v>220.59537347449944</c:v>
                </c:pt>
                <c:pt idx="55">
                  <c:v>232.54037687936662</c:v>
                </c:pt>
                <c:pt idx="56">
                  <c:v>244.47136960550881</c:v>
                </c:pt>
                <c:pt idx="57">
                  <c:v>256.38913212364326</c:v>
                </c:pt>
                <c:pt idx="58">
                  <c:v>268.29436637384839</c:v>
                </c:pt>
                <c:pt idx="59">
                  <c:v>280.1877068763726</c:v>
                </c:pt>
                <c:pt idx="60">
                  <c:v>292.06972985560316</c:v>
                </c:pt>
                <c:pt idx="61">
                  <c:v>245.68806155403334</c:v>
                </c:pt>
                <c:pt idx="62">
                  <c:v>257.60451473454003</c:v>
                </c:pt>
                <c:pt idx="63">
                  <c:v>269.50850731507103</c:v>
                </c:pt>
                <c:pt idx="64">
                  <c:v>281.40066747860004</c:v>
                </c:pt>
                <c:pt idx="65">
                  <c:v>293.28156594925059</c:v>
                </c:pt>
                <c:pt idx="66">
                  <c:v>305.15172341265009</c:v>
                </c:pt>
                <c:pt idx="67">
                  <c:v>317.01161672057395</c:v>
                </c:pt>
                <c:pt idx="68">
                  <c:v>328.86168411801799</c:v>
                </c:pt>
                <c:pt idx="69">
                  <c:v>280.23622755830678</c:v>
                </c:pt>
                <c:pt idx="70">
                  <c:v>291.68191860662404</c:v>
                </c:pt>
                <c:pt idx="71">
                  <c:v>303.11758094856515</c:v>
                </c:pt>
                <c:pt idx="72">
                  <c:v>314.54364642285998</c:v>
                </c:pt>
                <c:pt idx="73">
                  <c:v>325.9605129186765</c:v>
                </c:pt>
                <c:pt idx="74">
                  <c:v>337.3685481657111</c:v>
                </c:pt>
                <c:pt idx="75">
                  <c:v>348.76809298461347</c:v>
                </c:pt>
                <c:pt idx="76">
                  <c:v>360.15946409007773</c:v>
                </c:pt>
                <c:pt idx="77">
                  <c:v>371.5429565206544</c:v>
                </c:pt>
                <c:pt idx="78">
                  <c:v>382.91884575514445</c:v>
                </c:pt>
                <c:pt idx="79">
                  <c:v>332.14899550797418</c:v>
                </c:pt>
                <c:pt idx="80">
                  <c:v>343.16596745045581</c:v>
                </c:pt>
                <c:pt idx="81">
                  <c:v>354.17516791892012</c:v>
                </c:pt>
                <c:pt idx="82">
                  <c:v>365.17687261995815</c:v>
                </c:pt>
                <c:pt idx="83">
                  <c:v>376.17133928605472</c:v>
                </c:pt>
                <c:pt idx="84">
                  <c:v>387.15880934971273</c:v>
                </c:pt>
                <c:pt idx="85">
                  <c:v>398.13950941756428</c:v>
                </c:pt>
                <c:pt idx="86">
                  <c:v>409.11365257333472</c:v>
                </c:pt>
                <c:pt idx="87">
                  <c:v>420.08143953368364</c:v>
                </c:pt>
                <c:pt idx="88">
                  <c:v>431.04305967702004</c:v>
                </c:pt>
                <c:pt idx="89">
                  <c:v>374.62868369592616</c:v>
                </c:pt>
                <c:pt idx="90">
                  <c:v>385.61712174318728</c:v>
                </c:pt>
                <c:pt idx="91">
                  <c:v>396.59875883419824</c:v>
                </c:pt>
                <c:pt idx="92">
                  <c:v>407.57380987776543</c:v>
                </c:pt>
                <c:pt idx="93">
                  <c:v>418.54247726149282</c:v>
                </c:pt>
                <c:pt idx="94">
                  <c:v>429.50495189733937</c:v>
                </c:pt>
                <c:pt idx="95">
                  <c:v>440.46141415485243</c:v>
                </c:pt>
                <c:pt idx="96">
                  <c:v>451.41203469669296</c:v>
                </c:pt>
                <c:pt idx="97">
                  <c:v>462.35697522885613</c:v>
                </c:pt>
                <c:pt idx="98">
                  <c:v>473.29638917614921</c:v>
                </c:pt>
                <c:pt idx="99">
                  <c:v>418.92722924422122</c:v>
                </c:pt>
                <c:pt idx="100">
                  <c:v>429.88948992506386</c:v>
                </c:pt>
                <c:pt idx="101">
                  <c:v>440.8457443754441</c:v>
                </c:pt>
                <c:pt idx="102">
                  <c:v>451.79616293151918</c:v>
                </c:pt>
                <c:pt idx="103">
                  <c:v>462.74090699768914</c:v>
                </c:pt>
                <c:pt idx="104">
                  <c:v>473.68012971962617</c:v>
                </c:pt>
                <c:pt idx="105">
                  <c:v>484.61397659189061</c:v>
                </c:pt>
                <c:pt idx="106">
                  <c:v>495.54258600785471</c:v>
                </c:pt>
                <c:pt idx="107">
                  <c:v>506.46608975859249</c:v>
                </c:pt>
                <c:pt idx="108">
                  <c:v>517.38461348648923</c:v>
                </c:pt>
                <c:pt idx="109">
                  <c:v>453.33260608565246</c:v>
                </c:pt>
                <c:pt idx="110">
                  <c:v>464.08461470595802</c:v>
                </c:pt>
                <c:pt idx="111">
                  <c:v>474.83131166809085</c:v>
                </c:pt>
                <c:pt idx="112">
                  <c:v>485.5728341470313</c:v>
                </c:pt>
                <c:pt idx="113">
                  <c:v>496.30931275327663</c:v>
                </c:pt>
                <c:pt idx="114">
                  <c:v>507.04087198522149</c:v>
                </c:pt>
                <c:pt idx="115">
                  <c:v>517.76763064124964</c:v>
                </c:pt>
                <c:pt idx="116">
                  <c:v>528.48970219589671</c:v>
                </c:pt>
                <c:pt idx="117">
                  <c:v>539.20719514390601</c:v>
                </c:pt>
                <c:pt idx="118">
                  <c:v>549.92021331550563</c:v>
                </c:pt>
                <c:pt idx="119">
                  <c:v>484.03864272240298</c:v>
                </c:pt>
                <c:pt idx="120">
                  <c:v>494.77583412162261</c:v>
                </c:pt>
                <c:pt idx="121">
                  <c:v>505.50808871924067</c:v>
                </c:pt>
                <c:pt idx="122">
                  <c:v>516.23552610410309</c:v>
                </c:pt>
                <c:pt idx="123">
                  <c:v>526.95826048952051</c:v>
                </c:pt>
                <c:pt idx="124">
                  <c:v>537.67640106169449</c:v>
                </c:pt>
                <c:pt idx="125">
                  <c:v>548.39005229891859</c:v>
                </c:pt>
                <c:pt idx="126">
                  <c:v>559.09931426454011</c:v>
                </c:pt>
                <c:pt idx="127">
                  <c:v>569.80428287631287</c:v>
                </c:pt>
                <c:pt idx="128">
                  <c:v>580.50505015445833</c:v>
                </c:pt>
                <c:pt idx="129">
                  <c:v>516.81007653469214</c:v>
                </c:pt>
                <c:pt idx="130">
                  <c:v>527.72399304120324</c:v>
                </c:pt>
                <c:pt idx="131">
                  <c:v>538.63315807993115</c:v>
                </c:pt>
                <c:pt idx="132">
                  <c:v>549.53768144295771</c:v>
                </c:pt>
                <c:pt idx="133">
                  <c:v>560.4376682101705</c:v>
                </c:pt>
                <c:pt idx="134">
                  <c:v>571.33321904116895</c:v>
                </c:pt>
                <c:pt idx="135">
                  <c:v>582.22443044374438</c:v>
                </c:pt>
                <c:pt idx="136">
                  <c:v>593.11139502123308</c:v>
                </c:pt>
                <c:pt idx="137">
                  <c:v>603.99420170076939</c:v>
                </c:pt>
                <c:pt idx="138">
                  <c:v>614.87293594423477</c:v>
                </c:pt>
                <c:pt idx="139">
                  <c:v>551.45028504666311</c:v>
                </c:pt>
                <c:pt idx="140">
                  <c:v>562.54066075244293</c:v>
                </c:pt>
                <c:pt idx="141">
                  <c:v>573.62646310732623</c:v>
                </c:pt>
                <c:pt idx="142">
                  <c:v>584.70779293898988</c:v>
                </c:pt>
                <c:pt idx="143">
                  <c:v>595.7847469423931</c:v>
                </c:pt>
                <c:pt idx="144">
                  <c:v>606.85741792448357</c:v>
                </c:pt>
                <c:pt idx="145">
                  <c:v>617.92589503011789</c:v>
                </c:pt>
                <c:pt idx="146">
                  <c:v>628.99026395095905</c:v>
                </c:pt>
                <c:pt idx="147">
                  <c:v>640.05060711891667</c:v>
                </c:pt>
                <c:pt idx="148">
                  <c:v>651.10700388552539</c:v>
                </c:pt>
                <c:pt idx="149">
                  <c:v>566.22893530693568</c:v>
                </c:pt>
                <c:pt idx="150">
                  <c:v>559.59417563033344</c:v>
                </c:pt>
                <c:pt idx="151">
                  <c:v>552.95776867276652</c:v>
                </c:pt>
                <c:pt idx="152">
                  <c:v>546.31969183109879</c:v>
                </c:pt>
                <c:pt idx="153">
                  <c:v>539.67992190690325</c:v>
                </c:pt>
                <c:pt idx="154">
                  <c:v>533.03843508308489</c:v>
                </c:pt>
                <c:pt idx="155">
                  <c:v>526.39520689927519</c:v>
                </c:pt>
                <c:pt idx="156">
                  <c:v>519.75021222591761</c:v>
                </c:pt>
                <c:pt idx="157">
                  <c:v>513.10342523695556</c:v>
                </c:pt>
                <c:pt idx="158">
                  <c:v>506.45481938102847</c:v>
                </c:pt>
                <c:pt idx="159">
                  <c:v>499.80436735107361</c:v>
                </c:pt>
                <c:pt idx="160">
                  <c:v>493.15204105222142</c:v>
                </c:pt>
                <c:pt idx="161">
                  <c:v>486.49781156786486</c:v>
                </c:pt>
                <c:pt idx="162">
                  <c:v>479.84164912377219</c:v>
                </c:pt>
                <c:pt idx="163">
                  <c:v>473.18352305009688</c:v>
                </c:pt>
                <c:pt idx="164">
                  <c:v>466.52340174113743</c:v>
                </c:pt>
                <c:pt idx="165">
                  <c:v>459.86125261266892</c:v>
                </c:pt>
                <c:pt idx="166">
                  <c:v>453.19704205667063</c:v>
                </c:pt>
                <c:pt idx="167">
                  <c:v>446.53073539324333</c:v>
                </c:pt>
                <c:pt idx="168">
                  <c:v>439.86229681949789</c:v>
                </c:pt>
                <c:pt idx="169">
                  <c:v>367.34077868072421</c:v>
                </c:pt>
                <c:pt idx="170">
                  <c:v>373.77033257265776</c:v>
                </c:pt>
                <c:pt idx="171">
                  <c:v>380.19747642454655</c:v>
                </c:pt>
                <c:pt idx="172">
                  <c:v>386.62225676278376</c:v>
                </c:pt>
                <c:pt idx="173">
                  <c:v>393.0447184398742</c:v>
                </c:pt>
                <c:pt idx="174">
                  <c:v>399.4649047216335</c:v>
                </c:pt>
                <c:pt idx="175">
                  <c:v>405.88285736848405</c:v>
                </c:pt>
                <c:pt idx="176">
                  <c:v>412.29861671133852</c:v>
                </c:pt>
                <c:pt idx="177">
                  <c:v>418.71222172251049</c:v>
                </c:pt>
                <c:pt idx="178">
                  <c:v>425.12371008205287</c:v>
                </c:pt>
                <c:pt idx="179">
                  <c:v>431.53311823988116</c:v>
                </c:pt>
                <c:pt idx="180">
                  <c:v>437.9404814740148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2.1949567858312258</c:v>
                </c:pt>
                <c:pt idx="2">
                  <c:v>2.7816251237368212</c:v>
                </c:pt>
                <c:pt idx="3">
                  <c:v>3.5257195799874221</c:v>
                </c:pt>
                <c:pt idx="4">
                  <c:v>4.4696410633675532</c:v>
                </c:pt>
                <c:pt idx="5">
                  <c:v>5.6672503486462702</c:v>
                </c:pt>
                <c:pt idx="6">
                  <c:v>7.1869753481789695</c:v>
                </c:pt>
                <c:pt idx="7">
                  <c:v>9.115763396449081</c:v>
                </c:pt>
                <c:pt idx="8">
                  <c:v>11.564108969029164</c:v>
                </c:pt>
                <c:pt idx="9">
                  <c:v>14.672450244662597</c:v>
                </c:pt>
                <c:pt idx="10">
                  <c:v>18.619308162818584</c:v>
                </c:pt>
                <c:pt idx="11">
                  <c:v>23.631643866370535</c:v>
                </c:pt>
                <c:pt idx="12">
                  <c:v>29.998040690014353</c:v>
                </c:pt>
                <c:pt idx="13">
                  <c:v>38.085482861379397</c:v>
                </c:pt>
                <c:pt idx="14">
                  <c:v>48.360714644740732</c:v>
                </c:pt>
                <c:pt idx="15">
                  <c:v>61.4174333018235</c:v>
                </c:pt>
                <c:pt idx="16">
                  <c:v>71.249871520456722</c:v>
                </c:pt>
                <c:pt idx="17">
                  <c:v>85.490803817484263</c:v>
                </c:pt>
                <c:pt idx="18">
                  <c:v>99.671872945964807</c:v>
                </c:pt>
                <c:pt idx="19">
                  <c:v>113.80282201771517</c:v>
                </c:pt>
                <c:pt idx="20">
                  <c:v>127.89076379214983</c:v>
                </c:pt>
                <c:pt idx="21">
                  <c:v>106.74311974600884</c:v>
                </c:pt>
                <c:pt idx="22">
                  <c:v>122.31905294762315</c:v>
                </c:pt>
                <c:pt idx="23">
                  <c:v>137.84670781868599</c:v>
                </c:pt>
                <c:pt idx="24">
                  <c:v>153.33229557513832</c:v>
                </c:pt>
                <c:pt idx="25">
                  <c:v>168.78066680719567</c:v>
                </c:pt>
                <c:pt idx="26">
                  <c:v>146.17875680898456</c:v>
                </c:pt>
                <c:pt idx="27">
                  <c:v>162.95520023865575</c:v>
                </c:pt>
                <c:pt idx="28">
                  <c:v>179.69078619560835</c:v>
                </c:pt>
                <c:pt idx="29">
                  <c:v>196.38985757072419</c:v>
                </c:pt>
                <c:pt idx="30">
                  <c:v>213.05595726994454</c:v>
                </c:pt>
                <c:pt idx="31">
                  <c:v>229.69202803102669</c:v>
                </c:pt>
                <c:pt idx="32">
                  <c:v>194.21365668950932</c:v>
                </c:pt>
                <c:pt idx="33">
                  <c:v>210.88387892336638</c:v>
                </c:pt>
                <c:pt idx="34">
                  <c:v>227.52371705254282</c:v>
                </c:pt>
                <c:pt idx="35">
                  <c:v>244.13570624979181</c:v>
                </c:pt>
                <c:pt idx="36">
                  <c:v>260.72200828834224</c:v>
                </c:pt>
                <c:pt idx="37">
                  <c:v>277.28448730625303</c:v>
                </c:pt>
                <c:pt idx="38">
                  <c:v>241.45481667314718</c:v>
                </c:pt>
                <c:pt idx="39">
                  <c:v>257.53027834050721</c:v>
                </c:pt>
                <c:pt idx="40">
                  <c:v>273.58305693525381</c:v>
                </c:pt>
                <c:pt idx="41">
                  <c:v>289.61467077326057</c:v>
                </c:pt>
                <c:pt idx="42">
                  <c:v>305.62645631332936</c:v>
                </c:pt>
                <c:pt idx="43">
                  <c:v>321.61959852692468</c:v>
                </c:pt>
                <c:pt idx="44">
                  <c:v>337.59515490696026</c:v>
                </c:pt>
                <c:pt idx="45">
                  <c:v>290.77001527116278</c:v>
                </c:pt>
                <c:pt idx="46">
                  <c:v>305.67774556928345</c:v>
                </c:pt>
                <c:pt idx="47">
                  <c:v>320.56931776876598</c:v>
                </c:pt>
                <c:pt idx="48">
                  <c:v>335.44558817007095</c:v>
                </c:pt>
                <c:pt idx="49">
                  <c:v>350.3073309177887</c:v>
                </c:pt>
                <c:pt idx="50">
                  <c:v>365.15524910721001</c:v>
                </c:pt>
                <c:pt idx="51">
                  <c:v>379.9899839895499</c:v>
                </c:pt>
                <c:pt idx="52">
                  <c:v>394.81212266433704</c:v>
                </c:pt>
                <c:pt idx="53">
                  <c:v>339.5653263103564</c:v>
                </c:pt>
                <c:pt idx="54">
                  <c:v>352.9916936181225</c:v>
                </c:pt>
                <c:pt idx="55">
                  <c:v>366.40687182764276</c:v>
                </c:pt>
                <c:pt idx="56">
                  <c:v>379.81132833930809</c:v>
                </c:pt>
                <c:pt idx="57">
                  <c:v>393.20549486765344</c:v>
                </c:pt>
                <c:pt idx="58">
                  <c:v>406.58977131437899</c:v>
                </c:pt>
                <c:pt idx="59">
                  <c:v>419.96452910473823</c:v>
                </c:pt>
                <c:pt idx="60">
                  <c:v>433.33011407671552</c:v>
                </c:pt>
                <c:pt idx="61">
                  <c:v>378.62024388593505</c:v>
                </c:pt>
                <c:pt idx="62">
                  <c:v>391.00358835387692</c:v>
                </c:pt>
                <c:pt idx="63">
                  <c:v>403.3784266253918</c:v>
                </c:pt>
                <c:pt idx="64">
                  <c:v>415.74505644902712</c:v>
                </c:pt>
                <c:pt idx="65">
                  <c:v>428.10375641326391</c:v>
                </c:pt>
                <c:pt idx="66">
                  <c:v>440.4547877086984</c:v>
                </c:pt>
                <c:pt idx="67">
                  <c:v>452.79839568226072</c:v>
                </c:pt>
                <c:pt idx="68">
                  <c:v>465.13481121312185</c:v>
                </c:pt>
                <c:pt idx="69">
                  <c:v>477.46425193503552</c:v>
                </c:pt>
                <c:pt idx="70">
                  <c:v>1.1825802166488628E-12</c:v>
                </c:pt>
                <c:pt idx="71">
                  <c:v>1.1825802166488628E-12</c:v>
                </c:pt>
                <c:pt idx="72">
                  <c:v>1.1825802166488628E-12</c:v>
                </c:pt>
                <c:pt idx="73">
                  <c:v>1.1825802166488628E-12</c:v>
                </c:pt>
                <c:pt idx="74">
                  <c:v>1.1825802166488628E-12</c:v>
                </c:pt>
                <c:pt idx="75">
                  <c:v>1.1825802166488628E-12</c:v>
                </c:pt>
                <c:pt idx="76">
                  <c:v>1.1825802166488628E-12</c:v>
                </c:pt>
                <c:pt idx="77">
                  <c:v>1.1825802166488628E-12</c:v>
                </c:pt>
                <c:pt idx="78">
                  <c:v>1.1825802166488628E-12</c:v>
                </c:pt>
                <c:pt idx="79">
                  <c:v>1.1825802166488628E-12</c:v>
                </c:pt>
                <c:pt idx="80">
                  <c:v>1.1825802166488628E-12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2.6358219284503748</c:v>
                </c:pt>
                <c:pt idx="2">
                  <c:v>3.3407802804799442</c:v>
                </c:pt>
                <c:pt idx="3">
                  <c:v>4.2350219291255007</c:v>
                </c:pt>
                <c:pt idx="4">
                  <c:v>5.3695572305815107</c:v>
                </c:pt>
                <c:pt idx="5">
                  <c:v>6.8091906246186555</c:v>
                </c:pt>
                <c:pt idx="6">
                  <c:v>8.6362626443738666</c:v>
                </c:pt>
                <c:pt idx="7">
                  <c:v>10.955410010785373</c:v>
                </c:pt>
                <c:pt idx="8">
                  <c:v>13.899621540652397</c:v>
                </c:pt>
                <c:pt idx="9">
                  <c:v>17.637943544532806</c:v>
                </c:pt>
                <c:pt idx="10">
                  <c:v>22.385285151953138</c:v>
                </c:pt>
                <c:pt idx="11">
                  <c:v>28.414897292262125</c:v>
                </c:pt>
                <c:pt idx="12">
                  <c:v>36.074256167773257</c:v>
                </c:pt>
                <c:pt idx="13">
                  <c:v>45.805282274976577</c:v>
                </c:pt>
                <c:pt idx="14">
                  <c:v>58.170081211163478</c:v>
                </c:pt>
                <c:pt idx="15">
                  <c:v>73.883717762935518</c:v>
                </c:pt>
                <c:pt idx="16">
                  <c:v>85.717976445344206</c:v>
                </c:pt>
                <c:pt idx="17">
                  <c:v>102.8595313521908</c:v>
                </c:pt>
                <c:pt idx="18">
                  <c:v>119.9302774112839</c:v>
                </c:pt>
                <c:pt idx="19">
                  <c:v>136.94173921341994</c:v>
                </c:pt>
                <c:pt idx="20">
                  <c:v>153.90233005028915</c:v>
                </c:pt>
                <c:pt idx="21">
                  <c:v>128.44283600598467</c:v>
                </c:pt>
                <c:pt idx="22">
                  <c:v>147.19440041072556</c:v>
                </c:pt>
                <c:pt idx="23">
                  <c:v>165.88885903505457</c:v>
                </c:pt>
                <c:pt idx="24">
                  <c:v>184.5335587844996</c:v>
                </c:pt>
                <c:pt idx="25">
                  <c:v>203.13423715529458</c:v>
                </c:pt>
                <c:pt idx="26">
                  <c:v>175.92057051227536</c:v>
                </c:pt>
                <c:pt idx="27">
                  <c:v>196.11997175537036</c:v>
                </c:pt>
                <c:pt idx="28">
                  <c:v>216.27104494240783</c:v>
                </c:pt>
                <c:pt idx="29">
                  <c:v>236.37892704001885</c:v>
                </c:pt>
                <c:pt idx="30">
                  <c:v>256.44780875667226</c:v>
                </c:pt>
                <c:pt idx="31">
                  <c:v>276.4811708949199</c:v>
                </c:pt>
                <c:pt idx="32">
                  <c:v>233.75845318467341</c:v>
                </c:pt>
                <c:pt idx="33">
                  <c:v>253.8322112206821</c:v>
                </c:pt>
                <c:pt idx="34">
                  <c:v>273.87002957132694</c:v>
                </c:pt>
                <c:pt idx="35">
                  <c:v>293.87490695294508</c:v>
                </c:pt>
                <c:pt idx="36">
                  <c:v>313.84940040812484</c:v>
                </c:pt>
                <c:pt idx="37">
                  <c:v>333.79571492319081</c:v>
                </c:pt>
                <c:pt idx="38">
                  <c:v>290.64642518676169</c:v>
                </c:pt>
                <c:pt idx="39">
                  <c:v>310.005634252378</c:v>
                </c:pt>
                <c:pt idx="40">
                  <c:v>329.33801275966857</c:v>
                </c:pt>
                <c:pt idx="41">
                  <c:v>348.64535664092614</c:v>
                </c:pt>
                <c:pt idx="42">
                  <c:v>367.92924671972077</c:v>
                </c:pt>
                <c:pt idx="43">
                  <c:v>387.19108463358799</c:v>
                </c:pt>
                <c:pt idx="44">
                  <c:v>406.43212123270081</c:v>
                </c:pt>
                <c:pt idx="45">
                  <c:v>350.0367887774446</c:v>
                </c:pt>
                <c:pt idx="46">
                  <c:v>367.99101790074377</c:v>
                </c:pt>
                <c:pt idx="47">
                  <c:v>385.92613449835773</c:v>
                </c:pt>
                <c:pt idx="48">
                  <c:v>403.84315144097849</c:v>
                </c:pt>
                <c:pt idx="49">
                  <c:v>421.7429844216399</c:v>
                </c:pt>
                <c:pt idx="50">
                  <c:v>439.62646509306956</c:v>
                </c:pt>
                <c:pt idx="51">
                  <c:v>457.49435195604104</c:v>
                </c:pt>
                <c:pt idx="52">
                  <c:v>475.34733945827844</c:v>
                </c:pt>
                <c:pt idx="53">
                  <c:v>408.80503035744977</c:v>
                </c:pt>
                <c:pt idx="54">
                  <c:v>424.97612632602926</c:v>
                </c:pt>
                <c:pt idx="55">
                  <c:v>441.13398732603906</c:v>
                </c:pt>
                <c:pt idx="56">
                  <c:v>457.27916621968069</c:v>
                </c:pt>
                <c:pt idx="57">
                  <c:v>473.41217365831932</c:v>
                </c:pt>
                <c:pt idx="58">
                  <c:v>489.53348266366947</c:v>
                </c:pt>
                <c:pt idx="59">
                  <c:v>505.6435325742238</c:v>
                </c:pt>
                <c:pt idx="60">
                  <c:v>521.74273246270184</c:v>
                </c:pt>
                <c:pt idx="61">
                  <c:v>455.84453930443095</c:v>
                </c:pt>
                <c:pt idx="62">
                  <c:v>470.76000609173252</c:v>
                </c:pt>
                <c:pt idx="63">
                  <c:v>485.66541136738391</c:v>
                </c:pt>
                <c:pt idx="64">
                  <c:v>500.5611073217562</c:v>
                </c:pt>
                <c:pt idx="65">
                  <c:v>515.44742348183297</c:v>
                </c:pt>
                <c:pt idx="66">
                  <c:v>530.32466879559684</c:v>
                </c:pt>
                <c:pt idx="67">
                  <c:v>545.19313347042976</c:v>
                </c:pt>
                <c:pt idx="68">
                  <c:v>560.05309060059756</c:v>
                </c:pt>
                <c:pt idx="69">
                  <c:v>574.90479761309109</c:v>
                </c:pt>
                <c:pt idx="70">
                  <c:v>1.4005661123635408E-12</c:v>
                </c:pt>
                <c:pt idx="71">
                  <c:v>1.4005661123635408E-12</c:v>
                </c:pt>
                <c:pt idx="72">
                  <c:v>1.4005661123635408E-12</c:v>
                </c:pt>
                <c:pt idx="73">
                  <c:v>1.4005661123635408E-12</c:v>
                </c:pt>
                <c:pt idx="74">
                  <c:v>1.4005661123635408E-12</c:v>
                </c:pt>
                <c:pt idx="75">
                  <c:v>1.4005661123635408E-12</c:v>
                </c:pt>
                <c:pt idx="76">
                  <c:v>1.4005661123635408E-12</c:v>
                </c:pt>
                <c:pt idx="77">
                  <c:v>1.4005661123635408E-12</c:v>
                </c:pt>
                <c:pt idx="78">
                  <c:v>1.4005661123635408E-12</c:v>
                </c:pt>
                <c:pt idx="79">
                  <c:v>1.4005661123635408E-12</c:v>
                </c:pt>
                <c:pt idx="80">
                  <c:v>1.4005661123635408E-12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3.4619010333668858</c:v>
                </c:pt>
                <c:pt idx="2">
                  <c:v>4.3886780916003572</c:v>
                </c:pt>
                <c:pt idx="3">
                  <c:v>5.5645204045762791</c:v>
                </c:pt>
                <c:pt idx="4">
                  <c:v>7.0566053004304825</c:v>
                </c:pt>
                <c:pt idx="5">
                  <c:v>8.950290133405149</c:v>
                </c:pt>
                <c:pt idx="6">
                  <c:v>11.35404762827239</c:v>
                </c:pt>
                <c:pt idx="7">
                  <c:v>14.40574485970388</c:v>
                </c:pt>
                <c:pt idx="8">
                  <c:v>18.280632623374711</c:v>
                </c:pt>
                <c:pt idx="9">
                  <c:v>23.201512302554477</c:v>
                </c:pt>
                <c:pt idx="10">
                  <c:v>29.451675195349836</c:v>
                </c:pt>
                <c:pt idx="11">
                  <c:v>37.391372202456608</c:v>
                </c:pt>
                <c:pt idx="12">
                  <c:v>47.478779422267927</c:v>
                </c:pt>
                <c:pt idx="13">
                  <c:v>60.296689852001442</c:v>
                </c:pt>
                <c:pt idx="14">
                  <c:v>76.586498727800205</c:v>
                </c:pt>
                <c:pt idx="15">
                  <c:v>97.291480049853305</c:v>
                </c:pt>
                <c:pt idx="16">
                  <c:v>112.88677748536077</c:v>
                </c:pt>
                <c:pt idx="17">
                  <c:v>135.47851506869969</c:v>
                </c:pt>
                <c:pt idx="18">
                  <c:v>157.97933796889387</c:v>
                </c:pt>
                <c:pt idx="19">
                  <c:v>180.40404312945898</c:v>
                </c:pt>
                <c:pt idx="20">
                  <c:v>202.76343275622807</c:v>
                </c:pt>
                <c:pt idx="21">
                  <c:v>169.20045693392817</c:v>
                </c:pt>
                <c:pt idx="22">
                  <c:v>193.92007935590104</c:v>
                </c:pt>
                <c:pt idx="23">
                  <c:v>218.56638108283926</c:v>
                </c:pt>
                <c:pt idx="24">
                  <c:v>243.14879513913675</c:v>
                </c:pt>
                <c:pt idx="25">
                  <c:v>267.67468815578269</c:v>
                </c:pt>
                <c:pt idx="26">
                  <c:v>231.79265788705001</c:v>
                </c:pt>
                <c:pt idx="27">
                  <c:v>258.42587225263418</c:v>
                </c:pt>
                <c:pt idx="28">
                  <c:v>284.99703604060181</c:v>
                </c:pt>
                <c:pt idx="29">
                  <c:v>311.51274483481546</c:v>
                </c:pt>
                <c:pt idx="30">
                  <c:v>337.97837927547334</c:v>
                </c:pt>
                <c:pt idx="31">
                  <c:v>364.39840852244907</c:v>
                </c:pt>
                <c:pt idx="32">
                  <c:v>308.05711869016005</c:v>
                </c:pt>
                <c:pt idx="33">
                  <c:v>334.52901405785116</c:v>
                </c:pt>
                <c:pt idx="34">
                  <c:v>360.95476483753049</c:v>
                </c:pt>
                <c:pt idx="35">
                  <c:v>387.33822121677036</c:v>
                </c:pt>
                <c:pt idx="36">
                  <c:v>413.68266629823478</c:v>
                </c:pt>
                <c:pt idx="37">
                  <c:v>439.9909311636232</c:v>
                </c:pt>
                <c:pt idx="38">
                  <c:v>383.08026020639187</c:v>
                </c:pt>
                <c:pt idx="39">
                  <c:v>408.61302782189728</c:v>
                </c:pt>
                <c:pt idx="40">
                  <c:v>434.1113464697076</c:v>
                </c:pt>
                <c:pt idx="41">
                  <c:v>459.57752202854454</c:v>
                </c:pt>
                <c:pt idx="42">
                  <c:v>485.01358418930892</c:v>
                </c:pt>
                <c:pt idx="43">
                  <c:v>510.42133257784525</c:v>
                </c:pt>
                <c:pt idx="44">
                  <c:v>535.80237321728066</c:v>
                </c:pt>
                <c:pt idx="45">
                  <c:v>461.4128382031713</c:v>
                </c:pt>
                <c:pt idx="46">
                  <c:v>485.09506360342613</c:v>
                </c:pt>
                <c:pt idx="47">
                  <c:v>508.75274956727066</c:v>
                </c:pt>
                <c:pt idx="48">
                  <c:v>532.38719656520925</c:v>
                </c:pt>
                <c:pt idx="49">
                  <c:v>555.99958029695654</c:v>
                </c:pt>
                <c:pt idx="50">
                  <c:v>579.59096855907467</c:v>
                </c:pt>
                <c:pt idx="51">
                  <c:v>603.1623352250225</c:v>
                </c:pt>
                <c:pt idx="52">
                  <c:v>626.71457192765104</c:v>
                </c:pt>
                <c:pt idx="53">
                  <c:v>538.93254970348323</c:v>
                </c:pt>
                <c:pt idx="54">
                  <c:v>560.264608969694</c:v>
                </c:pt>
                <c:pt idx="55">
                  <c:v>581.5796752609856</c:v>
                </c:pt>
                <c:pt idx="56">
                  <c:v>602.87845842215052</c:v>
                </c:pt>
                <c:pt idx="57">
                  <c:v>624.16161410157952</c:v>
                </c:pt>
                <c:pt idx="58">
                  <c:v>645.4297496332523</c:v>
                </c:pt>
                <c:pt idx="59">
                  <c:v>666.68342910373576</c:v>
                </c:pt>
                <c:pt idx="60">
                  <c:v>687.92317774000196</c:v>
                </c:pt>
                <c:pt idx="61">
                  <c:v>600.98587535009801</c:v>
                </c:pt>
                <c:pt idx="62">
                  <c:v>620.66276493365456</c:v>
                </c:pt>
                <c:pt idx="63">
                  <c:v>640.32673608720302</c:v>
                </c:pt>
                <c:pt idx="64">
                  <c:v>659.9782410038955</c:v>
                </c:pt>
                <c:pt idx="65">
                  <c:v>679.61770277833318</c:v>
                </c:pt>
                <c:pt idx="66">
                  <c:v>699.24551808280967</c:v>
                </c:pt>
                <c:pt idx="67">
                  <c:v>718.8620595277107</c:v>
                </c:pt>
                <c:pt idx="68">
                  <c:v>738.46767775112096</c:v>
                </c:pt>
                <c:pt idx="69">
                  <c:v>758.06270327519951</c:v>
                </c:pt>
                <c:pt idx="70">
                  <c:v>1.8017017738191463E-12</c:v>
                </c:pt>
                <c:pt idx="71">
                  <c:v>1.8017017738191463E-12</c:v>
                </c:pt>
                <c:pt idx="72">
                  <c:v>1.8017017738191463E-12</c:v>
                </c:pt>
                <c:pt idx="73">
                  <c:v>1.8017017738191463E-12</c:v>
                </c:pt>
                <c:pt idx="74">
                  <c:v>1.8017017738191463E-12</c:v>
                </c:pt>
                <c:pt idx="75">
                  <c:v>1.8017017738191463E-12</c:v>
                </c:pt>
                <c:pt idx="76">
                  <c:v>1.8017017738191463E-12</c:v>
                </c:pt>
                <c:pt idx="77">
                  <c:v>1.8017017738191463E-12</c:v>
                </c:pt>
                <c:pt idx="78">
                  <c:v>1.8017017738191463E-12</c:v>
                </c:pt>
                <c:pt idx="79">
                  <c:v>1.8017017738191463E-12</c:v>
                </c:pt>
                <c:pt idx="80">
                  <c:v>1.8017017738191463E-12</c:v>
                </c:pt>
                <c:pt idx="81">
                  <c:v>1.8017017738191463E-12</c:v>
                </c:pt>
                <c:pt idx="82">
                  <c:v>1.8017017738191463E-12</c:v>
                </c:pt>
                <c:pt idx="83">
                  <c:v>1.8017017738191463E-12</c:v>
                </c:pt>
                <c:pt idx="84">
                  <c:v>1.8017017738191463E-12</c:v>
                </c:pt>
                <c:pt idx="85">
                  <c:v>1.8017017738191463E-12</c:v>
                </c:pt>
                <c:pt idx="86">
                  <c:v>1.8017017738191463E-12</c:v>
                </c:pt>
                <c:pt idx="87">
                  <c:v>1.8017017738191463E-12</c:v>
                </c:pt>
                <c:pt idx="88">
                  <c:v>1.8017017738191463E-12</c:v>
                </c:pt>
                <c:pt idx="89">
                  <c:v>1.8017017738191463E-12</c:v>
                </c:pt>
                <c:pt idx="90">
                  <c:v>1.8017017738191463E-12</c:v>
                </c:pt>
                <c:pt idx="91">
                  <c:v>1.8017017738191463E-12</c:v>
                </c:pt>
                <c:pt idx="92">
                  <c:v>1.8017017738191463E-12</c:v>
                </c:pt>
                <c:pt idx="93">
                  <c:v>1.8017017738191463E-12</c:v>
                </c:pt>
                <c:pt idx="94">
                  <c:v>1.8017017738191463E-12</c:v>
                </c:pt>
                <c:pt idx="95">
                  <c:v>1.8017017738191463E-12</c:v>
                </c:pt>
                <c:pt idx="96">
                  <c:v>1.8017017738191463E-12</c:v>
                </c:pt>
                <c:pt idx="97">
                  <c:v>1.8017017738191463E-12</c:v>
                </c:pt>
                <c:pt idx="98">
                  <c:v>1.8017017738191463E-12</c:v>
                </c:pt>
                <c:pt idx="99">
                  <c:v>1.8017017738191463E-12</c:v>
                </c:pt>
                <c:pt idx="100">
                  <c:v>1.8017017738191463E-12</c:v>
                </c:pt>
                <c:pt idx="101">
                  <c:v>1.8017017738191463E-12</c:v>
                </c:pt>
                <c:pt idx="102">
                  <c:v>1.8017017738191463E-12</c:v>
                </c:pt>
                <c:pt idx="103">
                  <c:v>1.8017017738191463E-12</c:v>
                </c:pt>
                <c:pt idx="104">
                  <c:v>1.8017017738191463E-12</c:v>
                </c:pt>
                <c:pt idx="105">
                  <c:v>1.8017017738191463E-12</c:v>
                </c:pt>
                <c:pt idx="106">
                  <c:v>1.8017017738191463E-12</c:v>
                </c:pt>
                <c:pt idx="107">
                  <c:v>1.8017017738191463E-12</c:v>
                </c:pt>
                <c:pt idx="108">
                  <c:v>1.8017017738191463E-12</c:v>
                </c:pt>
                <c:pt idx="109">
                  <c:v>1.8017017738191463E-12</c:v>
                </c:pt>
                <c:pt idx="110">
                  <c:v>1.8017017738191463E-12</c:v>
                </c:pt>
                <c:pt idx="111">
                  <c:v>1.8017017738191463E-12</c:v>
                </c:pt>
                <c:pt idx="112">
                  <c:v>1.8017017738191463E-12</c:v>
                </c:pt>
                <c:pt idx="113">
                  <c:v>1.8017017738191463E-12</c:v>
                </c:pt>
                <c:pt idx="114">
                  <c:v>1.8017017738191463E-12</c:v>
                </c:pt>
                <c:pt idx="115">
                  <c:v>1.8017017738191463E-12</c:v>
                </c:pt>
                <c:pt idx="116">
                  <c:v>1.8017017738191463E-12</c:v>
                </c:pt>
                <c:pt idx="117">
                  <c:v>1.8017017738191463E-12</c:v>
                </c:pt>
                <c:pt idx="118">
                  <c:v>1.8017017738191463E-12</c:v>
                </c:pt>
                <c:pt idx="119">
                  <c:v>1.8017017738191463E-12</c:v>
                </c:pt>
                <c:pt idx="120">
                  <c:v>1.8017017738191463E-12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6.101835148200748</c:v>
                </c:pt>
                <c:pt idx="2">
                  <c:v>11.926390046938556</c:v>
                </c:pt>
                <c:pt idx="3">
                  <c:v>17.661397343697665</c:v>
                </c:pt>
                <c:pt idx="4">
                  <c:v>23.341205415054247</c:v>
                </c:pt>
                <c:pt idx="5">
                  <c:v>28.98138207128687</c:v>
                </c:pt>
                <c:pt idx="6">
                  <c:v>34.590807841352635</c:v>
                </c:pt>
                <c:pt idx="7">
                  <c:v>40.175207658899545</c:v>
                </c:pt>
                <c:pt idx="8">
                  <c:v>45.738569166233709</c:v>
                </c:pt>
                <c:pt idx="9">
                  <c:v>51.283823331176954</c:v>
                </c:pt>
                <c:pt idx="10">
                  <c:v>56.813211585233063</c:v>
                </c:pt>
                <c:pt idx="11">
                  <c:v>62.328501132475033</c:v>
                </c:pt>
                <c:pt idx="12">
                  <c:v>67.831119437869376</c:v>
                </c:pt>
                <c:pt idx="13">
                  <c:v>73.322242488875673</c:v>
                </c:pt>
                <c:pt idx="14">
                  <c:v>78.802855074320547</c:v>
                </c:pt>
                <c:pt idx="15">
                  <c:v>84.273793327086906</c:v>
                </c:pt>
                <c:pt idx="16">
                  <c:v>89.735775588486931</c:v>
                </c:pt>
                <c:pt idx="17">
                  <c:v>95.189425332071025</c:v>
                </c:pt>
                <c:pt idx="18">
                  <c:v>100.63528853797489</c:v>
                </c:pt>
                <c:pt idx="19">
                  <c:v>106.07384709560988</c:v>
                </c:pt>
                <c:pt idx="20">
                  <c:v>111.50552930424017</c:v>
                </c:pt>
                <c:pt idx="21">
                  <c:v>116.93071821376269</c:v>
                </c:pt>
                <c:pt idx="22">
                  <c:v>122.34975833175292</c:v>
                </c:pt>
                <c:pt idx="23">
                  <c:v>127.76296107657703</c:v>
                </c:pt>
                <c:pt idx="24">
                  <c:v>133.17060925537606</c:v>
                </c:pt>
                <c:pt idx="25">
                  <c:v>138.57296077468942</c:v>
                </c:pt>
                <c:pt idx="26">
                  <c:v>143.97025174066673</c:v>
                </c:pt>
                <c:pt idx="27">
                  <c:v>149.36269906890843</c:v>
                </c:pt>
                <c:pt idx="28">
                  <c:v>154.75050269679409</c:v>
                </c:pt>
                <c:pt idx="29">
                  <c:v>160.1338474708829</c:v>
                </c:pt>
                <c:pt idx="30">
                  <c:v>165.51290476666858</c:v>
                </c:pt>
                <c:pt idx="31">
                  <c:v>170.88783388630063</c:v>
                </c:pt>
                <c:pt idx="32">
                  <c:v>176.25878327088824</c:v>
                </c:pt>
                <c:pt idx="33">
                  <c:v>181.6258915570086</c:v>
                </c:pt>
                <c:pt idx="34">
                  <c:v>186.9892885015563</c:v>
                </c:pt>
                <c:pt idx="35">
                  <c:v>192.3490957947289</c:v>
                </c:pt>
                <c:pt idx="36">
                  <c:v>197.70542777748858</c:v>
                </c:pt>
                <c:pt idx="37">
                  <c:v>203.05839207706455</c:v>
                </c:pt>
                <c:pt idx="38">
                  <c:v>208.40809017182073</c:v>
                </c:pt>
                <c:pt idx="39">
                  <c:v>213.75461789499059</c:v>
                </c:pt>
                <c:pt idx="40">
                  <c:v>219.09806588529349</c:v>
                </c:pt>
                <c:pt idx="41">
                  <c:v>224.43851999122094</c:v>
                </c:pt>
                <c:pt idx="42">
                  <c:v>229.77606163476955</c:v>
                </c:pt>
                <c:pt idx="43">
                  <c:v>235.11076813955654</c:v>
                </c:pt>
                <c:pt idx="44">
                  <c:v>240.44271302755453</c:v>
                </c:pt>
                <c:pt idx="45">
                  <c:v>245.77196628808758</c:v>
                </c:pt>
                <c:pt idx="46">
                  <c:v>251.09859462224395</c:v>
                </c:pt>
                <c:pt idx="47">
                  <c:v>256.42266166543624</c:v>
                </c:pt>
                <c:pt idx="48">
                  <c:v>261.74422819048436</c:v>
                </c:pt>
                <c:pt idx="49">
                  <c:v>267.06335229329835</c:v>
                </c:pt>
                <c:pt idx="50">
                  <c:v>272.38008956297523</c:v>
                </c:pt>
                <c:pt idx="51">
                  <c:v>277.69449323790337</c:v>
                </c:pt>
                <c:pt idx="52">
                  <c:v>283.00661434927741</c:v>
                </c:pt>
                <c:pt idx="53">
                  <c:v>233.15783372562078</c:v>
                </c:pt>
                <c:pt idx="54">
                  <c:v>246.52707963365268</c:v>
                </c:pt>
                <c:pt idx="55">
                  <c:v>259.87986569297186</c:v>
                </c:pt>
                <c:pt idx="56">
                  <c:v>273.21715700700724</c:v>
                </c:pt>
                <c:pt idx="57">
                  <c:v>286.53981671702451</c:v>
                </c:pt>
                <c:pt idx="58">
                  <c:v>299.84862111537433</c:v>
                </c:pt>
                <c:pt idx="59">
                  <c:v>313.14427193320137</c:v>
                </c:pt>
                <c:pt idx="60">
                  <c:v>326.42740643086182</c:v>
                </c:pt>
                <c:pt idx="61">
                  <c:v>274.57726870233154</c:v>
                </c:pt>
                <c:pt idx="62">
                  <c:v>287.89848038449583</c:v>
                </c:pt>
                <c:pt idx="63">
                  <c:v>301.20591159060371</c:v>
                </c:pt>
                <c:pt idx="64">
                  <c:v>314.50025704325651</c:v>
                </c:pt>
                <c:pt idx="65">
                  <c:v>327.78214791993605</c:v>
                </c:pt>
                <c:pt idx="66">
                  <c:v>341.05216005935296</c:v>
                </c:pt>
                <c:pt idx="67">
                  <c:v>354.31082082331091</c:v>
                </c:pt>
                <c:pt idx="68">
                  <c:v>367.55861487745005</c:v>
                </c:pt>
                <c:pt idx="69">
                  <c:v>313.19851383460866</c:v>
                </c:pt>
                <c:pt idx="70">
                  <c:v>325.99386294505291</c:v>
                </c:pt>
                <c:pt idx="71">
                  <c:v>338.77812106883806</c:v>
                </c:pt>
                <c:pt idx="72">
                  <c:v>351.55176578676202</c:v>
                </c:pt>
                <c:pt idx="73">
                  <c:v>364.3152371339886</c:v>
                </c:pt>
                <c:pt idx="74">
                  <c:v>377.06894179159946</c:v>
                </c:pt>
                <c:pt idx="75">
                  <c:v>389.81325668131694</c:v>
                </c:pt>
                <c:pt idx="76">
                  <c:v>402.54853206550905</c:v>
                </c:pt>
                <c:pt idx="77">
                  <c:v>415.27509423437829</c:v>
                </c:pt>
                <c:pt idx="78">
                  <c:v>427.99324784653004</c:v>
                </c:pt>
                <c:pt idx="79">
                  <c:v>371.23368804323809</c:v>
                </c:pt>
                <c:pt idx="80">
                  <c:v>383.5502526888651</c:v>
                </c:pt>
                <c:pt idx="81">
                  <c:v>395.85822267517938</c:v>
                </c:pt>
                <c:pt idx="82">
                  <c:v>408.15790291270633</c:v>
                </c:pt>
                <c:pt idx="83">
                  <c:v>420.44957843397555</c:v>
                </c:pt>
                <c:pt idx="84">
                  <c:v>432.7335162449761</c:v>
                </c:pt>
                <c:pt idx="85">
                  <c:v>445.00996695541221</c:v>
                </c:pt>
                <c:pt idx="86">
                  <c:v>457.27916621968097</c:v>
                </c:pt>
                <c:pt idx="87">
                  <c:v>469.54133601514491</c:v>
                </c:pt>
                <c:pt idx="88">
                  <c:v>481.79668577992396</c:v>
                </c:pt>
                <c:pt idx="89">
                  <c:v>418.72490372039414</c:v>
                </c:pt>
                <c:pt idx="90">
                  <c:v>431.00991204765347</c:v>
                </c:pt>
                <c:pt idx="91">
                  <c:v>443.28739903445171</c:v>
                </c:pt>
                <c:pt idx="92">
                  <c:v>455.55760235358701</c:v>
                </c:pt>
                <c:pt idx="93">
                  <c:v>467.82074583035893</c:v>
                </c:pt>
                <c:pt idx="94">
                  <c:v>480.07704059887783</c:v>
                </c:pt>
                <c:pt idx="95">
                  <c:v>492.32668613414739</c:v>
                </c:pt>
                <c:pt idx="96">
                  <c:v>504.56987117609305</c:v>
                </c:pt>
                <c:pt idx="97">
                  <c:v>516.80677455924888</c:v>
                </c:pt>
                <c:pt idx="98">
                  <c:v>529.03756595978564</c:v>
                </c:pt>
                <c:pt idx="99">
                  <c:v>468.25090600032451</c:v>
                </c:pt>
                <c:pt idx="100">
                  <c:v>480.50696415087845</c:v>
                </c:pt>
                <c:pt idx="101">
                  <c:v>492.75637986726065</c:v>
                </c:pt>
                <c:pt idx="102">
                  <c:v>504.99934152830866</c:v>
                </c:pt>
                <c:pt idx="103">
                  <c:v>517.23602763501583</c:v>
                </c:pt>
                <c:pt idx="104">
                  <c:v>529.46660755484993</c:v>
                </c:pt>
                <c:pt idx="105">
                  <c:v>541.691242193731</c:v>
                </c:pt>
                <c:pt idx="106">
                  <c:v>553.91008460420551</c:v>
                </c:pt>
                <c:pt idx="107">
                  <c:v>566.12328053717954</c:v>
                </c:pt>
                <c:pt idx="108">
                  <c:v>578.33096894357766</c:v>
                </c:pt>
                <c:pt idx="109">
                  <c:v>506.71714576007912</c:v>
                </c:pt>
                <c:pt idx="110">
                  <c:v>518.73835425245966</c:v>
                </c:pt>
                <c:pt idx="111">
                  <c:v>530.75368845480489</c:v>
                </c:pt>
                <c:pt idx="112">
                  <c:v>542.76330007221247</c:v>
                </c:pt>
                <c:pt idx="113">
                  <c:v>554.76733354995997</c:v>
                </c:pt>
                <c:pt idx="114">
                  <c:v>566.76592657380604</c:v>
                </c:pt>
                <c:pt idx="115">
                  <c:v>578.75921052572801</c:v>
                </c:pt>
                <c:pt idx="116">
                  <c:v>590.74731089993509</c:v>
                </c:pt>
                <c:pt idx="117">
                  <c:v>602.73034768336242</c:v>
                </c:pt>
                <c:pt idx="118">
                  <c:v>614.70843570434749</c:v>
                </c:pt>
                <c:pt idx="119">
                  <c:v>541.04798608205067</c:v>
                </c:pt>
                <c:pt idx="120">
                  <c:v>553.05280785462651</c:v>
                </c:pt>
                <c:pt idx="121">
                  <c:v>565.05216990003044</c:v>
                </c:pt>
                <c:pt idx="122">
                  <c:v>577.04620447443256</c:v>
                </c:pt>
                <c:pt idx="123">
                  <c:v>589.03503788906914</c:v>
                </c:pt>
                <c:pt idx="124">
                  <c:v>601.01879089557667</c:v>
                </c:pt>
                <c:pt idx="125">
                  <c:v>612.99757903900309</c:v>
                </c:pt>
                <c:pt idx="126">
                  <c:v>624.97151298180199</c:v>
                </c:pt>
                <c:pt idx="127">
                  <c:v>636.94069880171492</c:v>
                </c:pt>
                <c:pt idx="128">
                  <c:v>648.9052382661099</c:v>
                </c:pt>
                <c:pt idx="129">
                  <c:v>577.68859416226417</c:v>
                </c:pt>
                <c:pt idx="130">
                  <c:v>589.89118733214752</c:v>
                </c:pt>
                <c:pt idx="131">
                  <c:v>602.08852573996921</c:v>
                </c:pt>
                <c:pt idx="132">
                  <c:v>614.28073080742217</c:v>
                </c:pt>
                <c:pt idx="133">
                  <c:v>626.46791874487326</c:v>
                </c:pt>
                <c:pt idx="134">
                  <c:v>638.65020087418407</c:v>
                </c:pt>
                <c:pt idx="135">
                  <c:v>650.82768392563321</c:v>
                </c:pt>
                <c:pt idx="136">
                  <c:v>663.00047031146971</c:v>
                </c:pt>
                <c:pt idx="137">
                  <c:v>675.16865837834155</c:v>
                </c:pt>
                <c:pt idx="138">
                  <c:v>687.33234264059081</c:v>
                </c:pt>
                <c:pt idx="139">
                  <c:v>616.41919362679607</c:v>
                </c:pt>
                <c:pt idx="140">
                  <c:v>628.81926411993311</c:v>
                </c:pt>
                <c:pt idx="141">
                  <c:v>641.21427683474133</c:v>
                </c:pt>
                <c:pt idx="142">
                  <c:v>653.60434327896337</c:v>
                </c:pt>
                <c:pt idx="143">
                  <c:v>665.9895703898718</c:v>
                </c:pt>
                <c:pt idx="144">
                  <c:v>678.37006080489357</c:v>
                </c:pt>
                <c:pt idx="145">
                  <c:v>690.74591311146162</c:v>
                </c:pt>
                <c:pt idx="146">
                  <c:v>703.11722207803894</c:v>
                </c:pt>
                <c:pt idx="147">
                  <c:v>715.48407886804944</c:v>
                </c:pt>
                <c:pt idx="148">
                  <c:v>727.84657123825627</c:v>
                </c:pt>
                <c:pt idx="149">
                  <c:v>632.94311016269864</c:v>
                </c:pt>
                <c:pt idx="150">
                  <c:v>625.52481450190146</c:v>
                </c:pt>
                <c:pt idx="151">
                  <c:v>618.10469707361858</c:v>
                </c:pt>
                <c:pt idx="152">
                  <c:v>610.68273288049966</c:v>
                </c:pt>
                <c:pt idx="153">
                  <c:v>603.25889626684864</c:v>
                </c:pt>
                <c:pt idx="154">
                  <c:v>595.83316089276968</c:v>
                </c:pt>
                <c:pt idx="155">
                  <c:v>588.40549970695508</c:v>
                </c:pt>
                <c:pt idx="156">
                  <c:v>580.97588491802628</c:v>
                </c:pt>
                <c:pt idx="157">
                  <c:v>573.54428796432842</c:v>
                </c:pt>
                <c:pt idx="158">
                  <c:v>566.11067948207551</c:v>
                </c:pt>
                <c:pt idx="159">
                  <c:v>558.6750292717328</c:v>
                </c:pt>
                <c:pt idx="160">
                  <c:v>551.23730626251086</c:v>
                </c:pt>
                <c:pt idx="161">
                  <c:v>543.79747847484157</c:v>
                </c:pt>
                <c:pt idx="162">
                  <c:v>536.3555129806881</c:v>
                </c:pt>
                <c:pt idx="163">
                  <c:v>528.91137586153286</c:v>
                </c:pt>
                <c:pt idx="164">
                  <c:v>521.46503216387293</c:v>
                </c:pt>
                <c:pt idx="165">
                  <c:v>514.01644585203337</c:v>
                </c:pt>
                <c:pt idx="166">
                  <c:v>506.5655797580992</c:v>
                </c:pt>
                <c:pt idx="167">
                  <c:v>499.11239552873826</c:v>
                </c:pt>
                <c:pt idx="168">
                  <c:v>491.65685356867812</c:v>
                </c:pt>
                <c:pt idx="169">
                  <c:v>410.57711588056912</c:v>
                </c:pt>
                <c:pt idx="170">
                  <c:v>417.76527580856009</c:v>
                </c:pt>
                <c:pt idx="171">
                  <c:v>424.95077041552332</c:v>
                </c:pt>
                <c:pt idx="172">
                  <c:v>432.13365115611191</c:v>
                </c:pt>
                <c:pt idx="173">
                  <c:v>439.31396763378547</c:v>
                </c:pt>
                <c:pt idx="174">
                  <c:v>446.49176769724619</c:v>
                </c:pt>
                <c:pt idx="175">
                  <c:v>453.66709753034576</c:v>
                </c:pt>
                <c:pt idx="176">
                  <c:v>460.84000173600657</c:v>
                </c:pt>
                <c:pt idx="177">
                  <c:v>468.01052341464441</c:v>
                </c:pt>
                <c:pt idx="178">
                  <c:v>475.17870423753192</c:v>
                </c:pt>
                <c:pt idx="179">
                  <c:v>482.34458451550449</c:v>
                </c:pt>
                <c:pt idx="180">
                  <c:v>489.50820326336844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4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4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4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4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4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4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4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4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4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4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4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4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4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4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4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4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4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4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8" zoomScale="80" zoomScaleNormal="80" workbookViewId="0">
      <selection activeCell="B154" sqref="B154"/>
    </sheetView>
  </sheetViews>
  <sheetFormatPr baseColWidth="10" defaultColWidth="11.3984375" defaultRowHeight="14.25" x14ac:dyDescent="0.45"/>
  <cols>
    <col min="1" max="1" width="13.73046875" style="25" customWidth="1"/>
    <col min="2" max="2" width="36.1328125" style="25" customWidth="1"/>
    <col min="3" max="3" width="14.86328125" style="25" bestFit="1" customWidth="1"/>
    <col min="4" max="4" width="16.3984375" style="25" customWidth="1"/>
    <col min="5" max="5" width="23.265625" style="25" customWidth="1"/>
    <col min="6" max="6" width="28.86328125" style="25" bestFit="1" customWidth="1"/>
    <col min="7" max="8" width="14.73046875" style="25" customWidth="1"/>
    <col min="9" max="9" width="17" style="25" customWidth="1"/>
    <col min="10" max="10" width="13.86328125" style="25" customWidth="1"/>
    <col min="11" max="16384" width="11.3984375" style="25"/>
  </cols>
  <sheetData>
    <row r="1" spans="1:38" x14ac:dyDescent="0.4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4.65" thickBot="1" x14ac:dyDescent="0.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5.9" thickBot="1" x14ac:dyDescent="0.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5" x14ac:dyDescent="0.4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5" x14ac:dyDescent="0.45">
      <c r="A5" s="304" t="s">
        <v>231</v>
      </c>
      <c r="B5" s="304"/>
      <c r="C5" s="26">
        <v>5.3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4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5" x14ac:dyDescent="0.4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4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45">
      <c r="A9" s="33" t="s">
        <v>165</v>
      </c>
      <c r="B9" s="34" t="s">
        <v>14</v>
      </c>
      <c r="C9" s="35">
        <v>0.8</v>
      </c>
      <c r="D9" s="36">
        <f t="shared" ref="D9:D18" si="0">C9*$C$5</f>
        <v>4.24</v>
      </c>
      <c r="E9" s="37">
        <v>180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45">
      <c r="A10" s="33" t="s">
        <v>166</v>
      </c>
      <c r="B10" s="34" t="s">
        <v>50</v>
      </c>
      <c r="C10" s="35">
        <v>1.7999999999999999E-2</v>
      </c>
      <c r="D10" s="36">
        <f t="shared" si="0"/>
        <v>9.5399999999999985E-2</v>
      </c>
      <c r="E10" s="37">
        <v>69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45">
      <c r="A11" s="33" t="s">
        <v>167</v>
      </c>
      <c r="B11" s="34" t="s">
        <v>30</v>
      </c>
      <c r="C11" s="35">
        <v>3.4000000000000002E-2</v>
      </c>
      <c r="D11" s="36">
        <f t="shared" si="0"/>
        <v>0.1802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5">
      <c r="A12" s="33" t="s">
        <v>168</v>
      </c>
      <c r="B12" s="34" t="s">
        <v>52</v>
      </c>
      <c r="C12" s="35">
        <v>1.7999999999999999E-2</v>
      </c>
      <c r="D12" s="36">
        <f t="shared" si="0"/>
        <v>9.5399999999999985E-2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5">
      <c r="A13" s="33" t="s">
        <v>169</v>
      </c>
      <c r="B13" s="34" t="s">
        <v>12</v>
      </c>
      <c r="C13" s="35">
        <v>0.13</v>
      </c>
      <c r="D13" s="36">
        <f t="shared" si="0"/>
        <v>0.68899999999999995</v>
      </c>
      <c r="E13" s="37">
        <v>180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45">
      <c r="A19" s="100"/>
      <c r="B19" s="39" t="s">
        <v>175</v>
      </c>
      <c r="C19" s="40">
        <f>SUM(C9:C18)</f>
        <v>1</v>
      </c>
      <c r="D19" s="41">
        <f>SUM(D9:D18)</f>
        <v>5.3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6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4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4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4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28.5" x14ac:dyDescent="0.4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45">
      <c r="A36" s="53">
        <v>52</v>
      </c>
      <c r="B36" s="63">
        <v>127</v>
      </c>
      <c r="C36" s="63">
        <v>1</v>
      </c>
      <c r="D36" s="63">
        <v>29</v>
      </c>
      <c r="E36" s="54"/>
      <c r="F36" s="54"/>
      <c r="G36" s="54"/>
      <c r="H36" s="54">
        <v>1</v>
      </c>
      <c r="I36" s="52">
        <f>IFERROR(B36/A36,"")</f>
        <v>2.4423076923076925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45">
      <c r="A37" s="53">
        <v>60</v>
      </c>
      <c r="B37" s="63">
        <v>147</v>
      </c>
      <c r="C37" s="63">
        <v>2</v>
      </c>
      <c r="D37" s="63">
        <v>30</v>
      </c>
      <c r="E37" s="54"/>
      <c r="F37" s="54"/>
      <c r="G37" s="54"/>
      <c r="H37" s="54">
        <v>1</v>
      </c>
      <c r="I37" s="56">
        <f t="shared" ref="I37:I55" si="1">IF(A37&lt;&gt;0,(B37-(B36-D36))/(A37-A36),"")</f>
        <v>6.125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45">
      <c r="A38" s="53">
        <v>68</v>
      </c>
      <c r="B38" s="63">
        <v>166</v>
      </c>
      <c r="C38" s="63">
        <v>3</v>
      </c>
      <c r="D38" s="63">
        <v>31</v>
      </c>
      <c r="E38" s="54">
        <v>0.5</v>
      </c>
      <c r="F38" s="54">
        <v>0.4</v>
      </c>
      <c r="G38" s="54"/>
      <c r="H38" s="54">
        <v>0.1</v>
      </c>
      <c r="I38" s="56">
        <f t="shared" si="1"/>
        <v>6.125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45">
      <c r="A39" s="53">
        <v>78</v>
      </c>
      <c r="B39" s="63">
        <v>194</v>
      </c>
      <c r="C39" s="63">
        <v>4</v>
      </c>
      <c r="D39" s="63">
        <v>32</v>
      </c>
      <c r="E39" s="54">
        <v>0.5</v>
      </c>
      <c r="F39" s="54">
        <v>0.4</v>
      </c>
      <c r="G39" s="54"/>
      <c r="H39" s="54">
        <v>0.1</v>
      </c>
      <c r="I39" s="52">
        <f t="shared" si="1"/>
        <v>5.9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45">
      <c r="A40" s="53">
        <v>88</v>
      </c>
      <c r="B40" s="63">
        <v>219</v>
      </c>
      <c r="C40" s="63">
        <v>5</v>
      </c>
      <c r="D40" s="63">
        <v>35</v>
      </c>
      <c r="E40" s="54">
        <v>0.5</v>
      </c>
      <c r="F40" s="54">
        <v>0.4</v>
      </c>
      <c r="G40" s="54"/>
      <c r="H40" s="54">
        <v>0.1</v>
      </c>
      <c r="I40" s="52">
        <f t="shared" si="1"/>
        <v>5.7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45">
      <c r="A41" s="283">
        <v>98</v>
      </c>
      <c r="B41" s="63">
        <v>241</v>
      </c>
      <c r="C41" s="63">
        <v>6</v>
      </c>
      <c r="D41" s="63">
        <v>34</v>
      </c>
      <c r="E41" s="54">
        <v>0.5</v>
      </c>
      <c r="F41" s="54">
        <v>0.4</v>
      </c>
      <c r="G41" s="54"/>
      <c r="H41" s="54">
        <v>0.1</v>
      </c>
      <c r="I41" s="56">
        <f t="shared" si="1"/>
        <v>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45">
      <c r="A42" s="283">
        <v>108</v>
      </c>
      <c r="B42" s="63">
        <v>264</v>
      </c>
      <c r="C42" s="63">
        <v>7</v>
      </c>
      <c r="D42" s="63">
        <v>39</v>
      </c>
      <c r="E42" s="54">
        <v>0.5</v>
      </c>
      <c r="F42" s="54">
        <v>0.4</v>
      </c>
      <c r="G42" s="54"/>
      <c r="H42" s="54">
        <v>0.1</v>
      </c>
      <c r="I42" s="56">
        <f t="shared" si="1"/>
        <v>5.7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45">
      <c r="A43" s="283">
        <v>118</v>
      </c>
      <c r="B43" s="63">
        <v>281</v>
      </c>
      <c r="C43" s="63">
        <v>8</v>
      </c>
      <c r="D43" s="63">
        <v>40</v>
      </c>
      <c r="E43" s="54">
        <v>0.5</v>
      </c>
      <c r="F43" s="54">
        <v>0.4</v>
      </c>
      <c r="G43" s="54"/>
      <c r="H43" s="54">
        <v>0.1</v>
      </c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45">
      <c r="A44" s="283">
        <v>128</v>
      </c>
      <c r="B44" s="63">
        <v>297</v>
      </c>
      <c r="C44" s="63">
        <v>9</v>
      </c>
      <c r="D44" s="63">
        <v>39</v>
      </c>
      <c r="E44" s="54">
        <v>0.5</v>
      </c>
      <c r="F44" s="54">
        <v>0.4</v>
      </c>
      <c r="G44" s="54"/>
      <c r="H44" s="54">
        <v>0.1</v>
      </c>
      <c r="I44" s="52">
        <f t="shared" si="1"/>
        <v>5.6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45">
      <c r="A45" s="283">
        <v>138</v>
      </c>
      <c r="B45" s="63">
        <v>315</v>
      </c>
      <c r="C45" s="63">
        <v>10</v>
      </c>
      <c r="D45" s="63">
        <v>39</v>
      </c>
      <c r="E45" s="54">
        <v>0.5</v>
      </c>
      <c r="F45" s="54">
        <v>0.4</v>
      </c>
      <c r="G45" s="54"/>
      <c r="H45" s="54">
        <v>0.1</v>
      </c>
      <c r="I45" s="52">
        <f t="shared" si="1"/>
        <v>5.7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45">
      <c r="A46" s="283">
        <v>148</v>
      </c>
      <c r="B46" s="63">
        <v>334</v>
      </c>
      <c r="C46" s="63">
        <v>11</v>
      </c>
      <c r="D46" s="63">
        <v>41</v>
      </c>
      <c r="E46" s="54">
        <v>0.5</v>
      </c>
      <c r="F46" s="54">
        <v>0.4</v>
      </c>
      <c r="G46" s="54"/>
      <c r="H46" s="54">
        <v>0.1</v>
      </c>
      <c r="I46" s="52">
        <f t="shared" si="1"/>
        <v>5.8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45">
      <c r="A47" s="283">
        <v>185</v>
      </c>
      <c r="B47" s="63">
        <v>351</v>
      </c>
      <c r="C47" s="63">
        <v>12</v>
      </c>
      <c r="D47" s="63">
        <v>41</v>
      </c>
      <c r="E47" s="54">
        <v>0.5</v>
      </c>
      <c r="F47" s="54">
        <v>0.4</v>
      </c>
      <c r="G47" s="54"/>
      <c r="H47" s="54">
        <v>0.1</v>
      </c>
      <c r="I47" s="52">
        <f t="shared" si="1"/>
        <v>1.5675675675675675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45">
      <c r="A48" s="283">
        <v>168</v>
      </c>
      <c r="B48" s="53">
        <v>369</v>
      </c>
      <c r="C48" s="63">
        <v>13</v>
      </c>
      <c r="D48" s="53">
        <v>41</v>
      </c>
      <c r="E48" s="54">
        <v>0.5</v>
      </c>
      <c r="F48" s="54">
        <v>0.4</v>
      </c>
      <c r="G48" s="54"/>
      <c r="H48" s="54">
        <v>0.1</v>
      </c>
      <c r="I48" s="52">
        <f t="shared" si="1"/>
        <v>-3.4705882352941178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45">
      <c r="A49" s="283">
        <v>180</v>
      </c>
      <c r="B49" s="53">
        <v>368</v>
      </c>
      <c r="C49" s="53" t="s">
        <v>324</v>
      </c>
      <c r="D49" s="53">
        <v>368</v>
      </c>
      <c r="E49" s="54">
        <v>1</v>
      </c>
      <c r="F49" s="54"/>
      <c r="G49" s="54"/>
      <c r="H49" s="54"/>
      <c r="I49" s="52">
        <f t="shared" si="1"/>
        <v>3.3333333333333335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4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4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4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4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4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4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4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4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45">
      <c r="A58" s="49" t="s">
        <v>166</v>
      </c>
      <c r="B58" s="55" t="str">
        <f>IF(B10="","",B10)</f>
        <v>Tilleul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4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4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28.5" x14ac:dyDescent="0.4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45">
      <c r="A62" s="53">
        <v>15</v>
      </c>
      <c r="B62" s="63">
        <v>40</v>
      </c>
      <c r="C62" s="63">
        <v>1</v>
      </c>
      <c r="D62" s="63">
        <v>3</v>
      </c>
      <c r="E62" s="54"/>
      <c r="F62" s="54"/>
      <c r="G62" s="54"/>
      <c r="H62" s="54">
        <v>1</v>
      </c>
      <c r="I62" s="56">
        <f>IFERROR(B62/A62,"")</f>
        <v>2.6666666666666665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45">
      <c r="A63" s="53">
        <v>20</v>
      </c>
      <c r="B63" s="63">
        <v>85</v>
      </c>
      <c r="C63" s="63">
        <v>2</v>
      </c>
      <c r="D63" s="63">
        <v>25</v>
      </c>
      <c r="E63" s="54"/>
      <c r="F63" s="54"/>
      <c r="G63" s="54"/>
      <c r="H63" s="54">
        <v>1</v>
      </c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45">
      <c r="A64" s="53">
        <v>25</v>
      </c>
      <c r="B64" s="63">
        <v>113</v>
      </c>
      <c r="C64" s="63">
        <v>3</v>
      </c>
      <c r="D64" s="63">
        <v>27</v>
      </c>
      <c r="E64" s="54"/>
      <c r="F64" s="54"/>
      <c r="G64" s="54"/>
      <c r="H64" s="54">
        <v>1</v>
      </c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45">
      <c r="A65" s="53">
        <v>31</v>
      </c>
      <c r="B65" s="63">
        <v>155</v>
      </c>
      <c r="C65" s="63">
        <v>4</v>
      </c>
      <c r="D65" s="63">
        <v>36</v>
      </c>
      <c r="E65" s="54"/>
      <c r="F65" s="54"/>
      <c r="G65" s="54"/>
      <c r="H65" s="54">
        <v>1</v>
      </c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45">
      <c r="A66" s="53">
        <v>37</v>
      </c>
      <c r="B66" s="63">
        <v>188</v>
      </c>
      <c r="C66" s="63">
        <v>5</v>
      </c>
      <c r="D66" s="63">
        <v>36</v>
      </c>
      <c r="E66" s="54"/>
      <c r="F66" s="54"/>
      <c r="G66" s="54"/>
      <c r="H66" s="54">
        <v>1</v>
      </c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45">
      <c r="A67" s="53">
        <v>44</v>
      </c>
      <c r="B67" s="63">
        <v>230</v>
      </c>
      <c r="C67" s="63">
        <v>6</v>
      </c>
      <c r="D67" s="63">
        <v>43</v>
      </c>
      <c r="E67" s="54"/>
      <c r="F67" s="54"/>
      <c r="G67" s="54"/>
      <c r="H67" s="54">
        <v>1</v>
      </c>
      <c r="I67" s="52">
        <f t="shared" si="2"/>
        <v>11.142857142857142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45">
      <c r="A68" s="53">
        <v>52</v>
      </c>
      <c r="B68" s="63">
        <v>270</v>
      </c>
      <c r="C68" s="63">
        <v>7</v>
      </c>
      <c r="D68" s="63">
        <v>48</v>
      </c>
      <c r="E68" s="54">
        <v>0.5</v>
      </c>
      <c r="F68" s="54"/>
      <c r="G68" s="54"/>
      <c r="H68" s="54">
        <v>1</v>
      </c>
      <c r="I68" s="52">
        <f t="shared" si="2"/>
        <v>10.375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45">
      <c r="A69" s="53">
        <v>60</v>
      </c>
      <c r="B69" s="53">
        <v>297</v>
      </c>
      <c r="C69" s="63">
        <v>8</v>
      </c>
      <c r="D69" s="53">
        <v>47</v>
      </c>
      <c r="E69" s="54">
        <v>0.5</v>
      </c>
      <c r="F69" s="54"/>
      <c r="G69" s="54"/>
      <c r="H69" s="54">
        <v>1</v>
      </c>
      <c r="I69" s="52">
        <f t="shared" si="2"/>
        <v>9.375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45">
      <c r="A70" s="53">
        <v>69</v>
      </c>
      <c r="B70" s="53">
        <v>328</v>
      </c>
      <c r="C70" s="63" t="s">
        <v>324</v>
      </c>
      <c r="D70" s="53">
        <v>328</v>
      </c>
      <c r="E70" s="54">
        <v>1</v>
      </c>
      <c r="F70" s="54"/>
      <c r="G70" s="54"/>
      <c r="H70" s="54"/>
      <c r="I70" s="52">
        <f t="shared" si="2"/>
        <v>8.6666666666666661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4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4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4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4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4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4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4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4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4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4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4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4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4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45">
      <c r="A84" s="49" t="s">
        <v>167</v>
      </c>
      <c r="B84" s="55" t="str">
        <f>IF(B11="","",B11)</f>
        <v>Noyer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4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4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28.5" x14ac:dyDescent="0.4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45">
      <c r="A88" s="53">
        <v>15</v>
      </c>
      <c r="B88" s="63">
        <v>40</v>
      </c>
      <c r="C88" s="63">
        <v>1</v>
      </c>
      <c r="D88" s="63">
        <v>3</v>
      </c>
      <c r="E88" s="54"/>
      <c r="F88" s="54"/>
      <c r="G88" s="54"/>
      <c r="H88" s="93">
        <v>1</v>
      </c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45">
      <c r="A89" s="53">
        <v>20</v>
      </c>
      <c r="B89" s="63">
        <v>85</v>
      </c>
      <c r="C89" s="63">
        <v>2</v>
      </c>
      <c r="D89" s="63">
        <v>25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45">
      <c r="A90" s="53">
        <v>25</v>
      </c>
      <c r="B90" s="63">
        <v>113</v>
      </c>
      <c r="C90" s="63">
        <v>3</v>
      </c>
      <c r="D90" s="63">
        <v>27</v>
      </c>
      <c r="E90" s="93"/>
      <c r="F90" s="93"/>
      <c r="G90" s="93"/>
      <c r="H90" s="93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45">
      <c r="A91" s="53">
        <v>31</v>
      </c>
      <c r="B91" s="63">
        <v>155</v>
      </c>
      <c r="C91" s="63">
        <v>4</v>
      </c>
      <c r="D91" s="63">
        <v>36</v>
      </c>
      <c r="E91" s="93"/>
      <c r="F91" s="93"/>
      <c r="G91" s="93"/>
      <c r="H91" s="93">
        <v>1</v>
      </c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45">
      <c r="A92" s="53">
        <v>37</v>
      </c>
      <c r="B92" s="63">
        <v>188</v>
      </c>
      <c r="C92" s="63">
        <v>5</v>
      </c>
      <c r="D92" s="63">
        <v>36</v>
      </c>
      <c r="E92" s="93"/>
      <c r="F92" s="93"/>
      <c r="G92" s="93"/>
      <c r="H92" s="93">
        <v>1</v>
      </c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45">
      <c r="A93" s="53">
        <v>44</v>
      </c>
      <c r="B93" s="63">
        <v>230</v>
      </c>
      <c r="C93" s="63">
        <v>6</v>
      </c>
      <c r="D93" s="63">
        <v>43</v>
      </c>
      <c r="E93" s="93"/>
      <c r="F93" s="93"/>
      <c r="G93" s="93"/>
      <c r="H93" s="93">
        <v>1</v>
      </c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45">
      <c r="A94" s="53">
        <v>52</v>
      </c>
      <c r="B94" s="63">
        <v>270</v>
      </c>
      <c r="C94" s="63">
        <v>7</v>
      </c>
      <c r="D94" s="63">
        <v>48</v>
      </c>
      <c r="E94" s="93">
        <v>0.5</v>
      </c>
      <c r="F94" s="93"/>
      <c r="G94" s="93"/>
      <c r="H94" s="93">
        <v>1</v>
      </c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45">
      <c r="A95" s="63">
        <v>60</v>
      </c>
      <c r="B95" s="63">
        <v>297</v>
      </c>
      <c r="C95" s="63">
        <v>8</v>
      </c>
      <c r="D95" s="63">
        <v>47</v>
      </c>
      <c r="E95" s="93">
        <v>0.5</v>
      </c>
      <c r="F95" s="93"/>
      <c r="G95" s="93"/>
      <c r="H95" s="93">
        <v>1</v>
      </c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45">
      <c r="A96" s="63">
        <v>69</v>
      </c>
      <c r="B96" s="63">
        <v>328</v>
      </c>
      <c r="C96" s="63" t="s">
        <v>324</v>
      </c>
      <c r="D96" s="63">
        <v>328</v>
      </c>
      <c r="E96" s="93">
        <v>1</v>
      </c>
      <c r="F96" s="93"/>
      <c r="G96" s="93"/>
      <c r="H96" s="93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4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4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4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4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4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4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4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4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4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4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4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4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4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45">
      <c r="A110" s="49" t="s">
        <v>168</v>
      </c>
      <c r="B110" s="55" t="str">
        <f>IF(B12="","",B12)</f>
        <v>Cormier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4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4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28.5" x14ac:dyDescent="0.4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45">
      <c r="A114" s="53">
        <v>15</v>
      </c>
      <c r="B114" s="63">
        <v>40</v>
      </c>
      <c r="C114" s="53">
        <v>1</v>
      </c>
      <c r="D114" s="63">
        <v>3</v>
      </c>
      <c r="E114" s="54"/>
      <c r="F114" s="54"/>
      <c r="G114" s="54"/>
      <c r="H114" s="54">
        <v>1</v>
      </c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45">
      <c r="A115" s="53">
        <v>20</v>
      </c>
      <c r="B115" s="63">
        <v>85</v>
      </c>
      <c r="C115" s="53">
        <v>2</v>
      </c>
      <c r="D115" s="63">
        <v>25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45">
      <c r="A116" s="53">
        <v>25</v>
      </c>
      <c r="B116" s="63">
        <v>113</v>
      </c>
      <c r="C116" s="53">
        <v>3</v>
      </c>
      <c r="D116" s="63">
        <v>27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45">
      <c r="A117" s="53">
        <v>31</v>
      </c>
      <c r="B117" s="63">
        <v>155</v>
      </c>
      <c r="C117" s="53">
        <v>4</v>
      </c>
      <c r="D117" s="63">
        <v>36</v>
      </c>
      <c r="E117" s="54"/>
      <c r="F117" s="54"/>
      <c r="G117" s="54"/>
      <c r="H117" s="54">
        <v>1</v>
      </c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45">
      <c r="A118" s="53">
        <v>37</v>
      </c>
      <c r="B118" s="63">
        <v>188</v>
      </c>
      <c r="C118" s="53">
        <v>5</v>
      </c>
      <c r="D118" s="63">
        <v>36</v>
      </c>
      <c r="E118" s="54"/>
      <c r="F118" s="54"/>
      <c r="G118" s="54"/>
      <c r="H118" s="54">
        <v>1</v>
      </c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45">
      <c r="A119" s="53">
        <v>44</v>
      </c>
      <c r="B119" s="63">
        <v>230</v>
      </c>
      <c r="C119" s="53">
        <v>6</v>
      </c>
      <c r="D119" s="63">
        <v>43</v>
      </c>
      <c r="E119" s="54"/>
      <c r="F119" s="54"/>
      <c r="G119" s="54"/>
      <c r="H119" s="54">
        <v>1</v>
      </c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45">
      <c r="A120" s="63">
        <v>52</v>
      </c>
      <c r="B120" s="63">
        <v>270</v>
      </c>
      <c r="C120" s="63">
        <v>7</v>
      </c>
      <c r="D120" s="63">
        <v>48</v>
      </c>
      <c r="E120" s="93">
        <v>0.5</v>
      </c>
      <c r="F120" s="93"/>
      <c r="G120" s="93"/>
      <c r="H120" s="93">
        <v>1</v>
      </c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45">
      <c r="A121" s="63">
        <v>60</v>
      </c>
      <c r="B121" s="63">
        <v>297</v>
      </c>
      <c r="C121" s="63">
        <v>8</v>
      </c>
      <c r="D121" s="63">
        <v>47</v>
      </c>
      <c r="E121" s="93">
        <v>0.5</v>
      </c>
      <c r="F121" s="93"/>
      <c r="G121" s="93"/>
      <c r="H121" s="93">
        <v>1</v>
      </c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45">
      <c r="A122" s="63">
        <v>69</v>
      </c>
      <c r="B122" s="63">
        <v>328</v>
      </c>
      <c r="C122" s="63" t="s">
        <v>324</v>
      </c>
      <c r="D122" s="63">
        <v>328</v>
      </c>
      <c r="E122" s="93">
        <v>1</v>
      </c>
      <c r="F122" s="93"/>
      <c r="G122" s="93"/>
      <c r="H122" s="93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4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4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4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4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4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4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4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4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4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4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4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4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4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45">
      <c r="A136" s="49" t="s">
        <v>169</v>
      </c>
      <c r="B136" s="55" t="str">
        <f>IF(B13="","",B13)</f>
        <v>Chêne pubescent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4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4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28.5" x14ac:dyDescent="0.4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45">
      <c r="A140" s="53">
        <v>52</v>
      </c>
      <c r="B140" s="63">
        <v>127</v>
      </c>
      <c r="C140" s="63">
        <v>1</v>
      </c>
      <c r="D140" s="63">
        <v>29</v>
      </c>
      <c r="E140" s="54"/>
      <c r="F140" s="54"/>
      <c r="G140" s="54"/>
      <c r="H140" s="54">
        <v>1</v>
      </c>
      <c r="I140" s="60">
        <f>IFERROR(B140/A140,"")</f>
        <v>2.4423076923076925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45">
      <c r="A141" s="53">
        <v>60</v>
      </c>
      <c r="B141" s="63">
        <v>147</v>
      </c>
      <c r="C141" s="63">
        <v>2</v>
      </c>
      <c r="D141" s="63">
        <v>30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6.125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45">
      <c r="A142" s="53">
        <v>68</v>
      </c>
      <c r="B142" s="63">
        <v>166</v>
      </c>
      <c r="C142" s="63">
        <v>3</v>
      </c>
      <c r="D142" s="63">
        <v>31</v>
      </c>
      <c r="E142" s="54">
        <v>0.5</v>
      </c>
      <c r="F142" s="54">
        <v>0.4</v>
      </c>
      <c r="G142" s="54"/>
      <c r="H142" s="54">
        <v>0.1</v>
      </c>
      <c r="I142" s="60">
        <f t="shared" si="5"/>
        <v>6.125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45">
      <c r="A143" s="53">
        <v>78</v>
      </c>
      <c r="B143" s="63">
        <v>194</v>
      </c>
      <c r="C143" s="63">
        <v>4</v>
      </c>
      <c r="D143" s="63">
        <v>32</v>
      </c>
      <c r="E143" s="54">
        <v>0.5</v>
      </c>
      <c r="F143" s="54">
        <v>0.4</v>
      </c>
      <c r="G143" s="54"/>
      <c r="H143" s="54">
        <v>0.1</v>
      </c>
      <c r="I143" s="60">
        <f t="shared" si="5"/>
        <v>5.9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45">
      <c r="A144" s="53">
        <v>88</v>
      </c>
      <c r="B144" s="63">
        <v>219</v>
      </c>
      <c r="C144" s="63">
        <v>5</v>
      </c>
      <c r="D144" s="63">
        <v>35</v>
      </c>
      <c r="E144" s="54">
        <v>0.5</v>
      </c>
      <c r="F144" s="54">
        <v>0.4</v>
      </c>
      <c r="G144" s="54"/>
      <c r="H144" s="54">
        <v>0.1</v>
      </c>
      <c r="I144" s="60">
        <f t="shared" si="5"/>
        <v>5.7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45">
      <c r="A145" s="283">
        <v>98</v>
      </c>
      <c r="B145" s="63">
        <v>241</v>
      </c>
      <c r="C145" s="63">
        <v>6</v>
      </c>
      <c r="D145" s="63">
        <v>34</v>
      </c>
      <c r="E145" s="54">
        <v>0.5</v>
      </c>
      <c r="F145" s="54">
        <v>0.4</v>
      </c>
      <c r="G145" s="54"/>
      <c r="H145" s="54">
        <v>0.1</v>
      </c>
      <c r="I145" s="60">
        <f t="shared" si="5"/>
        <v>5.7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45">
      <c r="A146" s="283">
        <v>108</v>
      </c>
      <c r="B146" s="63">
        <v>264</v>
      </c>
      <c r="C146" s="63">
        <v>7</v>
      </c>
      <c r="D146" s="63">
        <v>39</v>
      </c>
      <c r="E146" s="54">
        <v>0.5</v>
      </c>
      <c r="F146" s="54">
        <v>0.4</v>
      </c>
      <c r="G146" s="54"/>
      <c r="H146" s="54">
        <v>0.1</v>
      </c>
      <c r="I146" s="60">
        <f t="shared" si="5"/>
        <v>5.7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45">
      <c r="A147" s="283">
        <v>118</v>
      </c>
      <c r="B147" s="63">
        <v>281</v>
      </c>
      <c r="C147" s="63">
        <v>8</v>
      </c>
      <c r="D147" s="63">
        <v>40</v>
      </c>
      <c r="E147" s="54">
        <v>0.5</v>
      </c>
      <c r="F147" s="54">
        <v>0.4</v>
      </c>
      <c r="G147" s="54"/>
      <c r="H147" s="54">
        <v>0.1</v>
      </c>
      <c r="I147" s="60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45">
      <c r="A148" s="283">
        <v>128</v>
      </c>
      <c r="B148" s="63">
        <v>297</v>
      </c>
      <c r="C148" s="63">
        <v>9</v>
      </c>
      <c r="D148" s="63">
        <v>39</v>
      </c>
      <c r="E148" s="54">
        <v>0.5</v>
      </c>
      <c r="F148" s="54">
        <v>0.4</v>
      </c>
      <c r="G148" s="54"/>
      <c r="H148" s="54">
        <v>0.1</v>
      </c>
      <c r="I148" s="60">
        <f t="shared" si="5"/>
        <v>5.6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45">
      <c r="A149" s="283">
        <v>138</v>
      </c>
      <c r="B149" s="63">
        <v>315</v>
      </c>
      <c r="C149" s="63">
        <v>10</v>
      </c>
      <c r="D149" s="63">
        <v>39</v>
      </c>
      <c r="E149" s="54">
        <v>0.5</v>
      </c>
      <c r="F149" s="54">
        <v>0.4</v>
      </c>
      <c r="G149" s="54"/>
      <c r="H149" s="54">
        <v>0.1</v>
      </c>
      <c r="I149" s="60">
        <f t="shared" si="5"/>
        <v>5.7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45">
      <c r="A150" s="283">
        <v>148</v>
      </c>
      <c r="B150" s="63">
        <v>334</v>
      </c>
      <c r="C150" s="63">
        <v>11</v>
      </c>
      <c r="D150" s="63">
        <v>41</v>
      </c>
      <c r="E150" s="54">
        <v>0.5</v>
      </c>
      <c r="F150" s="54">
        <v>0.4</v>
      </c>
      <c r="G150" s="54"/>
      <c r="H150" s="54">
        <v>0.1</v>
      </c>
      <c r="I150" s="60">
        <f t="shared" si="5"/>
        <v>5.8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45">
      <c r="A151" s="283">
        <v>185</v>
      </c>
      <c r="B151" s="63">
        <v>351</v>
      </c>
      <c r="C151" s="63">
        <v>12</v>
      </c>
      <c r="D151" s="63">
        <v>41</v>
      </c>
      <c r="E151" s="54">
        <v>0.5</v>
      </c>
      <c r="F151" s="54">
        <v>0.4</v>
      </c>
      <c r="G151" s="54"/>
      <c r="H151" s="54">
        <v>0.1</v>
      </c>
      <c r="I151" s="60">
        <f t="shared" si="5"/>
        <v>1.5675675675675675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45">
      <c r="A152" s="283">
        <v>168</v>
      </c>
      <c r="B152" s="53">
        <v>369</v>
      </c>
      <c r="C152" s="63">
        <v>13</v>
      </c>
      <c r="D152" s="53">
        <v>41</v>
      </c>
      <c r="E152" s="54">
        <v>0.5</v>
      </c>
      <c r="F152" s="54">
        <v>0.4</v>
      </c>
      <c r="G152" s="54"/>
      <c r="H152" s="54">
        <v>0.1</v>
      </c>
      <c r="I152" s="60">
        <f t="shared" si="5"/>
        <v>-3.4705882352941178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45">
      <c r="A153" s="283">
        <v>180</v>
      </c>
      <c r="B153" s="53">
        <v>368</v>
      </c>
      <c r="C153" s="53" t="s">
        <v>324</v>
      </c>
      <c r="D153" s="53">
        <v>368</v>
      </c>
      <c r="E153" s="54">
        <v>1</v>
      </c>
      <c r="F153" s="54"/>
      <c r="G153" s="54"/>
      <c r="H153" s="54"/>
      <c r="I153" s="60">
        <f t="shared" si="5"/>
        <v>3.3333333333333335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4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4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4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4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4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4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4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4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4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4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4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28.5" x14ac:dyDescent="0.4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4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4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4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4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4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4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4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4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4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4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4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4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4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4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4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4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4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4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4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4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4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4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4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4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4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28.5" x14ac:dyDescent="0.4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4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4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4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4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4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4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4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4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4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4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4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4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4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4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4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4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4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4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4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4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4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4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4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4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4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28.5" x14ac:dyDescent="0.4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4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4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4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4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4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4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4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4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4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4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4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4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4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4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4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4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4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4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4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4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4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4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4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4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4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28.5" x14ac:dyDescent="0.4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4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4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4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4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4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4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4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4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4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4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4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4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4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4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4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4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4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4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4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4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4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4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4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4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4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28.5" x14ac:dyDescent="0.4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4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4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4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4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4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4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4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4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4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4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4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4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4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4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4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4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4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4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4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4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4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4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4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4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4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4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4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4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4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4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4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4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4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4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4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4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4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4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4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4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4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4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4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4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4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4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4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4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4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4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4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4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4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4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4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4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4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4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4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4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4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4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4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4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4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4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4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4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4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4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4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4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4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4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4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4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4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4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4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4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4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4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4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4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4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4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4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4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4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4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4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4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4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4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4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4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4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4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4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4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4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4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4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4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4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4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4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4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4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4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4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4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4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4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4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4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4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4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4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4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4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4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4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4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4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4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4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4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4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4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4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4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4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4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4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4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4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4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4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4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4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4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4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4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4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4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4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4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4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4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4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4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4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4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4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4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4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4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3" zoomScale="115" zoomScaleNormal="115" workbookViewId="0">
      <selection activeCell="B17" sqref="B17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5.9" thickBot="1" x14ac:dyDescent="0.8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4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4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4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4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4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4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4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4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4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4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4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4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4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4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4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4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4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4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4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4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4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4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4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4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4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4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4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4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4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4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4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4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4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4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4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4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4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4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4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4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4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4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4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4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4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4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4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4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4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4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4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4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4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45">
      <c r="C104" s="5"/>
      <c r="F104" s="5"/>
    </row>
    <row r="105" spans="3:35" x14ac:dyDescent="0.45">
      <c r="C105" s="5"/>
      <c r="F105" s="5"/>
    </row>
    <row r="106" spans="3:35" x14ac:dyDescent="0.45">
      <c r="C106" s="5"/>
      <c r="F106" s="5"/>
    </row>
    <row r="107" spans="3:35" x14ac:dyDescent="0.45">
      <c r="C107" s="5"/>
      <c r="F107" s="5"/>
    </row>
    <row r="108" spans="3:35" x14ac:dyDescent="0.45">
      <c r="C108" s="5"/>
      <c r="F108" s="5"/>
    </row>
    <row r="109" spans="3:35" x14ac:dyDescent="0.45">
      <c r="C109" s="5"/>
      <c r="F109" s="5"/>
    </row>
    <row r="110" spans="3:35" x14ac:dyDescent="0.45">
      <c r="C110" s="5"/>
      <c r="F110" s="5"/>
    </row>
    <row r="111" spans="3:35" x14ac:dyDescent="0.45">
      <c r="C111" s="5"/>
      <c r="F111" s="5"/>
    </row>
    <row r="112" spans="3:35" x14ac:dyDescent="0.45">
      <c r="C112" s="5"/>
      <c r="F112" s="5"/>
    </row>
    <row r="113" spans="3:6" x14ac:dyDescent="0.45">
      <c r="C113" s="5"/>
      <c r="F113" s="5"/>
    </row>
    <row r="114" spans="3:6" x14ac:dyDescent="0.45">
      <c r="C114" s="5"/>
      <c r="F114" s="5"/>
    </row>
    <row r="115" spans="3:6" x14ac:dyDescent="0.45">
      <c r="C115" s="5"/>
      <c r="F115" s="5"/>
    </row>
    <row r="116" spans="3:6" x14ac:dyDescent="0.45">
      <c r="C116" s="5"/>
      <c r="F116" s="5"/>
    </row>
    <row r="117" spans="3:6" x14ac:dyDescent="0.45">
      <c r="C117" s="5"/>
      <c r="F117" s="5"/>
    </row>
    <row r="118" spans="3:6" x14ac:dyDescent="0.45">
      <c r="C118" s="5"/>
      <c r="F118" s="5"/>
    </row>
    <row r="119" spans="3:6" x14ac:dyDescent="0.45">
      <c r="C119" s="5"/>
      <c r="F119" s="5"/>
    </row>
    <row r="120" spans="3:6" x14ac:dyDescent="0.45">
      <c r="C120" s="5"/>
      <c r="F120" s="5"/>
    </row>
    <row r="121" spans="3:6" x14ac:dyDescent="0.45">
      <c r="C121" s="5"/>
      <c r="F121" s="5"/>
    </row>
    <row r="122" spans="3:6" x14ac:dyDescent="0.45">
      <c r="C122" s="5"/>
      <c r="F122" s="5"/>
    </row>
    <row r="123" spans="3:6" x14ac:dyDescent="0.45">
      <c r="C123" s="5"/>
      <c r="F123" s="5"/>
    </row>
    <row r="124" spans="3:6" x14ac:dyDescent="0.45">
      <c r="C124" s="5"/>
      <c r="F124" s="5"/>
    </row>
    <row r="125" spans="3:6" x14ac:dyDescent="0.45">
      <c r="C125" s="5"/>
      <c r="F125" s="5"/>
    </row>
    <row r="126" spans="3:6" x14ac:dyDescent="0.45">
      <c r="C126" s="5"/>
      <c r="F126" s="5"/>
    </row>
    <row r="127" spans="3:6" x14ac:dyDescent="0.45">
      <c r="C127" s="5"/>
      <c r="F127" s="5"/>
    </row>
    <row r="128" spans="3:6" x14ac:dyDescent="0.45">
      <c r="C128" s="5"/>
      <c r="F128" s="5"/>
    </row>
    <row r="129" spans="3:6" x14ac:dyDescent="0.45">
      <c r="C129" s="5"/>
      <c r="F129" s="5"/>
    </row>
    <row r="130" spans="3:6" x14ac:dyDescent="0.45">
      <c r="C130" s="5"/>
      <c r="F130" s="5"/>
    </row>
    <row r="131" spans="3:6" x14ac:dyDescent="0.45">
      <c r="C131" s="5"/>
      <c r="F131" s="5"/>
    </row>
    <row r="132" spans="3:6" x14ac:dyDescent="0.45">
      <c r="F132" s="5"/>
    </row>
    <row r="133" spans="3:6" x14ac:dyDescent="0.45">
      <c r="F133" s="5"/>
    </row>
    <row r="134" spans="3:6" x14ac:dyDescent="0.45">
      <c r="F134" s="5"/>
    </row>
    <row r="135" spans="3:6" x14ac:dyDescent="0.45">
      <c r="F135" s="5"/>
    </row>
    <row r="136" spans="3:6" x14ac:dyDescent="0.45">
      <c r="F136" s="5"/>
    </row>
    <row r="137" spans="3:6" x14ac:dyDescent="0.45">
      <c r="F137" s="5"/>
    </row>
    <row r="138" spans="3:6" x14ac:dyDescent="0.45">
      <c r="F138" s="5"/>
    </row>
    <row r="139" spans="3:6" x14ac:dyDescent="0.45">
      <c r="F139" s="5"/>
    </row>
    <row r="140" spans="3:6" x14ac:dyDescent="0.45">
      <c r="F140" s="5"/>
    </row>
    <row r="141" spans="3:6" x14ac:dyDescent="0.45">
      <c r="F141" s="5"/>
    </row>
    <row r="142" spans="3:6" x14ac:dyDescent="0.45">
      <c r="F142" s="5"/>
    </row>
    <row r="143" spans="3:6" x14ac:dyDescent="0.45">
      <c r="F143" s="5"/>
    </row>
    <row r="144" spans="3:6" x14ac:dyDescent="0.45">
      <c r="F144" s="5"/>
    </row>
    <row r="145" spans="6:6" x14ac:dyDescent="0.45">
      <c r="F145" s="5"/>
    </row>
    <row r="146" spans="6:6" x14ac:dyDescent="0.45">
      <c r="F146" s="5"/>
    </row>
    <row r="147" spans="6:6" x14ac:dyDescent="0.45">
      <c r="F147" s="5"/>
    </row>
    <row r="148" spans="6:6" x14ac:dyDescent="0.45">
      <c r="F148" s="5"/>
    </row>
    <row r="149" spans="6:6" x14ac:dyDescent="0.45">
      <c r="F149" s="5"/>
    </row>
    <row r="150" spans="6:6" x14ac:dyDescent="0.45">
      <c r="F150" s="5"/>
    </row>
    <row r="151" spans="6:6" x14ac:dyDescent="0.45">
      <c r="F151" s="5"/>
    </row>
    <row r="152" spans="6:6" x14ac:dyDescent="0.45">
      <c r="F152" s="5"/>
    </row>
    <row r="153" spans="6:6" x14ac:dyDescent="0.45">
      <c r="F153" s="5"/>
    </row>
    <row r="154" spans="6:6" x14ac:dyDescent="0.45">
      <c r="F154" s="5"/>
    </row>
    <row r="155" spans="6:6" x14ac:dyDescent="0.45">
      <c r="F155" s="5"/>
    </row>
    <row r="156" spans="6:6" x14ac:dyDescent="0.45">
      <c r="F156" s="5"/>
    </row>
    <row r="157" spans="6:6" x14ac:dyDescent="0.45">
      <c r="F157" s="5"/>
    </row>
    <row r="158" spans="6:6" x14ac:dyDescent="0.45">
      <c r="F158" s="5"/>
    </row>
    <row r="159" spans="6:6" x14ac:dyDescent="0.45">
      <c r="F159" s="5"/>
    </row>
    <row r="160" spans="6:6" x14ac:dyDescent="0.45">
      <c r="F160" s="5"/>
    </row>
    <row r="161" spans="6:6" x14ac:dyDescent="0.45">
      <c r="F161" s="5"/>
    </row>
    <row r="162" spans="6:6" x14ac:dyDescent="0.45">
      <c r="F162" s="5"/>
    </row>
    <row r="163" spans="6:6" x14ac:dyDescent="0.4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71" bestFit="1" customWidth="1"/>
    <col min="2" max="4" width="11.3984375" style="71"/>
    <col min="5" max="5" width="9.59765625" style="71" customWidth="1"/>
    <col min="6" max="7" width="11.3984375" style="71"/>
    <col min="8" max="8" width="10.73046875" style="71" customWidth="1"/>
    <col min="9" max="9" width="9.3984375" style="71" customWidth="1"/>
    <col min="10" max="11" width="10.59765625" style="71" bestFit="1" customWidth="1"/>
    <col min="12" max="12" width="14" style="71" bestFit="1" customWidth="1"/>
    <col min="13" max="13" width="14" style="71" customWidth="1"/>
    <col min="14" max="23" width="11.3984375" style="71"/>
    <col min="24" max="24" width="11.73046875" style="71" bestFit="1" customWidth="1"/>
    <col min="25" max="25" width="14.59765625" style="71" bestFit="1" customWidth="1"/>
    <col min="26" max="26" width="12.3984375" style="71" bestFit="1" customWidth="1"/>
    <col min="27" max="27" width="9.73046875" style="71" bestFit="1" customWidth="1"/>
    <col min="28" max="28" width="11" style="71" bestFit="1" customWidth="1"/>
    <col min="29" max="29" width="9.3984375" style="71" bestFit="1" customWidth="1"/>
    <col min="30" max="31" width="9.3984375" style="71" customWidth="1"/>
    <col min="32" max="32" width="11.3984375" style="71"/>
    <col min="33" max="34" width="14" style="71" bestFit="1" customWidth="1"/>
    <col min="35" max="35" width="10.59765625" style="71" bestFit="1" customWidth="1"/>
    <col min="36" max="36" width="9.3984375" style="71" bestFit="1" customWidth="1"/>
    <col min="37" max="38" width="10.59765625" style="71" bestFit="1" customWidth="1"/>
    <col min="39" max="41" width="10.59765625" style="71" customWidth="1"/>
    <col min="42" max="42" width="9" style="71" bestFit="1" customWidth="1"/>
    <col min="43" max="43" width="10.59765625" style="71" bestFit="1" customWidth="1"/>
    <col min="44" max="44" width="9.265625" style="71" bestFit="1" customWidth="1"/>
    <col min="45" max="45" width="11.73046875" style="71" bestFit="1" customWidth="1"/>
    <col min="46" max="46" width="8.3984375" style="71" bestFit="1" customWidth="1"/>
    <col min="47" max="47" width="9.3984375" style="71" bestFit="1" customWidth="1"/>
    <col min="48" max="48" width="9.73046875" style="71" bestFit="1" customWidth="1"/>
    <col min="49" max="49" width="11" style="71" bestFit="1" customWidth="1"/>
    <col min="50" max="50" width="9.3984375" style="71" bestFit="1" customWidth="1"/>
    <col min="51" max="52" width="9.3984375" style="71" customWidth="1"/>
    <col min="53" max="53" width="10.59765625" style="71" bestFit="1" customWidth="1"/>
    <col min="54" max="54" width="14.265625" style="71" customWidth="1"/>
    <col min="55" max="55" width="14" style="71" customWidth="1"/>
    <col min="56" max="56" width="10.59765625" style="71" bestFit="1" customWidth="1"/>
    <col min="57" max="57" width="9.3984375" style="71" bestFit="1" customWidth="1"/>
    <col min="58" max="59" width="10.59765625" style="71" bestFit="1" customWidth="1"/>
    <col min="60" max="62" width="10.59765625" style="71" customWidth="1"/>
    <col min="63" max="63" width="9" style="71" bestFit="1" customWidth="1"/>
    <col min="64" max="64" width="10.59765625" style="71" bestFit="1" customWidth="1"/>
    <col min="65" max="65" width="9.265625" style="71" bestFit="1" customWidth="1"/>
    <col min="66" max="66" width="11.73046875" style="71" bestFit="1" customWidth="1"/>
    <col min="67" max="67" width="8.3984375" style="71" bestFit="1" customWidth="1"/>
    <col min="68" max="68" width="9.3984375" style="71" bestFit="1" customWidth="1"/>
    <col min="69" max="69" width="9.73046875" style="71" bestFit="1" customWidth="1"/>
    <col min="70" max="70" width="11" style="71" bestFit="1" customWidth="1"/>
    <col min="71" max="71" width="9.3984375" style="71" bestFit="1" customWidth="1"/>
    <col min="72" max="73" width="9.3984375" style="71" customWidth="1"/>
    <col min="74" max="74" width="10.59765625" style="71" bestFit="1" customWidth="1"/>
    <col min="75" max="75" width="14" style="71" bestFit="1" customWidth="1"/>
    <col min="76" max="76" width="13.86328125" style="71" customWidth="1"/>
    <col min="77" max="77" width="10.59765625" style="71" bestFit="1" customWidth="1"/>
    <col min="78" max="78" width="9.3984375" style="71" bestFit="1" customWidth="1"/>
    <col min="79" max="80" width="10.59765625" style="71" bestFit="1" customWidth="1"/>
    <col min="81" max="83" width="10.59765625" style="71" customWidth="1"/>
    <col min="84" max="84" width="11.3984375" style="71"/>
    <col min="85" max="85" width="10.59765625" style="71" bestFit="1" customWidth="1"/>
    <col min="86" max="86" width="9.265625" style="71" bestFit="1" customWidth="1"/>
    <col min="87" max="87" width="11.73046875" style="71" bestFit="1" customWidth="1"/>
    <col min="88" max="88" width="8.3984375" style="71" bestFit="1" customWidth="1"/>
    <col min="89" max="89" width="9.3984375" style="71" bestFit="1" customWidth="1"/>
    <col min="90" max="90" width="9.73046875" style="71" bestFit="1" customWidth="1"/>
    <col min="91" max="91" width="11" style="71" bestFit="1" customWidth="1"/>
    <col min="92" max="92" width="9.3984375" style="71" bestFit="1" customWidth="1"/>
    <col min="93" max="94" width="9.3984375" style="71" customWidth="1"/>
    <col min="95" max="95" width="11.3984375" style="71"/>
    <col min="96" max="97" width="14" style="71" customWidth="1"/>
    <col min="98" max="98" width="10.59765625" style="71" bestFit="1" customWidth="1"/>
    <col min="99" max="99" width="9.3984375" style="71" bestFit="1" customWidth="1"/>
    <col min="100" max="101" width="10.59765625" style="71" bestFit="1" customWidth="1"/>
    <col min="102" max="104" width="10.59765625" style="71" customWidth="1"/>
    <col min="105" max="105" width="9" style="71" bestFit="1" customWidth="1"/>
    <col min="106" max="106" width="10.59765625" style="71" bestFit="1" customWidth="1"/>
    <col min="107" max="107" width="9.265625" style="71" bestFit="1" customWidth="1"/>
    <col min="108" max="108" width="11.73046875" style="71" bestFit="1" customWidth="1"/>
    <col min="109" max="109" width="8.3984375" style="71" bestFit="1" customWidth="1"/>
    <col min="110" max="110" width="9.3984375" style="71" bestFit="1" customWidth="1"/>
    <col min="111" max="111" width="9.73046875" style="71" bestFit="1" customWidth="1"/>
    <col min="112" max="112" width="11" style="71" bestFit="1" customWidth="1"/>
    <col min="113" max="113" width="9.3984375" style="71" bestFit="1" customWidth="1"/>
    <col min="114" max="115" width="9.3984375" style="71" customWidth="1"/>
    <col min="116" max="116" width="10.59765625" style="71" bestFit="1" customWidth="1"/>
    <col min="117" max="117" width="14.265625" style="71" customWidth="1"/>
    <col min="118" max="118" width="14" style="71" bestFit="1" customWidth="1"/>
    <col min="119" max="119" width="10.59765625" style="71" bestFit="1" customWidth="1"/>
    <col min="120" max="120" width="9.3984375" style="71" bestFit="1" customWidth="1"/>
    <col min="121" max="122" width="10.59765625" style="71" bestFit="1" customWidth="1"/>
    <col min="123" max="125" width="10.59765625" style="71" customWidth="1"/>
    <col min="126" max="126" width="9" style="71" bestFit="1" customWidth="1"/>
    <col min="127" max="127" width="10.59765625" style="71" bestFit="1" customWidth="1"/>
    <col min="128" max="128" width="9.265625" style="71" bestFit="1" customWidth="1"/>
    <col min="129" max="129" width="11.73046875" style="71" bestFit="1" customWidth="1"/>
    <col min="130" max="130" width="8.3984375" style="71" bestFit="1" customWidth="1"/>
    <col min="131" max="131" width="9.3984375" style="71" bestFit="1" customWidth="1"/>
    <col min="132" max="132" width="9.73046875" style="71" bestFit="1" customWidth="1"/>
    <col min="133" max="133" width="11" style="71" bestFit="1" customWidth="1"/>
    <col min="134" max="134" width="9.3984375" style="71" bestFit="1" customWidth="1"/>
    <col min="135" max="136" width="9.3984375" style="71" customWidth="1"/>
    <col min="137" max="137" width="10.59765625" style="71" bestFit="1" customWidth="1"/>
    <col min="138" max="139" width="14" style="71" customWidth="1"/>
    <col min="140" max="140" width="10.59765625" style="71" bestFit="1" customWidth="1"/>
    <col min="141" max="141" width="9.3984375" style="71" bestFit="1" customWidth="1"/>
    <col min="142" max="143" width="10.59765625" style="71" bestFit="1" customWidth="1"/>
    <col min="144" max="146" width="10.59765625" style="71" customWidth="1"/>
    <col min="147" max="147" width="9" style="71" bestFit="1" customWidth="1"/>
    <col min="148" max="148" width="10.59765625" style="71" bestFit="1" customWidth="1"/>
    <col min="149" max="149" width="9.265625" style="71" bestFit="1" customWidth="1"/>
    <col min="150" max="150" width="11.73046875" style="71" bestFit="1" customWidth="1"/>
    <col min="151" max="151" width="8.3984375" style="71" bestFit="1" customWidth="1"/>
    <col min="152" max="152" width="9.3984375" style="71" bestFit="1" customWidth="1"/>
    <col min="153" max="153" width="9.73046875" style="71" bestFit="1" customWidth="1"/>
    <col min="154" max="154" width="11" style="71" bestFit="1" customWidth="1"/>
    <col min="155" max="155" width="9.3984375" style="71" bestFit="1" customWidth="1"/>
    <col min="156" max="157" width="9.3984375" style="71" customWidth="1"/>
    <col min="158" max="158" width="11.3984375" style="71"/>
    <col min="159" max="160" width="14" style="71" bestFit="1" customWidth="1"/>
    <col min="161" max="161" width="10.59765625" style="71" bestFit="1" customWidth="1"/>
    <col min="162" max="162" width="9.3984375" style="71" bestFit="1" customWidth="1"/>
    <col min="163" max="164" width="10.59765625" style="71" bestFit="1" customWidth="1"/>
    <col min="165" max="167" width="10.59765625" style="71" customWidth="1"/>
    <col min="168" max="168" width="9" style="71" bestFit="1" customWidth="1"/>
    <col min="169" max="169" width="10.59765625" style="71" bestFit="1" customWidth="1"/>
    <col min="170" max="170" width="9.265625" style="71" bestFit="1" customWidth="1"/>
    <col min="171" max="171" width="11.73046875" style="71" bestFit="1" customWidth="1"/>
    <col min="172" max="172" width="8.1328125" style="71" bestFit="1" customWidth="1"/>
    <col min="173" max="173" width="9.3984375" style="71" bestFit="1" customWidth="1"/>
    <col min="174" max="174" width="9.73046875" style="71" bestFit="1" customWidth="1"/>
    <col min="175" max="175" width="11" style="71" bestFit="1" customWidth="1"/>
    <col min="176" max="176" width="9.3984375" style="71" bestFit="1" customWidth="1"/>
    <col min="177" max="178" width="9.3984375" style="71" customWidth="1"/>
    <col min="179" max="179" width="10.59765625" style="71" bestFit="1" customWidth="1"/>
    <col min="180" max="181" width="14" style="71" bestFit="1" customWidth="1"/>
    <col min="182" max="182" width="10.59765625" style="71" bestFit="1" customWidth="1"/>
    <col min="183" max="183" width="9.3984375" style="71" bestFit="1" customWidth="1"/>
    <col min="184" max="185" width="10.59765625" style="71" bestFit="1" customWidth="1"/>
    <col min="186" max="188" width="10.59765625" style="71" customWidth="1"/>
    <col min="189" max="189" width="9" style="71" bestFit="1" customWidth="1"/>
    <col min="190" max="190" width="10.59765625" style="71" bestFit="1" customWidth="1"/>
    <col min="191" max="191" width="9.265625" style="71" bestFit="1" customWidth="1"/>
    <col min="192" max="192" width="11.3984375" style="71"/>
    <col min="193" max="193" width="8.3984375" style="71" bestFit="1" customWidth="1"/>
    <col min="194" max="194" width="9.3984375" style="71" bestFit="1" customWidth="1"/>
    <col min="195" max="195" width="9.73046875" style="71" bestFit="1" customWidth="1"/>
    <col min="196" max="196" width="11" style="71" bestFit="1" customWidth="1"/>
    <col min="197" max="197" width="9.3984375" style="71" bestFit="1" customWidth="1"/>
    <col min="198" max="199" width="9.3984375" style="71" customWidth="1"/>
    <col min="200" max="200" width="10.59765625" style="71" bestFit="1" customWidth="1"/>
    <col min="201" max="201" width="14" style="71" customWidth="1"/>
    <col min="202" max="202" width="14.265625" style="71" customWidth="1"/>
    <col min="203" max="203" width="10.59765625" style="71" bestFit="1" customWidth="1"/>
    <col min="204" max="204" width="9.3984375" style="71" bestFit="1" customWidth="1"/>
    <col min="205" max="206" width="10.59765625" style="71" bestFit="1" customWidth="1"/>
    <col min="207" max="209" width="10.59765625" style="71" customWidth="1"/>
    <col min="210" max="210" width="9" style="71" bestFit="1" customWidth="1"/>
    <col min="211" max="211" width="10.59765625" style="71" bestFit="1" customWidth="1"/>
    <col min="212" max="212" width="9.265625" style="71" bestFit="1" customWidth="1"/>
    <col min="213" max="213" width="11.73046875" style="71" bestFit="1" customWidth="1"/>
    <col min="214" max="214" width="8.3984375" style="71" bestFit="1" customWidth="1"/>
    <col min="215" max="215" width="9.3984375" style="71" bestFit="1" customWidth="1"/>
    <col min="216" max="216" width="9.73046875" style="71" bestFit="1" customWidth="1"/>
    <col min="217" max="217" width="11" style="71" bestFit="1" customWidth="1"/>
    <col min="218" max="218" width="9.3984375" style="71" bestFit="1" customWidth="1"/>
    <col min="219" max="16384" width="11.3984375" style="71"/>
  </cols>
  <sheetData>
    <row r="1" spans="1:218" s="5" customFormat="1" ht="25.9" thickBot="1" x14ac:dyDescent="0.8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Tilleul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Noyer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Cormier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pubescent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7.4" thickBot="1" x14ac:dyDescent="0.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4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432.80275651765203</v>
      </c>
      <c r="T3" s="62">
        <f>IF('Données projet'!E9&gt;30,$R$33-$H$33,LOOKUP('Données projet'!$E$9,$A$3:$A$203,R3:R203)-LOOKUP('Données projet'!$E$9,$A$3:$A$203,$H$3:$H$203))</f>
        <v>203.89279893419919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273.21861937609918</v>
      </c>
      <c r="AO3" s="62">
        <f>IF('Données projet'!E10&gt;30,$AM$33-$H$33,LOOKUP('Données projet'!$E$10,$A$3:$A$203,AM3:AM203)-LOOKUP('Données projet'!$E$10,$A$3:$A$203,$H$3:$H$203))</f>
        <v>268.83004886965318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319.01020001288975</v>
      </c>
      <c r="BJ3" s="62">
        <f>IF('Données projet'!E11&gt;30,$BH$33-$H$33,LOOKUP('Données projet'!$E$11,$A$3:$A$203,BH3:BH203)-LOOKUP('Données projet'!$E$11,$A$3:$A$203,$H$3:$H$203))</f>
        <v>312.22190035638084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405.06394904053946</v>
      </c>
      <c r="CE3" s="62">
        <f>IF('Données projet'!E12&gt;30,$CC$33-$H$33,LOOKUP('Données projet'!$E$12,$A$3:$A$203,CC3:CC203)-LOOKUP('Données projet'!$E$12,$A$3:$A$203,$H$3:$H$203))</f>
        <v>393.75247087518198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474.46836359712393</v>
      </c>
      <c r="CZ3" s="62">
        <f>IF('Données projet'!E13&gt;30,$CX$33-$H$33,LOOKUP('Données projet'!$E$13,$A$3:$A$203,CX3:CX203)-LOOKUP('Données projet'!$E$13,$A$3:$A$203,$H$3:$H$203))</f>
        <v>221.28699636637722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4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2.4423076923076925</v>
      </c>
      <c r="N4" s="14">
        <f>IF('Données projet'!$A$36&gt;35,N3+M4-V3,IF(A4&lt;'Données projet'!$A$36,$K$205^A4,IF(A4='Données projet'!$A$36,'Données projet'!$B$36,N3+M4-V3)))</f>
        <v>2.4423076923076925</v>
      </c>
      <c r="O4" s="14">
        <f>N4*VLOOKUP('Données projet'!$B$9,Paramètres!$A$1:$I$89,3,0)*VLOOKUP('Données projet'!$B$9,Paramètres!$A$1:$I$89,5,0)</f>
        <v>2.2098</v>
      </c>
      <c r="P4" s="14">
        <f>EXP(-1.0587+0.8836*LN(O4)+0.284)</f>
        <v>0.92858646361688846</v>
      </c>
      <c r="Q4" s="22">
        <f t="shared" ref="Q4:Q34" si="2">(O4+P4)*0.475*44/12</f>
        <v>5.4660230907994141</v>
      </c>
      <c r="R4" s="62">
        <f t="shared" si="0"/>
        <v>173.27845704372325</v>
      </c>
      <c r="S4" s="62">
        <f ca="1">AVERAGE(OFFSET($R$3,0,0,'Données projet'!$E$9+1,1))-AVERAGE(OFFSET($H$3,0,0,'Données projet'!$E$9+1,1))</f>
        <v>432.80275651765203</v>
      </c>
      <c r="T4" s="62">
        <f>$T$3</f>
        <v>203.89279893419919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2.6666666666666665</v>
      </c>
      <c r="AI4" s="14">
        <f>IF('Données projet'!$A$62&gt;35,AI3+AH4-AQ3,IF(A4&lt;'Données projet'!$A$62,$AF$205^A4,IF(A4='Données projet'!$A$62,'Données projet'!$B$62,AI3+AH4-AQ3)))</f>
        <v>1.2788040393997409</v>
      </c>
      <c r="AJ4" s="14">
        <f>AI4*VLOOKUP('Données projet'!$B$10,Paramètres!$A$1:$I$89,3,0)*VLOOKUP('Données projet'!$B$10,Paramètres!$A$1:$I$89,5,0)</f>
        <v>0.85782174962934621</v>
      </c>
      <c r="AK4" s="14">
        <f>EXP(-1.0587+0.8836*LN(AJ4)+0.284)</f>
        <v>0.40244051974743428</v>
      </c>
      <c r="AL4" s="22">
        <f t="shared" ref="AL4:AL67" si="4">(AJ4+AK4)*0.475*44/12</f>
        <v>2.1949567858312258</v>
      </c>
      <c r="AM4" s="62">
        <f t="shared" ref="AM4:AM67" si="5">AL4+(AD4+AE4)*44/12</f>
        <v>170.00739073875508</v>
      </c>
      <c r="AN4" s="62">
        <f ca="1">AVERAGE(OFFSET($AM$3,0,0,'Données projet'!$E$10+1,1))-AVERAGE(OFFSET($H$3,0,0,'Données projet'!$E$10+1,1))</f>
        <v>273.21861937609918</v>
      </c>
      <c r="AO4" s="62">
        <f>$AO$3</f>
        <v>268.83004886965318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1.0373658367610699</v>
      </c>
      <c r="BF4" s="14">
        <f>EXP(-1.0587+0.8836*LN(BE4)+0.284)</f>
        <v>0.47602474416737472</v>
      </c>
      <c r="BG4" s="22">
        <f t="shared" ref="BG4:BG67" si="7">(BE4+BF4)*0.475*44/12</f>
        <v>2.6358219284503748</v>
      </c>
      <c r="BH4" s="62">
        <f t="shared" ref="BH4:BH67" si="8">BG4+(AY4+AZ4)*44/12</f>
        <v>170.44825588137422</v>
      </c>
      <c r="BI4" s="62">
        <f ca="1">AVERAGE(OFFSET($BH$3,0,0,'Données projet'!$E$11+1,1))-AVERAGE(OFFSET($H$3,0,0,'Données projet'!$E$11+1,1))</f>
        <v>319.01020001288975</v>
      </c>
      <c r="BJ4" s="62">
        <f>$BJ$3</f>
        <v>312.22190035638084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1.3765046680098809</v>
      </c>
      <c r="CA4" s="14">
        <f>EXP(-1.0587+0.8836*LN(BZ4)+0.284)</f>
        <v>0.6111897052151255</v>
      </c>
      <c r="CB4" s="22">
        <f t="shared" ref="CB4:CB67" si="10">(BZ4+CA4)*0.475*44/12</f>
        <v>3.4619010333668858</v>
      </c>
      <c r="CC4" s="62">
        <f t="shared" ref="CC4:CC67" si="11">CB4+(BT4+BU4)*44/12</f>
        <v>171.27433498629074</v>
      </c>
      <c r="CD4" s="62">
        <f ca="1">AVERAGE(OFFSET($CC$3,0,0,'Données projet'!$E$12+1,1))-AVERAGE(OFFSET($H$3,0,0,'Données projet'!$E$12+1,1))</f>
        <v>405.06394904053946</v>
      </c>
      <c r="CE4" s="62">
        <f>$CE$3</f>
        <v>393.75247087518198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2.4423076923076925</v>
      </c>
      <c r="CT4" s="13">
        <f>IF('Données projet'!$A$140&gt;35,CT3+CS4-DB3,IF(A4&lt;'Données projet'!$A$140,$CQ$205^A4,IF(A4='Données projet'!$A$140,'Données projet'!$B$140,CT3+CS4-DB3)))</f>
        <v>2.4423076923076925</v>
      </c>
      <c r="CU4" s="18">
        <f>CT4*VLOOKUP('Données projet'!$B$13,Paramètres!$A$1:$I$89,3,0)*VLOOKUP('Données projet'!$B$13,Paramètres!$A$1:$I$89,5,0)</f>
        <v>2.4765000000000001</v>
      </c>
      <c r="CV4" s="14">
        <f>EXP(-1.0587+0.8836*LN(CU4)+0.284)</f>
        <v>1.026946018105692</v>
      </c>
      <c r="CW4" s="22">
        <f t="shared" ref="CW4:CW67" si="13">(CU4+CV4)*0.475*44/12</f>
        <v>6.101835148200748</v>
      </c>
      <c r="CX4" s="62">
        <f t="shared" ref="CX4:CX67" si="14">CW4+(CO4+CP4)*44/12</f>
        <v>173.91426910112457</v>
      </c>
      <c r="CY4" s="62">
        <f ca="1">AVERAGE(OFFSET($CX$3,0,0,'Données projet'!$E$13+1,1))-AVERAGE(OFFSET($H$3,0,0,'Données projet'!$E$13+1,1))</f>
        <v>474.46836359712393</v>
      </c>
      <c r="CZ4" s="62">
        <f>$CZ$3</f>
        <v>221.28699636637722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4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2.4423076923076925</v>
      </c>
      <c r="N5" s="14">
        <f>IF('Données projet'!$A$36&gt;35,N4+M5-V4,IF(A5&lt;'Données projet'!$A$36,$K$205^A5,IF(A5='Données projet'!$A$36,'Données projet'!$B$36,N4+M5-V4)))</f>
        <v>4.884615384615385</v>
      </c>
      <c r="O5" s="14">
        <f>N5*VLOOKUP('Données projet'!$B$9,Paramètres!$A$1:$I$89,3,0)*VLOOKUP('Données projet'!$B$9,Paramètres!$A$1:$I$89,5,0)</f>
        <v>4.4196</v>
      </c>
      <c r="P5" s="14">
        <f t="shared" ref="P5:P68" si="33">EXP(-1.0587+0.8836*LN(O5)+0.284)</f>
        <v>1.7132173056110989</v>
      </c>
      <c r="Q5" s="22">
        <f t="shared" si="2"/>
        <v>10.681323473939329</v>
      </c>
      <c r="R5" s="62">
        <f t="shared" si="0"/>
        <v>181.27860476144016</v>
      </c>
      <c r="S5" s="62">
        <f ca="1">AVERAGE(OFFSET($R$3,0,0,'Données projet'!$E$9+1,1))-AVERAGE(OFFSET($H$3,0,0,'Données projet'!$E$9+1,1))</f>
        <v>432.80275651765203</v>
      </c>
      <c r="T5" s="62">
        <f t="shared" ref="T5:T68" si="34">$T$3</f>
        <v>203.89279893419919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2.6666666666666665</v>
      </c>
      <c r="AI5" s="14">
        <f>IF('Données projet'!$A$62&gt;35,AI4+AH5-AQ4,IF(A5&lt;'Données projet'!$A$62,$AF$205^A5,IF(A5='Données projet'!$A$62,'Données projet'!$B$62,AI4+AH5-AQ4)))</f>
        <v>1.6353397711850939</v>
      </c>
      <c r="AJ5" s="14">
        <f>AI5*VLOOKUP('Données projet'!$B$10,Paramètres!$A$1:$I$89,3,0)*VLOOKUP('Données projet'!$B$10,Paramètres!$A$1:$I$89,5,0)</f>
        <v>1.0969859185109609</v>
      </c>
      <c r="AK5" s="14">
        <f t="shared" ref="AK5:AK68" si="35">EXP(-1.0587+0.8836*LN(AJ5)+0.284)</f>
        <v>0.50011941569199869</v>
      </c>
      <c r="AL5" s="22">
        <f t="shared" si="4"/>
        <v>2.7816251237368212</v>
      </c>
      <c r="AM5" s="62">
        <f t="shared" si="5"/>
        <v>173.37890641123766</v>
      </c>
      <c r="AN5" s="62">
        <f ca="1">AVERAGE(OFFSET($AM$3,0,0,'Données projet'!$E$10+1,1))-AVERAGE(OFFSET($H$3,0,0,'Données projet'!$E$10+1,1))</f>
        <v>273.21861937609918</v>
      </c>
      <c r="AO5" s="62">
        <f t="shared" ref="AO5:AO68" si="36">$AO$3</f>
        <v>268.83004886965318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1.3265876223853483</v>
      </c>
      <c r="BF5" s="14">
        <f t="shared" ref="BF5:BF68" si="37">EXP(-1.0587+0.8836*LN(BE5)+0.284)</f>
        <v>0.59156373482801727</v>
      </c>
      <c r="BG5" s="22">
        <f t="shared" si="7"/>
        <v>3.3407802804799442</v>
      </c>
      <c r="BH5" s="62">
        <f t="shared" si="8"/>
        <v>173.93806156798078</v>
      </c>
      <c r="BI5" s="62">
        <f ca="1">AVERAGE(OFFSET($BH$3,0,0,'Données projet'!$E$11+1,1))-AVERAGE(OFFSET($H$3,0,0,'Données projet'!$E$11+1,1))</f>
        <v>319.01020001288975</v>
      </c>
      <c r="BJ5" s="62">
        <f t="shared" ref="BJ5:BJ68" si="38">$BJ$3</f>
        <v>312.22190035638084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1.760279729703635</v>
      </c>
      <c r="CA5" s="14">
        <f t="shared" ref="CA5:CA68" si="39">EXP(-1.0587+0.8836*LN(BZ5)+0.284)</f>
        <v>0.75953544250709681</v>
      </c>
      <c r="CB5" s="22">
        <f t="shared" si="10"/>
        <v>4.3886780916003572</v>
      </c>
      <c r="CC5" s="62">
        <f t="shared" si="11"/>
        <v>174.98595937910119</v>
      </c>
      <c r="CD5" s="62">
        <f ca="1">AVERAGE(OFFSET($CC$3,0,0,'Données projet'!$E$12+1,1))-AVERAGE(OFFSET($H$3,0,0,'Données projet'!$E$12+1,1))</f>
        <v>405.06394904053946</v>
      </c>
      <c r="CE5" s="62">
        <f t="shared" ref="CE5:CE68" si="40">$CE$3</f>
        <v>393.75247087518198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2.4423076923076925</v>
      </c>
      <c r="CT5" s="13">
        <f>IF('Données projet'!$A$140&gt;35,CT4+CS5-DB4,IF(A5&lt;'Données projet'!$A$140,$CQ$205^A5,IF(A5='Données projet'!$A$140,'Données projet'!$B$140,CT4+CS5-DB4)))</f>
        <v>4.884615384615385</v>
      </c>
      <c r="CU5" s="18">
        <f>CT5*VLOOKUP('Données projet'!$B$13,Paramètres!$A$1:$I$89,3,0)*VLOOKUP('Données projet'!$B$13,Paramètres!$A$1:$I$89,5,0)</f>
        <v>4.9530000000000003</v>
      </c>
      <c r="CV5" s="14">
        <f t="shared" ref="CV5:CV68" si="41">EXP(-1.0587+0.8836*LN(CU5)+0.284)</f>
        <v>1.8946880652278786</v>
      </c>
      <c r="CW5" s="22">
        <f t="shared" si="13"/>
        <v>11.926390046938556</v>
      </c>
      <c r="CX5" s="62">
        <f t="shared" si="14"/>
        <v>182.5236713344394</v>
      </c>
      <c r="CY5" s="62">
        <f ca="1">AVERAGE(OFFSET($CX$3,0,0,'Données projet'!$E$13+1,1))-AVERAGE(OFFSET($H$3,0,0,'Données projet'!$E$13+1,1))</f>
        <v>474.46836359712393</v>
      </c>
      <c r="CZ5" s="62">
        <f t="shared" ref="CZ5:CZ68" si="42">$CZ$3</f>
        <v>221.28699636637722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4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2.4423076923076925</v>
      </c>
      <c r="N6" s="14">
        <f>IF('Données projet'!$A$36&gt;35,N5+M6-V5,IF(A6&lt;'Données projet'!$A$36,$K$205^A6,IF(A6='Données projet'!$A$36,'Données projet'!$B$36,N5+M6-V5)))</f>
        <v>7.3269230769230775</v>
      </c>
      <c r="O6" s="14">
        <f>N6*VLOOKUP('Données projet'!$B$9,Paramètres!$A$1:$I$89,3,0)*VLOOKUP('Données projet'!$B$9,Paramètres!$A$1:$I$89,5,0)</f>
        <v>6.6293999999999995</v>
      </c>
      <c r="P6" s="14">
        <f t="shared" si="33"/>
        <v>2.4513577079413515</v>
      </c>
      <c r="Q6" s="22">
        <f t="shared" si="2"/>
        <v>15.815653007997854</v>
      </c>
      <c r="R6" s="62">
        <f t="shared" si="0"/>
        <v>189.17067357788275</v>
      </c>
      <c r="S6" s="62">
        <f ca="1">AVERAGE(OFFSET($R$3,0,0,'Données projet'!$E$9+1,1))-AVERAGE(OFFSET($H$3,0,0,'Données projet'!$E$9+1,1))</f>
        <v>432.80275651765203</v>
      </c>
      <c r="T6" s="62">
        <f t="shared" si="34"/>
        <v>203.89279893419919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2.6666666666666665</v>
      </c>
      <c r="AI6" s="14">
        <f>IF('Données projet'!$A$62&gt;35,AI5+AH6-AQ5,IF(A6&lt;'Données projet'!$A$62,$AF$205^A6,IF(A6='Données projet'!$A$62,'Données projet'!$B$62,AI5+AH6-AQ5)))</f>
        <v>2.0912791051825459</v>
      </c>
      <c r="AJ6" s="14">
        <f>AI6*VLOOKUP('Données projet'!$B$10,Paramètres!$A$1:$I$89,3,0)*VLOOKUP('Données projet'!$B$10,Paramètres!$A$1:$I$89,5,0)</f>
        <v>1.4028300237564517</v>
      </c>
      <c r="AK6" s="14">
        <f t="shared" si="35"/>
        <v>0.62150657719326441</v>
      </c>
      <c r="AL6" s="22">
        <f t="shared" si="4"/>
        <v>3.5257195799874221</v>
      </c>
      <c r="AM6" s="62">
        <f t="shared" si="5"/>
        <v>176.88074014987231</v>
      </c>
      <c r="AN6" s="62">
        <f ca="1">AVERAGE(OFFSET($AM$3,0,0,'Données projet'!$E$10+1,1))-AVERAGE(OFFSET($H$3,0,0,'Données projet'!$E$10+1,1))</f>
        <v>273.21861937609918</v>
      </c>
      <c r="AO6" s="62">
        <f t="shared" si="36"/>
        <v>268.83004886965318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1.6964456101240815</v>
      </c>
      <c r="BF6" s="14">
        <f t="shared" si="37"/>
        <v>0.73514592812979451</v>
      </c>
      <c r="BG6" s="22">
        <f t="shared" si="7"/>
        <v>4.2350219291255007</v>
      </c>
      <c r="BH6" s="62">
        <f t="shared" si="8"/>
        <v>177.59004249901039</v>
      </c>
      <c r="BI6" s="62">
        <f ca="1">AVERAGE(OFFSET($BH$3,0,0,'Données projet'!$E$11+1,1))-AVERAGE(OFFSET($H$3,0,0,'Données projet'!$E$11+1,1))</f>
        <v>319.01020001288975</v>
      </c>
      <c r="BJ6" s="62">
        <f t="shared" si="38"/>
        <v>312.22190035638084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2.2510528288184921</v>
      </c>
      <c r="CA6" s="14">
        <f t="shared" si="39"/>
        <v>0.94388711639276912</v>
      </c>
      <c r="CB6" s="22">
        <f t="shared" si="10"/>
        <v>5.5645204045762791</v>
      </c>
      <c r="CC6" s="62">
        <f t="shared" si="11"/>
        <v>178.91954097446117</v>
      </c>
      <c r="CD6" s="62">
        <f ca="1">AVERAGE(OFFSET($CC$3,0,0,'Données projet'!$E$12+1,1))-AVERAGE(OFFSET($H$3,0,0,'Données projet'!$E$12+1,1))</f>
        <v>405.06394904053946</v>
      </c>
      <c r="CE6" s="62">
        <f t="shared" si="40"/>
        <v>393.75247087518198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2.4423076923076925</v>
      </c>
      <c r="CT6" s="13">
        <f>IF('Données projet'!$A$140&gt;35,CT5+CS6-DB5,IF(A6&lt;'Données projet'!$A$140,$CQ$205^A6,IF(A6='Données projet'!$A$140,'Données projet'!$B$140,CT5+CS6-DB5)))</f>
        <v>7.3269230769230775</v>
      </c>
      <c r="CU6" s="18">
        <f>CT6*VLOOKUP('Données projet'!$B$13,Paramètres!$A$1:$I$89,3,0)*VLOOKUP('Données projet'!$B$13,Paramètres!$A$1:$I$89,5,0)</f>
        <v>7.4295000000000009</v>
      </c>
      <c r="CV6" s="14">
        <f t="shared" si="41"/>
        <v>2.7110152212618175</v>
      </c>
      <c r="CW6" s="22">
        <f t="shared" si="13"/>
        <v>17.661397343697665</v>
      </c>
      <c r="CX6" s="62">
        <f t="shared" si="14"/>
        <v>191.01641791358256</v>
      </c>
      <c r="CY6" s="62">
        <f ca="1">AVERAGE(OFFSET($CX$3,0,0,'Données projet'!$E$13+1,1))-AVERAGE(OFFSET($H$3,0,0,'Données projet'!$E$13+1,1))</f>
        <v>474.46836359712393</v>
      </c>
      <c r="CZ6" s="62">
        <f t="shared" si="42"/>
        <v>221.28699636637722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4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2.4423076923076925</v>
      </c>
      <c r="N7" s="14">
        <f>IF('Données projet'!$A$36&gt;35,N6+M7-V6,IF(A7&lt;'Données projet'!$A$36,$K$205^A7,IF(A7='Données projet'!$A$36,'Données projet'!$B$36,N6+M7-V6)))</f>
        <v>9.7692307692307701</v>
      </c>
      <c r="O7" s="14">
        <f>N7*VLOOKUP('Données projet'!$B$9,Paramètres!$A$1:$I$89,3,0)*VLOOKUP('Données projet'!$B$9,Paramètres!$A$1:$I$89,5,0)</f>
        <v>8.8391999999999999</v>
      </c>
      <c r="P7" s="14">
        <f t="shared" si="33"/>
        <v>3.1608403215495366</v>
      </c>
      <c r="Q7" s="22">
        <f t="shared" si="2"/>
        <v>20.900070226698777</v>
      </c>
      <c r="R7" s="62">
        <f t="shared" si="0"/>
        <v>196.98619229087572</v>
      </c>
      <c r="S7" s="62">
        <f ca="1">AVERAGE(OFFSET($R$3,0,0,'Données projet'!$E$9+1,1))-AVERAGE(OFFSET($H$3,0,0,'Données projet'!$E$9+1,1))</f>
        <v>432.80275651765203</v>
      </c>
      <c r="T7" s="62">
        <f t="shared" si="34"/>
        <v>203.89279893419919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2.6666666666666665</v>
      </c>
      <c r="AI7" s="14">
        <f>IF('Données projet'!$A$62&gt;35,AI6+AH7-AQ6,IF(A7&lt;'Données projet'!$A$62,$AF$205^A7,IF(A7='Données projet'!$A$62,'Données projet'!$B$62,AI6+AH7-AQ6)))</f>
        <v>2.6743361672197152</v>
      </c>
      <c r="AJ7" s="14">
        <f>AI7*VLOOKUP('Données projet'!$B$10,Paramètres!$A$1:$I$89,3,0)*VLOOKUP('Données projet'!$B$10,Paramètres!$A$1:$I$89,5,0)</f>
        <v>1.7939447009709848</v>
      </c>
      <c r="AK7" s="14">
        <f t="shared" si="35"/>
        <v>0.77235638804387863</v>
      </c>
      <c r="AL7" s="22">
        <f t="shared" si="4"/>
        <v>4.4696410633675532</v>
      </c>
      <c r="AM7" s="62">
        <f t="shared" si="5"/>
        <v>180.55576312754451</v>
      </c>
      <c r="AN7" s="62">
        <f ca="1">AVERAGE(OFFSET($AM$3,0,0,'Données projet'!$E$10+1,1))-AVERAGE(OFFSET($H$3,0,0,'Données projet'!$E$10+1,1))</f>
        <v>273.21861937609918</v>
      </c>
      <c r="AO7" s="62">
        <f t="shared" si="36"/>
        <v>268.83004886965318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2.1694214988486329</v>
      </c>
      <c r="BF7" s="14">
        <f t="shared" si="37"/>
        <v>0.91357786799242624</v>
      </c>
      <c r="BG7" s="22">
        <f t="shared" si="7"/>
        <v>5.3695572305815107</v>
      </c>
      <c r="BH7" s="62">
        <f t="shared" si="8"/>
        <v>181.45567929475845</v>
      </c>
      <c r="BI7" s="62">
        <f ca="1">AVERAGE(OFFSET($BH$3,0,0,'Données projet'!$E$11+1,1))-AVERAGE(OFFSET($H$3,0,0,'Données projet'!$E$11+1,1))</f>
        <v>319.01020001288975</v>
      </c>
      <c r="BJ7" s="62">
        <f t="shared" si="38"/>
        <v>312.22190035638084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2.8786554503953012</v>
      </c>
      <c r="CA7" s="14">
        <f t="shared" si="39"/>
        <v>1.1729839565504312</v>
      </c>
      <c r="CB7" s="22">
        <f t="shared" si="10"/>
        <v>7.0566053004304825</v>
      </c>
      <c r="CC7" s="62">
        <f t="shared" si="11"/>
        <v>183.14272736460742</v>
      </c>
      <c r="CD7" s="62">
        <f ca="1">AVERAGE(OFFSET($CC$3,0,0,'Données projet'!$E$12+1,1))-AVERAGE(OFFSET($H$3,0,0,'Données projet'!$E$12+1,1))</f>
        <v>405.06394904053946</v>
      </c>
      <c r="CE7" s="62">
        <f t="shared" si="40"/>
        <v>393.75247087518198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2.4423076923076925</v>
      </c>
      <c r="CT7" s="13">
        <f>IF('Données projet'!$A$140&gt;35,CT6+CS7-DB6,IF(A7&lt;'Données projet'!$A$140,$CQ$205^A7,IF(A7='Données projet'!$A$140,'Données projet'!$B$140,CT6+CS7-DB6)))</f>
        <v>9.7692307692307701</v>
      </c>
      <c r="CU7" s="18">
        <f>CT7*VLOOKUP('Données projet'!$B$13,Paramètres!$A$1:$I$89,3,0)*VLOOKUP('Données projet'!$B$13,Paramètres!$A$1:$I$89,5,0)</f>
        <v>9.9060000000000006</v>
      </c>
      <c r="CV7" s="14">
        <f t="shared" si="41"/>
        <v>3.4956490421364084</v>
      </c>
      <c r="CW7" s="22">
        <f t="shared" si="13"/>
        <v>23.341205415054247</v>
      </c>
      <c r="CX7" s="62">
        <f t="shared" si="14"/>
        <v>199.4273274792312</v>
      </c>
      <c r="CY7" s="62">
        <f ca="1">AVERAGE(OFFSET($CX$3,0,0,'Données projet'!$E$13+1,1))-AVERAGE(OFFSET($H$3,0,0,'Données projet'!$E$13+1,1))</f>
        <v>474.46836359712393</v>
      </c>
      <c r="CZ7" s="62">
        <f t="shared" si="42"/>
        <v>221.28699636637722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4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2.4423076923076925</v>
      </c>
      <c r="N8" s="14">
        <f>IF('Données projet'!$A$36&gt;35,N7+M8-V7,IF(A8&lt;'Données projet'!$A$36,$K$205^A8,IF(A8='Données projet'!$A$36,'Données projet'!$B$36,N7+M8-V7)))</f>
        <v>12.211538461538463</v>
      </c>
      <c r="O8" s="14">
        <f>N8*VLOOKUP('Données projet'!$B$9,Paramètres!$A$1:$I$89,3,0)*VLOOKUP('Données projet'!$B$9,Paramètres!$A$1:$I$89,5,0)</f>
        <v>11.049000000000001</v>
      </c>
      <c r="P8" s="14">
        <f t="shared" si="33"/>
        <v>3.8497474884354701</v>
      </c>
      <c r="Q8" s="22">
        <f t="shared" si="2"/>
        <v>25.94865187569178</v>
      </c>
      <c r="R8" s="62">
        <f t="shared" si="0"/>
        <v>204.73969975213913</v>
      </c>
      <c r="S8" s="62">
        <f ca="1">AVERAGE(OFFSET($R$3,0,0,'Données projet'!$E$9+1,1))-AVERAGE(OFFSET($H$3,0,0,'Données projet'!$E$9+1,1))</f>
        <v>432.80275651765203</v>
      </c>
      <c r="T8" s="62">
        <f t="shared" si="34"/>
        <v>203.89279893419919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2.6666666666666665</v>
      </c>
      <c r="AI8" s="14">
        <f>IF('Données projet'!$A$62&gt;35,AI7+AH8-AQ7,IF(A8&lt;'Données projet'!$A$62,$AF$205^A8,IF(A8='Données projet'!$A$62,'Données projet'!$B$62,AI7+AH8-AQ7)))</f>
        <v>3.4199518933533928</v>
      </c>
      <c r="AJ8" s="14">
        <f>AI8*VLOOKUP('Données projet'!$B$10,Paramètres!$A$1:$I$89,3,0)*VLOOKUP('Données projet'!$B$10,Paramètres!$A$1:$I$89,5,0)</f>
        <v>2.294103730061456</v>
      </c>
      <c r="AK8" s="14">
        <f t="shared" si="35"/>
        <v>0.95981991509429754</v>
      </c>
      <c r="AL8" s="22">
        <f t="shared" si="4"/>
        <v>5.6672503486462702</v>
      </c>
      <c r="AM8" s="62">
        <f t="shared" si="5"/>
        <v>184.45829822509361</v>
      </c>
      <c r="AN8" s="62">
        <f ca="1">AVERAGE(OFFSET($AM$3,0,0,'Données projet'!$E$10+1,1))-AVERAGE(OFFSET($H$3,0,0,'Données projet'!$E$10+1,1))</f>
        <v>273.21861937609918</v>
      </c>
      <c r="AO8" s="62">
        <f t="shared" si="36"/>
        <v>268.83004886965318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2.7742649758882725</v>
      </c>
      <c r="BF8" s="14">
        <f t="shared" si="37"/>
        <v>1.1353181578640659</v>
      </c>
      <c r="BG8" s="22">
        <f t="shared" si="7"/>
        <v>6.8091906246186555</v>
      </c>
      <c r="BH8" s="62">
        <f t="shared" si="8"/>
        <v>185.600238501066</v>
      </c>
      <c r="BI8" s="62">
        <f ca="1">AVERAGE(OFFSET($BH$3,0,0,'Données projet'!$E$11+1,1))-AVERAGE(OFFSET($H$3,0,0,'Données projet'!$E$11+1,1))</f>
        <v>319.01020001288975</v>
      </c>
      <c r="BJ8" s="62">
        <f t="shared" si="38"/>
        <v>312.22190035638084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3.6812362180055915</v>
      </c>
      <c r="CA8" s="14">
        <f t="shared" si="39"/>
        <v>1.4576863466289429</v>
      </c>
      <c r="CB8" s="22">
        <f t="shared" si="10"/>
        <v>8.950290133405149</v>
      </c>
      <c r="CC8" s="62">
        <f t="shared" si="11"/>
        <v>187.74133800985251</v>
      </c>
      <c r="CD8" s="62">
        <f ca="1">AVERAGE(OFFSET($CC$3,0,0,'Données projet'!$E$12+1,1))-AVERAGE(OFFSET($H$3,0,0,'Données projet'!$E$12+1,1))</f>
        <v>405.06394904053946</v>
      </c>
      <c r="CE8" s="62">
        <f t="shared" si="40"/>
        <v>393.75247087518198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2.4423076923076925</v>
      </c>
      <c r="CT8" s="13">
        <f>IF('Données projet'!$A$140&gt;35,CT7+CS8-DB7,IF(A8&lt;'Données projet'!$A$140,$CQ$205^A8,IF(A8='Données projet'!$A$140,'Données projet'!$B$140,CT7+CS8-DB7)))</f>
        <v>12.211538461538463</v>
      </c>
      <c r="CU8" s="18">
        <f>CT8*VLOOKUP('Données projet'!$B$13,Paramètres!$A$1:$I$89,3,0)*VLOOKUP('Données projet'!$B$13,Paramètres!$A$1:$I$89,5,0)</f>
        <v>12.382500000000004</v>
      </c>
      <c r="CV8" s="14">
        <f t="shared" si="41"/>
        <v>4.2575279835139872</v>
      </c>
      <c r="CW8" s="22">
        <f t="shared" si="13"/>
        <v>28.98138207128687</v>
      </c>
      <c r="CX8" s="62">
        <f t="shared" si="14"/>
        <v>207.77242994773422</v>
      </c>
      <c r="CY8" s="62">
        <f ca="1">AVERAGE(OFFSET($CX$3,0,0,'Données projet'!$E$13+1,1))-AVERAGE(OFFSET($H$3,0,0,'Données projet'!$E$13+1,1))</f>
        <v>474.46836359712393</v>
      </c>
      <c r="CZ8" s="62">
        <f t="shared" si="42"/>
        <v>221.28699636637722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4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2.4423076923076925</v>
      </c>
      <c r="N9" s="14">
        <f>IF('Données projet'!$A$36&gt;35,N8+M9-V8,IF(A9&lt;'Données projet'!$A$36,$K$205^A9,IF(A9='Données projet'!$A$36,'Données projet'!$B$36,N8+M9-V8)))</f>
        <v>14.653846153846157</v>
      </c>
      <c r="O9" s="14">
        <f>N9*VLOOKUP('Données projet'!$B$9,Paramètres!$A$1:$I$89,3,0)*VLOOKUP('Données projet'!$B$9,Paramètres!$A$1:$I$89,5,0)</f>
        <v>13.258800000000003</v>
      </c>
      <c r="P9" s="14">
        <f t="shared" si="33"/>
        <v>4.5226897139230511</v>
      </c>
      <c r="Q9" s="22">
        <f t="shared" si="2"/>
        <v>30.969427918415988</v>
      </c>
      <c r="R9" s="62">
        <f t="shared" si="0"/>
        <v>212.43968001467496</v>
      </c>
      <c r="S9" s="62">
        <f ca="1">AVERAGE(OFFSET($R$3,0,0,'Données projet'!$E$9+1,1))-AVERAGE(OFFSET($H$3,0,0,'Données projet'!$E$9+1,1))</f>
        <v>432.80275651765203</v>
      </c>
      <c r="T9" s="62">
        <f t="shared" si="34"/>
        <v>203.89279893419919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2.6666666666666665</v>
      </c>
      <c r="AI9" s="14">
        <f>IF('Données projet'!$A$62&gt;35,AI8+AH9-AQ8,IF(A9&lt;'Données projet'!$A$62,$AF$205^A9,IF(A9='Données projet'!$A$62,'Données projet'!$B$62,AI8+AH9-AQ8)))</f>
        <v>4.3734482957731098</v>
      </c>
      <c r="AJ9" s="14">
        <f>AI9*VLOOKUP('Données projet'!$B$10,Paramètres!$A$1:$I$89,3,0)*VLOOKUP('Données projet'!$B$10,Paramètres!$A$1:$I$89,5,0)</f>
        <v>2.9337091168046019</v>
      </c>
      <c r="AK9" s="14">
        <f t="shared" si="35"/>
        <v>1.1927839060732757</v>
      </c>
      <c r="AL9" s="22">
        <f t="shared" si="4"/>
        <v>7.1869753481789695</v>
      </c>
      <c r="AM9" s="62">
        <f t="shared" si="5"/>
        <v>188.65722744443795</v>
      </c>
      <c r="AN9" s="62">
        <f ca="1">AVERAGE(OFFSET($AM$3,0,0,'Données projet'!$E$10+1,1))-AVERAGE(OFFSET($H$3,0,0,'Données projet'!$E$10+1,1))</f>
        <v>273.21861937609918</v>
      </c>
      <c r="AO9" s="62">
        <f t="shared" si="36"/>
        <v>268.83004886965318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3.5477412575311469</v>
      </c>
      <c r="BF9" s="14">
        <f t="shared" si="37"/>
        <v>1.4108784425878202</v>
      </c>
      <c r="BG9" s="22">
        <f t="shared" si="7"/>
        <v>8.6362626443738666</v>
      </c>
      <c r="BH9" s="62">
        <f t="shared" si="8"/>
        <v>190.10651474063283</v>
      </c>
      <c r="BI9" s="62">
        <f ca="1">AVERAGE(OFFSET($BH$3,0,0,'Données projet'!$E$11+1,1))-AVERAGE(OFFSET($H$3,0,0,'Données projet'!$E$11+1,1))</f>
        <v>319.01020001288975</v>
      </c>
      <c r="BJ9" s="62">
        <f t="shared" si="38"/>
        <v>312.22190035638084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4.7075797455701753</v>
      </c>
      <c r="CA9" s="14">
        <f t="shared" si="39"/>
        <v>1.8114906630072738</v>
      </c>
      <c r="CB9" s="22">
        <f t="shared" si="10"/>
        <v>11.35404762827239</v>
      </c>
      <c r="CC9" s="62">
        <f t="shared" si="11"/>
        <v>192.82429972453136</v>
      </c>
      <c r="CD9" s="62">
        <f ca="1">AVERAGE(OFFSET($CC$3,0,0,'Données projet'!$E$12+1,1))-AVERAGE(OFFSET($H$3,0,0,'Données projet'!$E$12+1,1))</f>
        <v>405.06394904053946</v>
      </c>
      <c r="CE9" s="62">
        <f t="shared" si="40"/>
        <v>393.75247087518198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2.4423076923076925</v>
      </c>
      <c r="CT9" s="13">
        <f>IF('Données projet'!$A$140&gt;35,CT8+CS9-DB8,IF(A9&lt;'Données projet'!$A$140,$CQ$205^A9,IF(A9='Données projet'!$A$140,'Données projet'!$B$140,CT8+CS9-DB8)))</f>
        <v>14.653846153846157</v>
      </c>
      <c r="CU9" s="18">
        <f>CT9*VLOOKUP('Données projet'!$B$13,Paramètres!$A$1:$I$89,3,0)*VLOOKUP('Données projet'!$B$13,Paramètres!$A$1:$I$89,5,0)</f>
        <v>14.859000000000004</v>
      </c>
      <c r="CV9" s="14">
        <f t="shared" si="41"/>
        <v>5.0017509136952869</v>
      </c>
      <c r="CW9" s="22">
        <f t="shared" si="13"/>
        <v>34.590807841352635</v>
      </c>
      <c r="CX9" s="62">
        <f t="shared" si="14"/>
        <v>216.06105993761162</v>
      </c>
      <c r="CY9" s="62">
        <f ca="1">AVERAGE(OFFSET($CX$3,0,0,'Données projet'!$E$13+1,1))-AVERAGE(OFFSET($H$3,0,0,'Données projet'!$E$13+1,1))</f>
        <v>474.46836359712393</v>
      </c>
      <c r="CZ9" s="62">
        <f t="shared" si="42"/>
        <v>221.28699636637722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4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2.4423076923076925</v>
      </c>
      <c r="N10" s="14">
        <f>IF('Données projet'!$A$36&gt;35,N9+M10-V9,IF(A10&lt;'Données projet'!$A$36,$K$205^A10,IF(A10='Données projet'!$A$36,'Données projet'!$B$36,N9+M10-V9)))</f>
        <v>17.09615384615385</v>
      </c>
      <c r="O10" s="14">
        <f>N10*VLOOKUP('Données projet'!$B$9,Paramètres!$A$1:$I$89,3,0)*VLOOKUP('Données projet'!$B$9,Paramètres!$A$1:$I$89,5,0)</f>
        <v>15.468600000000002</v>
      </c>
      <c r="P10" s="14">
        <f t="shared" si="33"/>
        <v>5.1826392125268077</v>
      </c>
      <c r="Q10" s="22">
        <f t="shared" si="2"/>
        <v>35.967574961817526</v>
      </c>
      <c r="R10" s="62">
        <f t="shared" si="0"/>
        <v>220.09175589755375</v>
      </c>
      <c r="S10" s="62">
        <f ca="1">AVERAGE(OFFSET($R$3,0,0,'Données projet'!$E$9+1,1))-AVERAGE(OFFSET($H$3,0,0,'Données projet'!$E$9+1,1))</f>
        <v>432.80275651765203</v>
      </c>
      <c r="T10" s="62">
        <f t="shared" si="34"/>
        <v>203.89279893419919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2.6666666666666665</v>
      </c>
      <c r="AI10" s="14">
        <f>IF('Données projet'!$A$62&gt;35,AI9+AH10-AQ9,IF(A10&lt;'Données projet'!$A$62,$AF$205^A10,IF(A10='Données projet'!$A$62,'Données projet'!$B$62,AI9+AH10-AQ9)))</f>
        <v>5.5927833467405659</v>
      </c>
      <c r="AJ10" s="14">
        <f>AI10*VLOOKUP('Données projet'!$B$10,Paramètres!$A$1:$I$89,3,0)*VLOOKUP('Données projet'!$B$10,Paramètres!$A$1:$I$89,5,0)</f>
        <v>3.7516390689935712</v>
      </c>
      <c r="AK10" s="14">
        <f t="shared" si="35"/>
        <v>1.4822920677236051</v>
      </c>
      <c r="AL10" s="22">
        <f t="shared" si="4"/>
        <v>9.115763396449081</v>
      </c>
      <c r="AM10" s="62">
        <f t="shared" si="5"/>
        <v>193.2399443321853</v>
      </c>
      <c r="AN10" s="62">
        <f ca="1">AVERAGE(OFFSET($AM$3,0,0,'Données projet'!$E$10+1,1))-AVERAGE(OFFSET($H$3,0,0,'Données projet'!$E$10+1,1))</f>
        <v>273.21861937609918</v>
      </c>
      <c r="AO10" s="62">
        <f t="shared" si="36"/>
        <v>268.83004886965318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4.5368658508759481</v>
      </c>
      <c r="BF10" s="14">
        <f t="shared" si="37"/>
        <v>1.7533217151252238</v>
      </c>
      <c r="BG10" s="22">
        <f t="shared" si="7"/>
        <v>10.955410010785373</v>
      </c>
      <c r="BH10" s="62">
        <f t="shared" si="8"/>
        <v>195.07959094652162</v>
      </c>
      <c r="BI10" s="62">
        <f ca="1">AVERAGE(OFFSET($BH$3,0,0,'Données projet'!$E$11+1,1))-AVERAGE(OFFSET($H$3,0,0,'Données projet'!$E$11+1,1))</f>
        <v>319.01020001288975</v>
      </c>
      <c r="BJ10" s="62">
        <f t="shared" si="38"/>
        <v>312.22190035638084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6.0200719944315448</v>
      </c>
      <c r="CA10" s="14">
        <f t="shared" si="39"/>
        <v>2.2511690733410177</v>
      </c>
      <c r="CB10" s="22">
        <f t="shared" si="10"/>
        <v>14.40574485970388</v>
      </c>
      <c r="CC10" s="62">
        <f t="shared" si="11"/>
        <v>198.52992579544011</v>
      </c>
      <c r="CD10" s="62">
        <f ca="1">AVERAGE(OFFSET($CC$3,0,0,'Données projet'!$E$12+1,1))-AVERAGE(OFFSET($H$3,0,0,'Données projet'!$E$12+1,1))</f>
        <v>405.06394904053946</v>
      </c>
      <c r="CE10" s="62">
        <f t="shared" si="40"/>
        <v>393.75247087518198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2.4423076923076925</v>
      </c>
      <c r="CT10" s="13">
        <f>IF('Données projet'!$A$140&gt;35,CT9+CS10-DB9,IF(A10&lt;'Données projet'!$A$140,$CQ$205^A10,IF(A10='Données projet'!$A$140,'Données projet'!$B$140,CT9+CS10-DB9)))</f>
        <v>17.09615384615385</v>
      </c>
      <c r="CU10" s="18">
        <f>CT10*VLOOKUP('Données projet'!$B$13,Paramètres!$A$1:$I$89,3,0)*VLOOKUP('Données projet'!$B$13,Paramètres!$A$1:$I$89,5,0)</f>
        <v>17.335500000000003</v>
      </c>
      <c r="CV10" s="14">
        <f t="shared" si="41"/>
        <v>5.7316048759231828</v>
      </c>
      <c r="CW10" s="22">
        <f t="shared" si="13"/>
        <v>40.175207658899545</v>
      </c>
      <c r="CX10" s="62">
        <f t="shared" si="14"/>
        <v>224.29938859463579</v>
      </c>
      <c r="CY10" s="62">
        <f ca="1">AVERAGE(OFFSET($CX$3,0,0,'Données projet'!$E$13+1,1))-AVERAGE(OFFSET($H$3,0,0,'Données projet'!$E$13+1,1))</f>
        <v>474.46836359712393</v>
      </c>
      <c r="CZ10" s="62">
        <f t="shared" si="42"/>
        <v>221.28699636637722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4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2.4423076923076925</v>
      </c>
      <c r="N11" s="14">
        <f>IF('Données projet'!$A$36&gt;35,N10+M11-V10,IF(A11&lt;'Données projet'!$A$36,$K$205^A11,IF(A11='Données projet'!$A$36,'Données projet'!$B$36,N10+M11-V10)))</f>
        <v>19.538461538461544</v>
      </c>
      <c r="O11" s="14">
        <f>N11*VLOOKUP('Données projet'!$B$9,Paramètres!$A$1:$I$89,3,0)*VLOOKUP('Données projet'!$B$9,Paramètres!$A$1:$I$89,5,0)</f>
        <v>17.678400000000003</v>
      </c>
      <c r="P11" s="14">
        <f t="shared" si="33"/>
        <v>5.8316662489990749</v>
      </c>
      <c r="Q11" s="22">
        <f t="shared" si="2"/>
        <v>40.946698717006726</v>
      </c>
      <c r="R11" s="62">
        <f t="shared" si="0"/>
        <v>227.6999715832273</v>
      </c>
      <c r="S11" s="62">
        <f ca="1">AVERAGE(OFFSET($R$3,0,0,'Données projet'!$E$9+1,1))-AVERAGE(OFFSET($H$3,0,0,'Données projet'!$E$9+1,1))</f>
        <v>432.80275651765203</v>
      </c>
      <c r="T11" s="62">
        <f t="shared" si="34"/>
        <v>203.89279893419919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2.6666666666666665</v>
      </c>
      <c r="AI11" s="14">
        <f>IF('Données projet'!$A$62&gt;35,AI10+AH11-AQ10,IF(A11&lt;'Données projet'!$A$62,$AF$205^A11,IF(A11='Données projet'!$A$62,'Données projet'!$B$62,AI10+AH11-AQ10)))</f>
        <v>7.1520739352994367</v>
      </c>
      <c r="AJ11" s="14">
        <f>AI11*VLOOKUP('Données projet'!$B$10,Paramètres!$A$1:$I$89,3,0)*VLOOKUP('Données projet'!$B$10,Paramètres!$A$1:$I$89,5,0)</f>
        <v>4.7976111957988623</v>
      </c>
      <c r="AK11" s="14">
        <f t="shared" si="35"/>
        <v>1.8420685950312794</v>
      </c>
      <c r="AL11" s="22">
        <f t="shared" si="4"/>
        <v>11.564108969029164</v>
      </c>
      <c r="AM11" s="62">
        <f t="shared" si="5"/>
        <v>198.31738183524971</v>
      </c>
      <c r="AN11" s="62">
        <f ca="1">AVERAGE(OFFSET($AM$3,0,0,'Données projet'!$E$10+1,1))-AVERAGE(OFFSET($H$3,0,0,'Données projet'!$E$10+1,1))</f>
        <v>273.21861937609918</v>
      </c>
      <c r="AO11" s="62">
        <f t="shared" si="36"/>
        <v>268.83004886965318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5.8017623763149038</v>
      </c>
      <c r="BF11" s="14">
        <f t="shared" si="37"/>
        <v>2.1788815704711619</v>
      </c>
      <c r="BG11" s="22">
        <f t="shared" si="7"/>
        <v>13.899621540652397</v>
      </c>
      <c r="BH11" s="62">
        <f t="shared" si="8"/>
        <v>200.65289440687295</v>
      </c>
      <c r="BI11" s="62">
        <f ca="1">AVERAGE(OFFSET($BH$3,0,0,'Données projet'!$E$11+1,1))-AVERAGE(OFFSET($H$3,0,0,'Données projet'!$E$11+1,1))</f>
        <v>319.01020001288975</v>
      </c>
      <c r="BJ11" s="62">
        <f t="shared" si="38"/>
        <v>312.22190035638084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7.6984923839563129</v>
      </c>
      <c r="CA11" s="14">
        <f t="shared" si="39"/>
        <v>2.7975646246798838</v>
      </c>
      <c r="CB11" s="22">
        <f t="shared" si="10"/>
        <v>18.280632623374711</v>
      </c>
      <c r="CC11" s="62">
        <f t="shared" si="11"/>
        <v>205.03390548959527</v>
      </c>
      <c r="CD11" s="62">
        <f ca="1">AVERAGE(OFFSET($CC$3,0,0,'Données projet'!$E$12+1,1))-AVERAGE(OFFSET($H$3,0,0,'Données projet'!$E$12+1,1))</f>
        <v>405.06394904053946</v>
      </c>
      <c r="CE11" s="62">
        <f t="shared" si="40"/>
        <v>393.75247087518198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2.4423076923076925</v>
      </c>
      <c r="CT11" s="13">
        <f>IF('Données projet'!$A$140&gt;35,CT10+CS11-DB10,IF(A11&lt;'Données projet'!$A$140,$CQ$205^A11,IF(A11='Données projet'!$A$140,'Données projet'!$B$140,CT10+CS11-DB10)))</f>
        <v>19.538461538461544</v>
      </c>
      <c r="CU11" s="18">
        <f>CT11*VLOOKUP('Données projet'!$B$13,Paramètres!$A$1:$I$89,3,0)*VLOOKUP('Données projet'!$B$13,Paramètres!$A$1:$I$89,5,0)</f>
        <v>19.812000000000008</v>
      </c>
      <c r="CV11" s="14">
        <f t="shared" si="41"/>
        <v>6.4493794255887291</v>
      </c>
      <c r="CW11" s="22">
        <f t="shared" si="13"/>
        <v>45.738569166233709</v>
      </c>
      <c r="CX11" s="62">
        <f t="shared" si="14"/>
        <v>232.49184203245426</v>
      </c>
      <c r="CY11" s="62">
        <f ca="1">AVERAGE(OFFSET($CX$3,0,0,'Données projet'!$E$13+1,1))-AVERAGE(OFFSET($H$3,0,0,'Données projet'!$E$13+1,1))</f>
        <v>474.46836359712393</v>
      </c>
      <c r="CZ11" s="62">
        <f t="shared" si="42"/>
        <v>221.28699636637722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4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2.4423076923076925</v>
      </c>
      <c r="N12" s="14">
        <f>IF('Données projet'!$A$36&gt;35,N11+M12-V11,IF(A12&lt;'Données projet'!$A$36,$K$205^A12,IF(A12='Données projet'!$A$36,'Données projet'!$B$36,N11+M12-V11)))</f>
        <v>21.980769230769237</v>
      </c>
      <c r="O12" s="14">
        <f>N12*VLOOKUP('Données projet'!$B$9,Paramètres!$A$1:$I$89,3,0)*VLOOKUP('Données projet'!$B$9,Paramètres!$A$1:$I$89,5,0)</f>
        <v>19.888200000000005</v>
      </c>
      <c r="P12" s="14">
        <f t="shared" si="33"/>
        <v>6.4712924942686927</v>
      </c>
      <c r="Q12" s="22">
        <f t="shared" si="2"/>
        <v>45.909449427517977</v>
      </c>
      <c r="R12" s="62">
        <f t="shared" si="0"/>
        <v>235.26740818007406</v>
      </c>
      <c r="S12" s="62">
        <f ca="1">AVERAGE(OFFSET($R$3,0,0,'Données projet'!$E$9+1,1))-AVERAGE(OFFSET($H$3,0,0,'Données projet'!$E$9+1,1))</f>
        <v>432.80275651765203</v>
      </c>
      <c r="T12" s="62">
        <f t="shared" si="34"/>
        <v>203.89279893419919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2.6666666666666665</v>
      </c>
      <c r="AI12" s="14">
        <f>IF('Données projet'!$A$62&gt;35,AI11+AH12-AQ11,IF(A12&lt;'Données projet'!$A$62,$AF$205^A12,IF(A12='Données projet'!$A$62,'Données projet'!$B$62,AI11+AH12-AQ11)))</f>
        <v>9.1461010385465205</v>
      </c>
      <c r="AJ12" s="14">
        <f>AI12*VLOOKUP('Données projet'!$B$10,Paramètres!$A$1:$I$89,3,0)*VLOOKUP('Données projet'!$B$10,Paramètres!$A$1:$I$89,5,0)</f>
        <v>6.1352045766570056</v>
      </c>
      <c r="AK12" s="14">
        <f t="shared" si="35"/>
        <v>2.2891687695607548</v>
      </c>
      <c r="AL12" s="22">
        <f t="shared" si="4"/>
        <v>14.672450244662597</v>
      </c>
      <c r="AM12" s="62">
        <f t="shared" si="5"/>
        <v>204.03040899721867</v>
      </c>
      <c r="AN12" s="62">
        <f ca="1">AVERAGE(OFFSET($AM$3,0,0,'Données projet'!$E$10+1,1))-AVERAGE(OFFSET($H$3,0,0,'Données projet'!$E$10+1,1))</f>
        <v>273.21861937609918</v>
      </c>
      <c r="AO12" s="62">
        <f t="shared" si="36"/>
        <v>268.83004886965318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7.4193171624689374</v>
      </c>
      <c r="BF12" s="14">
        <f t="shared" si="37"/>
        <v>2.7077317626216724</v>
      </c>
      <c r="BG12" s="22">
        <f t="shared" si="7"/>
        <v>17.637943544532806</v>
      </c>
      <c r="BH12" s="62">
        <f t="shared" si="8"/>
        <v>206.99590229708889</v>
      </c>
      <c r="BI12" s="62">
        <f ca="1">AVERAGE(OFFSET($BH$3,0,0,'Données projet'!$E$11+1,1))-AVERAGE(OFFSET($H$3,0,0,'Données projet'!$E$11+1,1))</f>
        <v>319.01020001288975</v>
      </c>
      <c r="BJ12" s="62">
        <f t="shared" si="38"/>
        <v>312.22190035638084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9.8448631578914743</v>
      </c>
      <c r="CA12" s="14">
        <f t="shared" si="39"/>
        <v>3.4765793124747328</v>
      </c>
      <c r="CB12" s="22">
        <f t="shared" si="10"/>
        <v>23.201512302554477</v>
      </c>
      <c r="CC12" s="62">
        <f t="shared" si="11"/>
        <v>212.55947105511055</v>
      </c>
      <c r="CD12" s="62">
        <f ca="1">AVERAGE(OFFSET($CC$3,0,0,'Données projet'!$E$12+1,1))-AVERAGE(OFFSET($H$3,0,0,'Données projet'!$E$12+1,1))</f>
        <v>405.06394904053946</v>
      </c>
      <c r="CE12" s="62">
        <f t="shared" si="40"/>
        <v>393.75247087518198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2.4423076923076925</v>
      </c>
      <c r="CT12" s="13">
        <f>IF('Données projet'!$A$140&gt;35,CT11+CS12-DB11,IF(A12&lt;'Données projet'!$A$140,$CQ$205^A12,IF(A12='Données projet'!$A$140,'Données projet'!$B$140,CT11+CS12-DB11)))</f>
        <v>21.980769230769237</v>
      </c>
      <c r="CU12" s="18">
        <f>CT12*VLOOKUP('Données projet'!$B$13,Paramètres!$A$1:$I$89,3,0)*VLOOKUP('Données projet'!$B$13,Paramètres!$A$1:$I$89,5,0)</f>
        <v>22.28850000000001</v>
      </c>
      <c r="CV12" s="14">
        <f t="shared" si="41"/>
        <v>7.1567574150298228</v>
      </c>
      <c r="CW12" s="22">
        <f t="shared" si="13"/>
        <v>51.283823331176954</v>
      </c>
      <c r="CX12" s="62">
        <f t="shared" si="14"/>
        <v>240.64178208373303</v>
      </c>
      <c r="CY12" s="62">
        <f ca="1">AVERAGE(OFFSET($CX$3,0,0,'Données projet'!$E$13+1,1))-AVERAGE(OFFSET($H$3,0,0,'Données projet'!$E$13+1,1))</f>
        <v>474.46836359712393</v>
      </c>
      <c r="CZ12" s="62">
        <f t="shared" si="42"/>
        <v>221.28699636637722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4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2.4423076923076925</v>
      </c>
      <c r="N13" s="14">
        <f>IF('Données projet'!$A$36&gt;35,N12+M13-V12,IF(A13&lt;'Données projet'!$A$36,$K$205^A13,IF(A13='Données projet'!$A$36,'Données projet'!$B$36,N12+M13-V12)))</f>
        <v>24.42307692307693</v>
      </c>
      <c r="O13" s="14">
        <f>N13*VLOOKUP('Données projet'!$B$9,Paramètres!$A$1:$I$89,3,0)*VLOOKUP('Données projet'!$B$9,Paramètres!$A$1:$I$89,5,0)</f>
        <v>22.098000000000006</v>
      </c>
      <c r="P13" s="14">
        <f t="shared" si="33"/>
        <v>7.1026816326084523</v>
      </c>
      <c r="Q13" s="22">
        <f t="shared" si="2"/>
        <v>50.857853843459729</v>
      </c>
      <c r="R13" s="62">
        <f t="shared" si="0"/>
        <v>242.79651582850462</v>
      </c>
      <c r="S13" s="62">
        <f ca="1">AVERAGE(OFFSET($R$3,0,0,'Données projet'!$E$9+1,1))-AVERAGE(OFFSET($H$3,0,0,'Données projet'!$E$9+1,1))</f>
        <v>432.80275651765203</v>
      </c>
      <c r="T13" s="62">
        <f t="shared" si="34"/>
        <v>203.89279893419919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2.6666666666666665</v>
      </c>
      <c r="AI13" s="14">
        <f>IF('Données projet'!$A$62&gt;35,AI12+AH13-AQ12,IF(A13&lt;'Données projet'!$A$62,$AF$205^A13,IF(A13='Données projet'!$A$62,'Données projet'!$B$62,AI12+AH13-AQ12)))</f>
        <v>11.696070952851455</v>
      </c>
      <c r="AJ13" s="14">
        <f>AI13*VLOOKUP('Données projet'!$B$10,Paramètres!$A$1:$I$89,3,0)*VLOOKUP('Données projet'!$B$10,Paramètres!$A$1:$I$89,5,0)</f>
        <v>7.8457243951727564</v>
      </c>
      <c r="AK13" s="14">
        <f t="shared" si="35"/>
        <v>2.8447874686465271</v>
      </c>
      <c r="AL13" s="22">
        <f t="shared" si="4"/>
        <v>18.619308162818584</v>
      </c>
      <c r="AM13" s="62">
        <f t="shared" si="5"/>
        <v>210.55797014786347</v>
      </c>
      <c r="AN13" s="62">
        <f ca="1">AVERAGE(OFFSET($AM$3,0,0,'Données projet'!$E$10+1,1))-AVERAGE(OFFSET($H$3,0,0,'Données projet'!$E$10+1,1))</f>
        <v>273.21861937609918</v>
      </c>
      <c r="AO13" s="62">
        <f t="shared" si="36"/>
        <v>268.83004886965318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9.4878527569531013</v>
      </c>
      <c r="BF13" s="14">
        <f t="shared" si="37"/>
        <v>3.3649425456037227</v>
      </c>
      <c r="BG13" s="22">
        <f t="shared" si="7"/>
        <v>22.385285151953138</v>
      </c>
      <c r="BH13" s="62">
        <f t="shared" si="8"/>
        <v>214.32394713699802</v>
      </c>
      <c r="BI13" s="62">
        <f ca="1">AVERAGE(OFFSET($BH$3,0,0,'Données projet'!$E$11+1,1))-AVERAGE(OFFSET($H$3,0,0,'Données projet'!$E$11+1,1))</f>
        <v>319.01020001288975</v>
      </c>
      <c r="BJ13" s="62">
        <f t="shared" si="38"/>
        <v>312.22190035638084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12.589650773649307</v>
      </c>
      <c r="CA13" s="14">
        <f t="shared" si="39"/>
        <v>4.3204019700922274</v>
      </c>
      <c r="CB13" s="22">
        <f t="shared" si="10"/>
        <v>29.451675195349836</v>
      </c>
      <c r="CC13" s="62">
        <f t="shared" si="11"/>
        <v>221.39033718039474</v>
      </c>
      <c r="CD13" s="62">
        <f ca="1">AVERAGE(OFFSET($CC$3,0,0,'Données projet'!$E$12+1,1))-AVERAGE(OFFSET($H$3,0,0,'Données projet'!$E$12+1,1))</f>
        <v>405.06394904053946</v>
      </c>
      <c r="CE13" s="62">
        <f t="shared" si="40"/>
        <v>393.75247087518198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2.4423076923076925</v>
      </c>
      <c r="CT13" s="13">
        <f>IF('Données projet'!$A$140&gt;35,CT12+CS13-DB12,IF(A13&lt;'Données projet'!$A$140,$CQ$205^A13,IF(A13='Données projet'!$A$140,'Données projet'!$B$140,CT12+CS13-DB12)))</f>
        <v>24.42307692307693</v>
      </c>
      <c r="CU13" s="18">
        <f>CT13*VLOOKUP('Données projet'!$B$13,Paramètres!$A$1:$I$89,3,0)*VLOOKUP('Données projet'!$B$13,Paramètres!$A$1:$I$89,5,0)</f>
        <v>24.765000000000008</v>
      </c>
      <c r="CV13" s="14">
        <f t="shared" si="41"/>
        <v>7.8550257905644338</v>
      </c>
      <c r="CW13" s="22">
        <f t="shared" si="13"/>
        <v>56.813211585233063</v>
      </c>
      <c r="CX13" s="62">
        <f t="shared" si="14"/>
        <v>248.75187357027795</v>
      </c>
      <c r="CY13" s="62">
        <f ca="1">AVERAGE(OFFSET($CX$3,0,0,'Données projet'!$E$13+1,1))-AVERAGE(OFFSET($H$3,0,0,'Données projet'!$E$13+1,1))</f>
        <v>474.46836359712393</v>
      </c>
      <c r="CZ13" s="62">
        <f t="shared" si="42"/>
        <v>221.28699636637722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4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2.4423076923076925</v>
      </c>
      <c r="N14" s="14">
        <f>IF('Données projet'!$A$36&gt;35,N13+M14-V13,IF(A14&lt;'Données projet'!$A$36,$K$205^A14,IF(A14='Données projet'!$A$36,'Données projet'!$B$36,N13+M14-V13)))</f>
        <v>26.865384615384624</v>
      </c>
      <c r="O14" s="14">
        <f>N14*VLOOKUP('Données projet'!$B$9,Paramètres!$A$1:$I$89,3,0)*VLOOKUP('Données projet'!$B$9,Paramètres!$A$1:$I$89,5,0)</f>
        <v>24.307800000000007</v>
      </c>
      <c r="P14" s="14">
        <f t="shared" si="33"/>
        <v>7.7267511435768368</v>
      </c>
      <c r="Q14" s="22">
        <f t="shared" si="2"/>
        <v>55.793509908396324</v>
      </c>
      <c r="R14" s="62">
        <f t="shared" si="0"/>
        <v>250.28930851751045</v>
      </c>
      <c r="S14" s="62">
        <f ca="1">AVERAGE(OFFSET($R$3,0,0,'Données projet'!$E$9+1,1))-AVERAGE(OFFSET($H$3,0,0,'Données projet'!$E$9+1,1))</f>
        <v>432.80275651765203</v>
      </c>
      <c r="T14" s="62">
        <f t="shared" si="34"/>
        <v>203.89279893419919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2.6666666666666665</v>
      </c>
      <c r="AI14" s="14">
        <f>IF('Données projet'!$A$62&gt;35,AI13+AH14-AQ13,IF(A14&lt;'Données projet'!$A$62,$AF$205^A14,IF(A14='Données projet'!$A$62,'Données projet'!$B$62,AI13+AH14-AQ13)))</f>
        <v>14.956982779612416</v>
      </c>
      <c r="AJ14" s="14">
        <f>AI14*VLOOKUP('Données projet'!$B$10,Paramètres!$A$1:$I$89,3,0)*VLOOKUP('Données projet'!$B$10,Paramètres!$A$1:$I$89,5,0)</f>
        <v>10.033144048564008</v>
      </c>
      <c r="AK14" s="14">
        <f t="shared" si="35"/>
        <v>3.5352639129884524</v>
      </c>
      <c r="AL14" s="22">
        <f t="shared" si="4"/>
        <v>23.631643866370535</v>
      </c>
      <c r="AM14" s="62">
        <f t="shared" si="5"/>
        <v>218.12744247548466</v>
      </c>
      <c r="AN14" s="62">
        <f ca="1">AVERAGE(OFFSET($AM$3,0,0,'Données projet'!$E$10+1,1))-AVERAGE(OFFSET($H$3,0,0,'Données projet'!$E$10+1,1))</f>
        <v>273.21861937609918</v>
      </c>
      <c r="AO14" s="62">
        <f t="shared" si="36"/>
        <v>268.83004886965318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12.133104430821591</v>
      </c>
      <c r="BF14" s="14">
        <f t="shared" si="37"/>
        <v>4.1816691341135996</v>
      </c>
      <c r="BG14" s="22">
        <f t="shared" si="7"/>
        <v>28.414897292262125</v>
      </c>
      <c r="BH14" s="62">
        <f t="shared" si="8"/>
        <v>222.91069590137624</v>
      </c>
      <c r="BI14" s="62">
        <f ca="1">AVERAGE(OFFSET($BH$3,0,0,'Données projet'!$E$11+1,1))-AVERAGE(OFFSET($H$3,0,0,'Données projet'!$E$11+1,1))</f>
        <v>319.01020001288975</v>
      </c>
      <c r="BJ14" s="62">
        <f t="shared" si="38"/>
        <v>312.22190035638084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16.099696263974803</v>
      </c>
      <c r="CA14" s="14">
        <f t="shared" si="39"/>
        <v>5.369034187196454</v>
      </c>
      <c r="CB14" s="22">
        <f t="shared" si="10"/>
        <v>37.391372202456608</v>
      </c>
      <c r="CC14" s="62">
        <f t="shared" si="11"/>
        <v>231.88717081157074</v>
      </c>
      <c r="CD14" s="62">
        <f ca="1">AVERAGE(OFFSET($CC$3,0,0,'Données projet'!$E$12+1,1))-AVERAGE(OFFSET($H$3,0,0,'Données projet'!$E$12+1,1))</f>
        <v>405.06394904053946</v>
      </c>
      <c r="CE14" s="62">
        <f t="shared" si="40"/>
        <v>393.75247087518198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2.4423076923076925</v>
      </c>
      <c r="CT14" s="13">
        <f>IF('Données projet'!$A$140&gt;35,CT13+CS14-DB13,IF(A14&lt;'Données projet'!$A$140,$CQ$205^A14,IF(A14='Données projet'!$A$140,'Données projet'!$B$140,CT13+CS14-DB13)))</f>
        <v>26.865384615384624</v>
      </c>
      <c r="CU14" s="18">
        <f>CT14*VLOOKUP('Données projet'!$B$13,Paramètres!$A$1:$I$89,3,0)*VLOOKUP('Données projet'!$B$13,Paramètres!$A$1:$I$89,5,0)</f>
        <v>27.241500000000009</v>
      </c>
      <c r="CV14" s="14">
        <f t="shared" si="41"/>
        <v>8.5451992148181901</v>
      </c>
      <c r="CW14" s="22">
        <f t="shared" si="13"/>
        <v>62.328501132475033</v>
      </c>
      <c r="CX14" s="62">
        <f t="shared" si="14"/>
        <v>256.82429974158919</v>
      </c>
      <c r="CY14" s="62">
        <f ca="1">AVERAGE(OFFSET($CX$3,0,0,'Données projet'!$E$13+1,1))-AVERAGE(OFFSET($H$3,0,0,'Données projet'!$E$13+1,1))</f>
        <v>474.46836359712393</v>
      </c>
      <c r="CZ14" s="62">
        <f t="shared" si="42"/>
        <v>221.28699636637722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4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2.4423076923076925</v>
      </c>
      <c r="N15" s="14">
        <f>IF('Données projet'!$A$36&gt;35,N14+M15-V14,IF(A15&lt;'Données projet'!$A$36,$K$205^A15,IF(A15='Données projet'!$A$36,'Données projet'!$B$36,N14+M15-V14)))</f>
        <v>29.307692307692317</v>
      </c>
      <c r="O15" s="14">
        <f>N15*VLOOKUP('Données projet'!$B$9,Paramètres!$A$1:$I$89,3,0)*VLOOKUP('Données projet'!$B$9,Paramètres!$A$1:$I$89,5,0)</f>
        <v>26.517600000000009</v>
      </c>
      <c r="P15" s="14">
        <f t="shared" si="33"/>
        <v>8.3442421243381961</v>
      </c>
      <c r="Q15" s="22">
        <f t="shared" si="2"/>
        <v>60.717708366555691</v>
      </c>
      <c r="R15" s="62">
        <f t="shared" si="0"/>
        <v>257.74748581928856</v>
      </c>
      <c r="S15" s="62">
        <f ca="1">AVERAGE(OFFSET($R$3,0,0,'Données projet'!$E$9+1,1))-AVERAGE(OFFSET($H$3,0,0,'Données projet'!$E$9+1,1))</f>
        <v>432.80275651765203</v>
      </c>
      <c r="T15" s="62">
        <f t="shared" si="34"/>
        <v>203.89279893419919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2.6666666666666665</v>
      </c>
      <c r="AI15" s="14">
        <f>IF('Données projet'!$A$62&gt;35,AI14+AH15-AQ14,IF(A15&lt;'Données projet'!$A$62,$AF$205^A15,IF(A15='Données projet'!$A$62,'Données projet'!$B$62,AI14+AH15-AQ14)))</f>
        <v>19.127049995800721</v>
      </c>
      <c r="AJ15" s="14">
        <f>AI15*VLOOKUP('Données projet'!$B$10,Paramètres!$A$1:$I$89,3,0)*VLOOKUP('Données projet'!$B$10,Paramètres!$A$1:$I$89,5,0)</f>
        <v>12.830425137183123</v>
      </c>
      <c r="AK15" s="14">
        <f t="shared" si="35"/>
        <v>4.3933302829208145</v>
      </c>
      <c r="AL15" s="22">
        <f t="shared" si="4"/>
        <v>29.998040690014353</v>
      </c>
      <c r="AM15" s="62">
        <f t="shared" si="5"/>
        <v>227.02781814274724</v>
      </c>
      <c r="AN15" s="62">
        <f ca="1">AVERAGE(OFFSET($AM$3,0,0,'Données projet'!$E$10+1,1))-AVERAGE(OFFSET($H$3,0,0,'Données projet'!$E$10+1,1))</f>
        <v>273.21861937609918</v>
      </c>
      <c r="AO15" s="62">
        <f t="shared" si="36"/>
        <v>268.83004886965318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15.515862956593548</v>
      </c>
      <c r="BF15" s="14">
        <f t="shared" si="37"/>
        <v>5.1966286229891843</v>
      </c>
      <c r="BG15" s="22">
        <f t="shared" si="7"/>
        <v>36.074256167773257</v>
      </c>
      <c r="BH15" s="62">
        <f t="shared" si="8"/>
        <v>233.10403362050613</v>
      </c>
      <c r="BI15" s="62">
        <f ca="1">AVERAGE(OFFSET($BH$3,0,0,'Données projet'!$E$11+1,1))-AVERAGE(OFFSET($H$3,0,0,'Données projet'!$E$11+1,1))</f>
        <v>319.01020001288975</v>
      </c>
      <c r="BJ15" s="62">
        <f t="shared" si="38"/>
        <v>312.22190035638084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20.588356615479896</v>
      </c>
      <c r="CA15" s="14">
        <f t="shared" si="39"/>
        <v>6.6721865934777691</v>
      </c>
      <c r="CB15" s="22">
        <f t="shared" si="10"/>
        <v>47.478779422267927</v>
      </c>
      <c r="CC15" s="62">
        <f t="shared" si="11"/>
        <v>244.50855687500081</v>
      </c>
      <c r="CD15" s="62">
        <f ca="1">AVERAGE(OFFSET($CC$3,0,0,'Données projet'!$E$12+1,1))-AVERAGE(OFFSET($H$3,0,0,'Données projet'!$E$12+1,1))</f>
        <v>405.06394904053946</v>
      </c>
      <c r="CE15" s="62">
        <f t="shared" si="40"/>
        <v>393.75247087518198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2.4423076923076925</v>
      </c>
      <c r="CT15" s="13">
        <f>IF('Données projet'!$A$140&gt;35,CT14+CS15-DB14,IF(A15&lt;'Données projet'!$A$140,$CQ$205^A15,IF(A15='Données projet'!$A$140,'Données projet'!$B$140,CT14+CS15-DB14)))</f>
        <v>29.307692307692317</v>
      </c>
      <c r="CU15" s="18">
        <f>CT15*VLOOKUP('Données projet'!$B$13,Paramètres!$A$1:$I$89,3,0)*VLOOKUP('Données projet'!$B$13,Paramètres!$A$1:$I$89,5,0)</f>
        <v>29.718000000000014</v>
      </c>
      <c r="CV15" s="14">
        <f t="shared" si="41"/>
        <v>9.2280972849010627</v>
      </c>
      <c r="CW15" s="22">
        <f t="shared" si="13"/>
        <v>67.831119437869376</v>
      </c>
      <c r="CX15" s="62">
        <f t="shared" si="14"/>
        <v>264.86089689060225</v>
      </c>
      <c r="CY15" s="62">
        <f ca="1">AVERAGE(OFFSET($CX$3,0,0,'Données projet'!$E$13+1,1))-AVERAGE(OFFSET($H$3,0,0,'Données projet'!$E$13+1,1))</f>
        <v>474.46836359712393</v>
      </c>
      <c r="CZ15" s="62">
        <f t="shared" si="42"/>
        <v>221.28699636637722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4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2.4423076923076925</v>
      </c>
      <c r="N16" s="14">
        <f>IF('Données projet'!$A$36&gt;35,N15+M16-V15,IF(A16&lt;'Données projet'!$A$36,$K$205^A16,IF(A16='Données projet'!$A$36,'Données projet'!$B$36,N15+M16-V15)))</f>
        <v>31.750000000000011</v>
      </c>
      <c r="O16" s="14">
        <f>N16*VLOOKUP('Données projet'!$B$9,Paramètres!$A$1:$I$89,3,0)*VLOOKUP('Données projet'!$B$9,Paramètres!$A$1:$I$89,5,0)</f>
        <v>28.72740000000001</v>
      </c>
      <c r="P16" s="14">
        <f t="shared" si="33"/>
        <v>8.9557651124482707</v>
      </c>
      <c r="Q16" s="22">
        <f t="shared" si="2"/>
        <v>65.63151257084742</v>
      </c>
      <c r="R16" s="62">
        <f t="shared" si="0"/>
        <v>265.17251282246622</v>
      </c>
      <c r="S16" s="62">
        <f ca="1">AVERAGE(OFFSET($R$3,0,0,'Données projet'!$E$9+1,1))-AVERAGE(OFFSET($H$3,0,0,'Données projet'!$E$9+1,1))</f>
        <v>432.80275651765203</v>
      </c>
      <c r="T16" s="62">
        <f t="shared" si="34"/>
        <v>203.89279893419919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2.6666666666666665</v>
      </c>
      <c r="AI16" s="14">
        <f>IF('Données projet'!$A$62&gt;35,AI15+AH16-AQ15,IF(A16&lt;'Données projet'!$A$62,$AF$205^A16,IF(A16='Données projet'!$A$62,'Données projet'!$B$62,AI15+AH16-AQ15)))</f>
        <v>24.459748796430759</v>
      </c>
      <c r="AJ16" s="14">
        <f>AI16*VLOOKUP('Données projet'!$B$10,Paramètres!$A$1:$I$89,3,0)*VLOOKUP('Données projet'!$B$10,Paramètres!$A$1:$I$89,5,0)</f>
        <v>16.407599492645755</v>
      </c>
      <c r="AK16" s="14">
        <f t="shared" si="35"/>
        <v>5.4596633942706498</v>
      </c>
      <c r="AL16" s="22">
        <f t="shared" si="4"/>
        <v>38.085482861379397</v>
      </c>
      <c r="AM16" s="62">
        <f t="shared" si="5"/>
        <v>237.62648311299822</v>
      </c>
      <c r="AN16" s="62">
        <f ca="1">AVERAGE(OFFSET($AM$3,0,0,'Données projet'!$E$10+1,1))-AVERAGE(OFFSET($H$3,0,0,'Données projet'!$E$10+1,1))</f>
        <v>273.21861937609918</v>
      </c>
      <c r="AO16" s="62">
        <f t="shared" si="36"/>
        <v>268.83004886965318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19.841748223664634</v>
      </c>
      <c r="BF16" s="14">
        <f t="shared" si="37"/>
        <v>6.4579353791927296</v>
      </c>
      <c r="BG16" s="22">
        <f t="shared" si="7"/>
        <v>45.805282274976577</v>
      </c>
      <c r="BH16" s="62">
        <f t="shared" si="8"/>
        <v>245.34628252659539</v>
      </c>
      <c r="BI16" s="62">
        <f ca="1">AVERAGE(OFFSET($BH$3,0,0,'Données projet'!$E$11+1,1))-AVERAGE(OFFSET($H$3,0,0,'Données projet'!$E$11+1,1))</f>
        <v>319.01020001288975</v>
      </c>
      <c r="BJ16" s="62">
        <f t="shared" si="38"/>
        <v>312.22190035638084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26.328473604478067</v>
      </c>
      <c r="CA16" s="14">
        <f t="shared" si="39"/>
        <v>8.2916354014557783</v>
      </c>
      <c r="CB16" s="22">
        <f t="shared" si="10"/>
        <v>60.296689852001442</v>
      </c>
      <c r="CC16" s="62">
        <f t="shared" si="11"/>
        <v>259.83769010362028</v>
      </c>
      <c r="CD16" s="62">
        <f ca="1">AVERAGE(OFFSET($CC$3,0,0,'Données projet'!$E$12+1,1))-AVERAGE(OFFSET($H$3,0,0,'Données projet'!$E$12+1,1))</f>
        <v>405.06394904053946</v>
      </c>
      <c r="CE16" s="62">
        <f t="shared" si="40"/>
        <v>393.75247087518198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2.4423076923076925</v>
      </c>
      <c r="CT16" s="13">
        <f>IF('Données projet'!$A$140&gt;35,CT15+CS16-DB15,IF(A16&lt;'Données projet'!$A$140,$CQ$205^A16,IF(A16='Données projet'!$A$140,'Données projet'!$B$140,CT15+CS16-DB15)))</f>
        <v>31.750000000000011</v>
      </c>
      <c r="CU16" s="18">
        <f>CT16*VLOOKUP('Données projet'!$B$13,Paramètres!$A$1:$I$89,3,0)*VLOOKUP('Données projet'!$B$13,Paramètres!$A$1:$I$89,5,0)</f>
        <v>32.194500000000012</v>
      </c>
      <c r="CV16" s="14">
        <f t="shared" si="41"/>
        <v>9.904395208923825</v>
      </c>
      <c r="CW16" s="22">
        <f t="shared" si="13"/>
        <v>73.322242488875673</v>
      </c>
      <c r="CX16" s="62">
        <f t="shared" si="14"/>
        <v>272.86324274049446</v>
      </c>
      <c r="CY16" s="62">
        <f ca="1">AVERAGE(OFFSET($CX$3,0,0,'Données projet'!$E$13+1,1))-AVERAGE(OFFSET($H$3,0,0,'Données projet'!$E$13+1,1))</f>
        <v>474.46836359712393</v>
      </c>
      <c r="CZ16" s="62">
        <f t="shared" si="42"/>
        <v>221.28699636637722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4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2.4423076923076925</v>
      </c>
      <c r="N17" s="14">
        <f>IF('Données projet'!$A$36&gt;35,N16+M17-V16,IF(A17&lt;'Données projet'!$A$36,$K$205^A17,IF(A17='Données projet'!$A$36,'Données projet'!$B$36,N16+M17-V16)))</f>
        <v>34.192307692307701</v>
      </c>
      <c r="O17" s="14">
        <f>N17*VLOOKUP('Données projet'!$B$9,Paramètres!$A$1:$I$89,3,0)*VLOOKUP('Données projet'!$B$9,Paramètres!$A$1:$I$89,5,0)</f>
        <v>30.937200000000004</v>
      </c>
      <c r="P17" s="14">
        <f t="shared" si="33"/>
        <v>9.5618313808447351</v>
      </c>
      <c r="Q17" s="22">
        <f t="shared" si="2"/>
        <v>70.535812988304585</v>
      </c>
      <c r="R17" s="62">
        <f t="shared" si="0"/>
        <v>272.56567476057779</v>
      </c>
      <c r="S17" s="62">
        <f ca="1">AVERAGE(OFFSET($R$3,0,0,'Données projet'!$E$9+1,1))-AVERAGE(OFFSET($H$3,0,0,'Données projet'!$E$9+1,1))</f>
        <v>432.80275651765203</v>
      </c>
      <c r="T17" s="62">
        <f t="shared" si="34"/>
        <v>203.89279893419919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2.6666666666666665</v>
      </c>
      <c r="AI17" s="14">
        <f>IF('Données projet'!$A$62&gt;35,AI16+AH17-AQ16,IF(A17&lt;'Données projet'!$A$62,$AF$205^A17,IF(A17='Données projet'!$A$62,'Données projet'!$B$62,AI16+AH17-AQ16)))</f>
        <v>31.279225563578599</v>
      </c>
      <c r="AJ17" s="14">
        <f>AI17*VLOOKUP('Données projet'!$B$10,Paramètres!$A$1:$I$89,3,0)*VLOOKUP('Données projet'!$B$10,Paramètres!$A$1:$I$89,5,0)</f>
        <v>20.982104508048526</v>
      </c>
      <c r="AK17" s="14">
        <f t="shared" si="35"/>
        <v>6.7848129913241397</v>
      </c>
      <c r="AL17" s="22">
        <f t="shared" si="4"/>
        <v>48.360714644740732</v>
      </c>
      <c r="AM17" s="62">
        <f t="shared" si="5"/>
        <v>250.39057641701393</v>
      </c>
      <c r="AN17" s="62">
        <f ca="1">AVERAGE(OFFSET($AM$3,0,0,'Données projet'!$E$10+1,1))-AVERAGE(OFFSET($H$3,0,0,'Données projet'!$E$10+1,1))</f>
        <v>273.21861937609918</v>
      </c>
      <c r="AO17" s="62">
        <f t="shared" si="36"/>
        <v>268.83004886965318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25.37370777717496</v>
      </c>
      <c r="BF17" s="14">
        <f t="shared" si="37"/>
        <v>8.0253819134452193</v>
      </c>
      <c r="BG17" s="22">
        <f t="shared" si="7"/>
        <v>58.170081211163478</v>
      </c>
      <c r="BH17" s="62">
        <f t="shared" si="8"/>
        <v>260.1999429834367</v>
      </c>
      <c r="BI17" s="62">
        <f ca="1">AVERAGE(OFFSET($BH$3,0,0,'Données projet'!$E$11+1,1))-AVERAGE(OFFSET($H$3,0,0,'Données projet'!$E$11+1,1))</f>
        <v>319.01020001288975</v>
      </c>
      <c r="BJ17" s="62">
        <f t="shared" si="38"/>
        <v>312.22190035638084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33.668958396636008</v>
      </c>
      <c r="CA17" s="14">
        <f t="shared" si="39"/>
        <v>10.304150920761236</v>
      </c>
      <c r="CB17" s="22">
        <f t="shared" si="10"/>
        <v>76.586498727800205</v>
      </c>
      <c r="CC17" s="62">
        <f t="shared" si="11"/>
        <v>278.61636050007337</v>
      </c>
      <c r="CD17" s="62">
        <f ca="1">AVERAGE(OFFSET($CC$3,0,0,'Données projet'!$E$12+1,1))-AVERAGE(OFFSET($H$3,0,0,'Données projet'!$E$12+1,1))</f>
        <v>405.06394904053946</v>
      </c>
      <c r="CE17" s="62">
        <f t="shared" si="40"/>
        <v>393.75247087518198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2.4423076923076925</v>
      </c>
      <c r="CT17" s="13">
        <f>IF('Données projet'!$A$140&gt;35,CT16+CS17-DB16,IF(A17&lt;'Données projet'!$A$140,$CQ$205^A17,IF(A17='Données projet'!$A$140,'Données projet'!$B$140,CT16+CS17-DB16)))</f>
        <v>34.192307692307701</v>
      </c>
      <c r="CU17" s="18">
        <f>CT17*VLOOKUP('Données projet'!$B$13,Paramètres!$A$1:$I$89,3,0)*VLOOKUP('Données projet'!$B$13,Paramètres!$A$1:$I$89,5,0)</f>
        <v>34.671000000000006</v>
      </c>
      <c r="CV17" s="14">
        <f t="shared" si="41"/>
        <v>10.574658415877819</v>
      </c>
      <c r="CW17" s="22">
        <f t="shared" si="13"/>
        <v>78.802855074320547</v>
      </c>
      <c r="CX17" s="62">
        <f t="shared" si="14"/>
        <v>280.83271684659371</v>
      </c>
      <c r="CY17" s="62">
        <f ca="1">AVERAGE(OFFSET($CX$3,0,0,'Données projet'!$E$13+1,1))-AVERAGE(OFFSET($H$3,0,0,'Données projet'!$E$13+1,1))</f>
        <v>474.46836359712393</v>
      </c>
      <c r="CZ17" s="62">
        <f t="shared" si="42"/>
        <v>221.28699636637722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4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2.4423076923076925</v>
      </c>
      <c r="N18" s="14">
        <f>IF('Données projet'!$A$36&gt;35,N17+M18-V17,IF(A18&lt;'Données projet'!$A$36,$K$205^A18,IF(A18='Données projet'!$A$36,'Données projet'!$B$36,N17+M18-V17)))</f>
        <v>36.634615384615394</v>
      </c>
      <c r="O18" s="14">
        <f>N18*VLOOKUP('Données projet'!$B$9,Paramètres!$A$1:$I$89,3,0)*VLOOKUP('Données projet'!$B$9,Paramètres!$A$1:$I$89,5,0)</f>
        <v>33.147000000000006</v>
      </c>
      <c r="P18" s="14">
        <f t="shared" si="33"/>
        <v>10.162875024740465</v>
      </c>
      <c r="Q18" s="22">
        <f t="shared" si="2"/>
        <v>75.431365668089654</v>
      </c>
      <c r="R18" s="62">
        <f t="shared" si="0"/>
        <v>279.92811560097073</v>
      </c>
      <c r="S18" s="62">
        <f ca="1">AVERAGE(OFFSET($R$3,0,0,'Données projet'!$E$9+1,1))-AVERAGE(OFFSET($H$3,0,0,'Données projet'!$E$9+1,1))</f>
        <v>432.80275651765203</v>
      </c>
      <c r="T18" s="62">
        <f t="shared" si="34"/>
        <v>203.89279893419919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40</v>
      </c>
      <c r="AG18" s="13">
        <f>VLOOKUP(A18,'Données projet'!$A$61:$I$81,9,0)</f>
        <v>2.6666666666666665</v>
      </c>
      <c r="AH18" s="13">
        <f t="array" ref="AH18">INDEX(AG:AG,MIN(IF(ISNUMBER(AG18:AG214),ROW(AG18:AG214),"")))</f>
        <v>2.6666666666666665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26.832000000000001</v>
      </c>
      <c r="AK18" s="14">
        <f t="shared" si="35"/>
        <v>8.4315980680326312</v>
      </c>
      <c r="AL18" s="22">
        <f t="shared" si="4"/>
        <v>61.4174333018235</v>
      </c>
      <c r="AM18" s="62">
        <f t="shared" si="5"/>
        <v>265.91418323470452</v>
      </c>
      <c r="AN18" s="62">
        <f ca="1">AVERAGE(OFFSET($AM$3,0,0,'Données projet'!$E$10+1,1))-AVERAGE(OFFSET($H$3,0,0,'Données projet'!$E$10+1,1))</f>
        <v>273.21861937609918</v>
      </c>
      <c r="AO18" s="62">
        <f t="shared" si="36"/>
        <v>268.83004886965318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32.448</v>
      </c>
      <c r="BF18" s="14">
        <f t="shared" si="37"/>
        <v>9.9732733567093899</v>
      </c>
      <c r="BG18" s="22">
        <f t="shared" si="7"/>
        <v>73.883717762935518</v>
      </c>
      <c r="BH18" s="62">
        <f t="shared" si="8"/>
        <v>278.38046769581655</v>
      </c>
      <c r="BI18" s="62">
        <f ca="1">AVERAGE(OFFSET($BH$3,0,0,'Données projet'!$E$11+1,1))-AVERAGE(OFFSET($H$3,0,0,'Données projet'!$E$11+1,1))</f>
        <v>319.01020001288975</v>
      </c>
      <c r="BJ18" s="62">
        <f t="shared" si="38"/>
        <v>312.22190035638084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43.055999999999997</v>
      </c>
      <c r="CA18" s="14">
        <f t="shared" si="39"/>
        <v>12.80513687072918</v>
      </c>
      <c r="CB18" s="22">
        <f t="shared" si="10"/>
        <v>97.291480049853305</v>
      </c>
      <c r="CC18" s="62">
        <f t="shared" si="11"/>
        <v>301.78822998273438</v>
      </c>
      <c r="CD18" s="62">
        <f ca="1">AVERAGE(OFFSET($CC$3,0,0,'Données projet'!$E$12+1,1))-AVERAGE(OFFSET($H$3,0,0,'Données projet'!$E$12+1,1))</f>
        <v>405.06394904053946</v>
      </c>
      <c r="CE18" s="62">
        <f t="shared" si="40"/>
        <v>393.75247087518198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2.4423076923076925</v>
      </c>
      <c r="CT18" s="13">
        <f>IF('Données projet'!$A$140&gt;35,CT17+CS18-DB17,IF(A18&lt;'Données projet'!$A$140,$CQ$205^A18,IF(A18='Données projet'!$A$140,'Données projet'!$B$140,CT17+CS18-DB17)))</f>
        <v>36.634615384615394</v>
      </c>
      <c r="CU18" s="18">
        <f>CT18*VLOOKUP('Données projet'!$B$13,Paramètres!$A$1:$I$89,3,0)*VLOOKUP('Données projet'!$B$13,Paramètres!$A$1:$I$89,5,0)</f>
        <v>37.147500000000015</v>
      </c>
      <c r="CV18" s="14">
        <f t="shared" si="41"/>
        <v>11.239366982059453</v>
      </c>
      <c r="CW18" s="22">
        <f t="shared" si="13"/>
        <v>84.273793327086906</v>
      </c>
      <c r="CX18" s="62">
        <f t="shared" si="14"/>
        <v>288.77054325996795</v>
      </c>
      <c r="CY18" s="62">
        <f ca="1">AVERAGE(OFFSET($CX$3,0,0,'Données projet'!$E$13+1,1))-AVERAGE(OFFSET($H$3,0,0,'Données projet'!$E$13+1,1))</f>
        <v>474.46836359712393</v>
      </c>
      <c r="CZ18" s="62">
        <f t="shared" si="42"/>
        <v>221.28699636637722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4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2.4423076923076925</v>
      </c>
      <c r="N19" s="14">
        <f>IF('Données projet'!$A$36&gt;35,N18+M19-V18,IF(A19&lt;'Données projet'!$A$36,$K$205^A19,IF(A19='Données projet'!$A$36,'Données projet'!$B$36,N18+M19-V18)))</f>
        <v>39.076923076923087</v>
      </c>
      <c r="O19" s="14">
        <f>N19*VLOOKUP('Données projet'!$B$9,Paramètres!$A$1:$I$89,3,0)*VLOOKUP('Données projet'!$B$9,Paramètres!$A$1:$I$89,5,0)</f>
        <v>35.356800000000007</v>
      </c>
      <c r="P19" s="14">
        <f t="shared" si="33"/>
        <v>10.759268985483914</v>
      </c>
      <c r="Q19" s="22">
        <f t="shared" si="2"/>
        <v>80.318820149717823</v>
      </c>
      <c r="R19" s="62">
        <f t="shared" si="0"/>
        <v>287.26086607183186</v>
      </c>
      <c r="S19" s="62">
        <f ca="1">AVERAGE(OFFSET($R$3,0,0,'Données projet'!$E$9+1,1))-AVERAGE(OFFSET($H$3,0,0,'Données projet'!$E$9+1,1))</f>
        <v>432.80275651765203</v>
      </c>
      <c r="T19" s="62">
        <f t="shared" si="34"/>
        <v>203.89279893419919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46.6</v>
      </c>
      <c r="AJ19" s="14">
        <f>AI19*VLOOKUP('Données projet'!$B$10,Paramètres!$A$1:$I$89,3,0)*VLOOKUP('Données projet'!$B$10,Paramètres!$A$1:$I$89,5,0)</f>
        <v>31.25928</v>
      </c>
      <c r="AK19" s="14">
        <f t="shared" si="35"/>
        <v>9.6497371409320873</v>
      </c>
      <c r="AL19" s="22">
        <f t="shared" si="4"/>
        <v>71.249871520456722</v>
      </c>
      <c r="AM19" s="62">
        <f t="shared" si="5"/>
        <v>278.1919174425708</v>
      </c>
      <c r="AN19" s="62">
        <f ca="1">AVERAGE(OFFSET($AM$3,0,0,'Données projet'!$E$10+1,1))-AVERAGE(OFFSET($H$3,0,0,'Données projet'!$E$10+1,1))</f>
        <v>273.21861937609918</v>
      </c>
      <c r="AO19" s="62">
        <f t="shared" si="36"/>
        <v>268.83004886965318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37.801920000000003</v>
      </c>
      <c r="BF19" s="14">
        <f t="shared" si="37"/>
        <v>11.414143030819638</v>
      </c>
      <c r="BG19" s="22">
        <f t="shared" si="7"/>
        <v>85.717976445344206</v>
      </c>
      <c r="BH19" s="62">
        <f t="shared" si="8"/>
        <v>292.66002236745828</v>
      </c>
      <c r="BI19" s="62">
        <f ca="1">AVERAGE(OFFSET($BH$3,0,0,'Données projet'!$E$11+1,1))-AVERAGE(OFFSET($H$3,0,0,'Données projet'!$E$11+1,1))</f>
        <v>319.01020001288975</v>
      </c>
      <c r="BJ19" s="62">
        <f t="shared" si="38"/>
        <v>312.22190035638084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46.6</v>
      </c>
      <c r="BZ19" s="14">
        <f>BY19*VLOOKUP('Données projet'!$B$12,Paramètres!$A$1:$I$89,3,0)*VLOOKUP('Données projet'!$B$12,Paramètres!$A$1:$I$89,5,0)</f>
        <v>50.160239999999995</v>
      </c>
      <c r="CA19" s="14">
        <f t="shared" si="39"/>
        <v>14.655134632743033</v>
      </c>
      <c r="CB19" s="22">
        <f t="shared" si="10"/>
        <v>112.88677748536077</v>
      </c>
      <c r="CC19" s="62">
        <f t="shared" si="11"/>
        <v>319.82882340747483</v>
      </c>
      <c r="CD19" s="62">
        <f ca="1">AVERAGE(OFFSET($CC$3,0,0,'Données projet'!$E$12+1,1))-AVERAGE(OFFSET($H$3,0,0,'Données projet'!$E$12+1,1))</f>
        <v>405.06394904053946</v>
      </c>
      <c r="CE19" s="62">
        <f t="shared" si="40"/>
        <v>393.75247087518198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2.4423076923076925</v>
      </c>
      <c r="CT19" s="13">
        <f>IF('Données projet'!$A$140&gt;35,CT18+CS19-DB18,IF(A19&lt;'Données projet'!$A$140,$CQ$205^A19,IF(A19='Données projet'!$A$140,'Données projet'!$B$140,CT18+CS19-DB18)))</f>
        <v>39.076923076923087</v>
      </c>
      <c r="CU19" s="18">
        <f>CT19*VLOOKUP('Données projet'!$B$13,Paramètres!$A$1:$I$89,3,0)*VLOOKUP('Données projet'!$B$13,Paramètres!$A$1:$I$89,5,0)</f>
        <v>39.624000000000017</v>
      </c>
      <c r="CV19" s="14">
        <f t="shared" si="41"/>
        <v>11.898933352241277</v>
      </c>
      <c r="CW19" s="22">
        <f t="shared" si="13"/>
        <v>89.735775588486931</v>
      </c>
      <c r="CX19" s="62">
        <f t="shared" si="14"/>
        <v>296.67782151060101</v>
      </c>
      <c r="CY19" s="62">
        <f ca="1">AVERAGE(OFFSET($CX$3,0,0,'Données projet'!$E$13+1,1))-AVERAGE(OFFSET($H$3,0,0,'Données projet'!$E$13+1,1))</f>
        <v>474.46836359712393</v>
      </c>
      <c r="CZ19" s="62">
        <f t="shared" si="42"/>
        <v>221.28699636637722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4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2.4423076923076925</v>
      </c>
      <c r="N20" s="14">
        <f>IF('Données projet'!$A$36&gt;35,N19+M20-V19,IF(A20&lt;'Données projet'!$A$36,$K$205^A20,IF(A20='Données projet'!$A$36,'Données projet'!$B$36,N19+M20-V19)))</f>
        <v>41.519230769230781</v>
      </c>
      <c r="O20" s="14">
        <f>N20*VLOOKUP('Données projet'!$B$9,Paramètres!$A$1:$I$89,3,0)*VLOOKUP('Données projet'!$B$9,Paramètres!$A$1:$I$89,5,0)</f>
        <v>37.566600000000008</v>
      </c>
      <c r="P20" s="14">
        <f t="shared" si="33"/>
        <v>11.351336951915854</v>
      </c>
      <c r="Q20" s="22">
        <f t="shared" si="2"/>
        <v>85.198740191253449</v>
      </c>
      <c r="R20" s="62">
        <f t="shared" si="0"/>
        <v>294.56486450712617</v>
      </c>
      <c r="S20" s="62">
        <f ca="1">AVERAGE(OFFSET($R$3,0,0,'Données projet'!$E$9+1,1))-AVERAGE(OFFSET($H$3,0,0,'Données projet'!$E$9+1,1))</f>
        <v>432.80275651765203</v>
      </c>
      <c r="T20" s="62">
        <f t="shared" si="34"/>
        <v>203.89279893419919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56.2</v>
      </c>
      <c r="AJ20" s="14">
        <f>AI20*VLOOKUP('Données projet'!$B$10,Paramètres!$A$1:$I$89,3,0)*VLOOKUP('Données projet'!$B$10,Paramètres!$A$1:$I$89,5,0)</f>
        <v>37.69896</v>
      </c>
      <c r="AK20" s="14">
        <f t="shared" si="35"/>
        <v>11.38666898611536</v>
      </c>
      <c r="AL20" s="22">
        <f t="shared" si="4"/>
        <v>85.490803817484263</v>
      </c>
      <c r="AM20" s="62">
        <f t="shared" si="5"/>
        <v>294.85692813335697</v>
      </c>
      <c r="AN20" s="62">
        <f ca="1">AVERAGE(OFFSET($AM$3,0,0,'Données projet'!$E$10+1,1))-AVERAGE(OFFSET($H$3,0,0,'Données projet'!$E$10+1,1))</f>
        <v>273.21861937609918</v>
      </c>
      <c r="AO20" s="62">
        <f t="shared" si="36"/>
        <v>268.83004886965318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45.58944000000001</v>
      </c>
      <c r="BF20" s="14">
        <f t="shared" si="37"/>
        <v>13.468664125659778</v>
      </c>
      <c r="BG20" s="22">
        <f t="shared" si="7"/>
        <v>102.8595313521908</v>
      </c>
      <c r="BH20" s="62">
        <f t="shared" si="8"/>
        <v>312.2256556680635</v>
      </c>
      <c r="BI20" s="62">
        <f ca="1">AVERAGE(OFFSET($BH$3,0,0,'Données projet'!$E$11+1,1))-AVERAGE(OFFSET($H$3,0,0,'Données projet'!$E$11+1,1))</f>
        <v>319.01020001288975</v>
      </c>
      <c r="BJ20" s="62">
        <f t="shared" si="38"/>
        <v>312.22190035638084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56.2</v>
      </c>
      <c r="BZ20" s="14">
        <f>BY20*VLOOKUP('Données projet'!$B$12,Paramètres!$A$1:$I$89,3,0)*VLOOKUP('Données projet'!$B$12,Paramètres!$A$1:$I$89,5,0)</f>
        <v>60.493679999999998</v>
      </c>
      <c r="CA20" s="14">
        <f t="shared" si="39"/>
        <v>17.293027216478315</v>
      </c>
      <c r="CB20" s="22">
        <f t="shared" si="10"/>
        <v>135.47851506869969</v>
      </c>
      <c r="CC20" s="62">
        <f t="shared" si="11"/>
        <v>344.84463938457242</v>
      </c>
      <c r="CD20" s="62">
        <f ca="1">AVERAGE(OFFSET($CC$3,0,0,'Données projet'!$E$12+1,1))-AVERAGE(OFFSET($H$3,0,0,'Données projet'!$E$12+1,1))</f>
        <v>405.06394904053946</v>
      </c>
      <c r="CE20" s="62">
        <f t="shared" si="40"/>
        <v>393.75247087518198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2.4423076923076925</v>
      </c>
      <c r="CT20" s="13">
        <f>IF('Données projet'!$A$140&gt;35,CT19+CS20-DB19,IF(A20&lt;'Données projet'!$A$140,$CQ$205^A20,IF(A20='Données projet'!$A$140,'Données projet'!$B$140,CT19+CS20-DB19)))</f>
        <v>41.519230769230781</v>
      </c>
      <c r="CU20" s="18">
        <f>CT20*VLOOKUP('Données projet'!$B$13,Paramètres!$A$1:$I$89,3,0)*VLOOKUP('Données projet'!$B$13,Paramètres!$A$1:$I$89,5,0)</f>
        <v>42.100500000000011</v>
      </c>
      <c r="CV20" s="14">
        <f t="shared" si="41"/>
        <v>12.553715501667565</v>
      </c>
      <c r="CW20" s="22">
        <f t="shared" si="13"/>
        <v>95.189425332071025</v>
      </c>
      <c r="CX20" s="62">
        <f t="shared" si="14"/>
        <v>304.55554964794374</v>
      </c>
      <c r="CY20" s="62">
        <f ca="1">AVERAGE(OFFSET($CX$3,0,0,'Données projet'!$E$13+1,1))-AVERAGE(OFFSET($H$3,0,0,'Données projet'!$E$13+1,1))</f>
        <v>474.46836359712393</v>
      </c>
      <c r="CZ20" s="62">
        <f t="shared" si="42"/>
        <v>221.28699636637722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4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2.4423076923076925</v>
      </c>
      <c r="N21" s="14">
        <f>IF('Données projet'!$A$36&gt;35,N20+M21-V20,IF(A21&lt;'Données projet'!$A$36,$K$205^A21,IF(A21='Données projet'!$A$36,'Données projet'!$B$36,N20+M21-V20)))</f>
        <v>43.961538461538474</v>
      </c>
      <c r="O21" s="14">
        <f>N21*VLOOKUP('Données projet'!$B$9,Paramètres!$A$1:$I$89,3,0)*VLOOKUP('Données projet'!$B$9,Paramètres!$A$1:$I$89,5,0)</f>
        <v>39.77640000000001</v>
      </c>
      <c r="P21" s="14">
        <f t="shared" si="33"/>
        <v>11.93936238061127</v>
      </c>
      <c r="Q21" s="22">
        <f t="shared" si="2"/>
        <v>90.071619479564632</v>
      </c>
      <c r="R21" s="62">
        <f t="shared" si="0"/>
        <v>301.84097267156773</v>
      </c>
      <c r="S21" s="62">
        <f ca="1">AVERAGE(OFFSET($R$3,0,0,'Données projet'!$E$9+1,1))-AVERAGE(OFFSET($H$3,0,0,'Données projet'!$E$9+1,1))</f>
        <v>432.80275651765203</v>
      </c>
      <c r="T21" s="62">
        <f t="shared" si="34"/>
        <v>203.89279893419919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65.8</v>
      </c>
      <c r="AJ21" s="14">
        <f>AI21*VLOOKUP('Données projet'!$B$10,Paramètres!$A$1:$I$89,3,0)*VLOOKUP('Données projet'!$B$10,Paramètres!$A$1:$I$89,5,0)</f>
        <v>44.138639999999995</v>
      </c>
      <c r="AK21" s="14">
        <f t="shared" si="35"/>
        <v>13.089229634046784</v>
      </c>
      <c r="AL21" s="22">
        <f t="shared" si="4"/>
        <v>99.671872945964807</v>
      </c>
      <c r="AM21" s="62">
        <f t="shared" si="5"/>
        <v>311.44122613796793</v>
      </c>
      <c r="AN21" s="62">
        <f ca="1">AVERAGE(OFFSET($AM$3,0,0,'Données projet'!$E$10+1,1))-AVERAGE(OFFSET($H$3,0,0,'Données projet'!$E$10+1,1))</f>
        <v>273.21861937609918</v>
      </c>
      <c r="AO21" s="62">
        <f t="shared" si="36"/>
        <v>268.83004886965318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53.376960000000004</v>
      </c>
      <c r="BF21" s="14">
        <f t="shared" si="37"/>
        <v>15.48252942274674</v>
      </c>
      <c r="BG21" s="22">
        <f t="shared" si="7"/>
        <v>119.9302774112839</v>
      </c>
      <c r="BH21" s="62">
        <f t="shared" si="8"/>
        <v>331.69963060328701</v>
      </c>
      <c r="BI21" s="62">
        <f ca="1">AVERAGE(OFFSET($BH$3,0,0,'Données projet'!$E$11+1,1))-AVERAGE(OFFSET($H$3,0,0,'Données projet'!$E$11+1,1))</f>
        <v>319.01020001288975</v>
      </c>
      <c r="BJ21" s="62">
        <f t="shared" si="38"/>
        <v>312.22190035638084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65.8</v>
      </c>
      <c r="BZ21" s="14">
        <f>BY21*VLOOKUP('Données projet'!$B$12,Paramètres!$A$1:$I$89,3,0)*VLOOKUP('Données projet'!$B$12,Paramètres!$A$1:$I$89,5,0)</f>
        <v>70.827119999999994</v>
      </c>
      <c r="CA21" s="14">
        <f t="shared" si="39"/>
        <v>19.878719982140034</v>
      </c>
      <c r="CB21" s="22">
        <f t="shared" si="10"/>
        <v>157.97933796889387</v>
      </c>
      <c r="CC21" s="62">
        <f t="shared" si="11"/>
        <v>369.74869116089701</v>
      </c>
      <c r="CD21" s="62">
        <f ca="1">AVERAGE(OFFSET($CC$3,0,0,'Données projet'!$E$12+1,1))-AVERAGE(OFFSET($H$3,0,0,'Données projet'!$E$12+1,1))</f>
        <v>405.06394904053946</v>
      </c>
      <c r="CE21" s="62">
        <f t="shared" si="40"/>
        <v>393.75247087518198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2.4423076923076925</v>
      </c>
      <c r="CT21" s="13">
        <f>IF('Données projet'!$A$140&gt;35,CT20+CS21-DB20,IF(A21&lt;'Données projet'!$A$140,$CQ$205^A21,IF(A21='Données projet'!$A$140,'Données projet'!$B$140,CT20+CS21-DB20)))</f>
        <v>43.961538461538474</v>
      </c>
      <c r="CU21" s="18">
        <f>CT21*VLOOKUP('Données projet'!$B$13,Paramètres!$A$1:$I$89,3,0)*VLOOKUP('Données projet'!$B$13,Paramètres!$A$1:$I$89,5,0)</f>
        <v>44.577000000000019</v>
      </c>
      <c r="CV21" s="14">
        <f t="shared" si="41"/>
        <v>13.204026911755905</v>
      </c>
      <c r="CW21" s="22">
        <f t="shared" si="13"/>
        <v>100.63528853797489</v>
      </c>
      <c r="CX21" s="62">
        <f t="shared" si="14"/>
        <v>312.40464172997798</v>
      </c>
      <c r="CY21" s="62">
        <f ca="1">AVERAGE(OFFSET($CX$3,0,0,'Données projet'!$E$13+1,1))-AVERAGE(OFFSET($H$3,0,0,'Données projet'!$E$13+1,1))</f>
        <v>474.46836359712393</v>
      </c>
      <c r="CZ21" s="62">
        <f t="shared" si="42"/>
        <v>221.28699636637722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4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2.4423076923076925</v>
      </c>
      <c r="N22" s="14">
        <f>IF('Données projet'!$A$36&gt;35,N21+M22-V21,IF(A22&lt;'Données projet'!$A$36,$K$205^A22,IF(A22='Données projet'!$A$36,'Données projet'!$B$36,N21+M22-V21)))</f>
        <v>46.403846153846168</v>
      </c>
      <c r="O22" s="14">
        <f>N22*VLOOKUP('Données projet'!$B$9,Paramètres!$A$1:$I$89,3,0)*VLOOKUP('Données projet'!$B$9,Paramètres!$A$1:$I$89,5,0)</f>
        <v>41.986200000000011</v>
      </c>
      <c r="P22" s="14">
        <f t="shared" si="33"/>
        <v>12.523595454155831</v>
      </c>
      <c r="Q22" s="22">
        <f t="shared" si="2"/>
        <v>94.937893749321418</v>
      </c>
      <c r="R22" s="62">
        <f t="shared" si="0"/>
        <v>309.08998799234496</v>
      </c>
      <c r="S22" s="62">
        <f ca="1">AVERAGE(OFFSET($R$3,0,0,'Données projet'!$E$9+1,1))-AVERAGE(OFFSET($H$3,0,0,'Données projet'!$E$9+1,1))</f>
        <v>432.80275651765203</v>
      </c>
      <c r="T22" s="62">
        <f t="shared" si="34"/>
        <v>203.89279893419919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75.399999999999991</v>
      </c>
      <c r="AJ22" s="14">
        <f>AI22*VLOOKUP('Données projet'!$B$10,Paramètres!$A$1:$I$89,3,0)*VLOOKUP('Données projet'!$B$10,Paramètres!$A$1:$I$89,5,0)</f>
        <v>50.578319999999998</v>
      </c>
      <c r="AK22" s="14">
        <f t="shared" si="35"/>
        <v>14.763013215913022</v>
      </c>
      <c r="AL22" s="22">
        <f t="shared" si="4"/>
        <v>113.80282201771517</v>
      </c>
      <c r="AM22" s="62">
        <f t="shared" si="5"/>
        <v>327.95491626073868</v>
      </c>
      <c r="AN22" s="62">
        <f ca="1">AVERAGE(OFFSET($AM$3,0,0,'Données projet'!$E$10+1,1))-AVERAGE(OFFSET($H$3,0,0,'Données projet'!$E$10+1,1))</f>
        <v>273.21861937609918</v>
      </c>
      <c r="AO22" s="62">
        <f t="shared" si="36"/>
        <v>268.83004886965318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61.164479999999998</v>
      </c>
      <c r="BF22" s="14">
        <f t="shared" si="37"/>
        <v>17.462355912011439</v>
      </c>
      <c r="BG22" s="22">
        <f t="shared" si="7"/>
        <v>136.94173921341994</v>
      </c>
      <c r="BH22" s="62">
        <f t="shared" si="8"/>
        <v>351.09383345644346</v>
      </c>
      <c r="BI22" s="62">
        <f ca="1">AVERAGE(OFFSET($BH$3,0,0,'Données projet'!$E$11+1,1))-AVERAGE(OFFSET($H$3,0,0,'Données projet'!$E$11+1,1))</f>
        <v>319.01020001288975</v>
      </c>
      <c r="BJ22" s="62">
        <f t="shared" si="38"/>
        <v>312.22190035638084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75.399999999999991</v>
      </c>
      <c r="BZ22" s="14">
        <f>BY22*VLOOKUP('Données projet'!$B$12,Paramètres!$A$1:$I$89,3,0)*VLOOKUP('Données projet'!$B$12,Paramètres!$A$1:$I$89,5,0)</f>
        <v>81.16055999999999</v>
      </c>
      <c r="CA22" s="14">
        <f t="shared" si="39"/>
        <v>22.420708782464498</v>
      </c>
      <c r="CB22" s="22">
        <f t="shared" si="10"/>
        <v>180.40404312945898</v>
      </c>
      <c r="CC22" s="62">
        <f t="shared" si="11"/>
        <v>394.55613737248251</v>
      </c>
      <c r="CD22" s="62">
        <f ca="1">AVERAGE(OFFSET($CC$3,0,0,'Données projet'!$E$12+1,1))-AVERAGE(OFFSET($H$3,0,0,'Données projet'!$E$12+1,1))</f>
        <v>405.06394904053946</v>
      </c>
      <c r="CE22" s="62">
        <f t="shared" si="40"/>
        <v>393.75247087518198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2.4423076923076925</v>
      </c>
      <c r="CT22" s="13">
        <f>IF('Données projet'!$A$140&gt;35,CT21+CS22-DB21,IF(A22&lt;'Données projet'!$A$140,$CQ$205^A22,IF(A22='Données projet'!$A$140,'Données projet'!$B$140,CT21+CS22-DB21)))</f>
        <v>46.403846153846168</v>
      </c>
      <c r="CU22" s="18">
        <f>CT22*VLOOKUP('Données projet'!$B$13,Paramètres!$A$1:$I$89,3,0)*VLOOKUP('Données projet'!$B$13,Paramètres!$A$1:$I$89,5,0)</f>
        <v>47.053500000000014</v>
      </c>
      <c r="CV22" s="14">
        <f t="shared" si="41"/>
        <v>13.850144265421925</v>
      </c>
      <c r="CW22" s="22">
        <f t="shared" si="13"/>
        <v>106.07384709560988</v>
      </c>
      <c r="CX22" s="62">
        <f t="shared" si="14"/>
        <v>320.22594133863339</v>
      </c>
      <c r="CY22" s="62">
        <f ca="1">AVERAGE(OFFSET($CX$3,0,0,'Données projet'!$E$13+1,1))-AVERAGE(OFFSET($H$3,0,0,'Données projet'!$E$13+1,1))</f>
        <v>474.46836359712393</v>
      </c>
      <c r="CZ22" s="62">
        <f t="shared" si="42"/>
        <v>221.28699636637722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4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2.4423076923076925</v>
      </c>
      <c r="N23" s="14">
        <f>IF('Données projet'!$A$36&gt;35,N22+M23-V22,IF(A23&lt;'Données projet'!$A$36,$K$205^A23,IF(A23='Données projet'!$A$36,'Données projet'!$B$36,N22+M23-V22)))</f>
        <v>48.846153846153861</v>
      </c>
      <c r="O23" s="14">
        <f>N23*VLOOKUP('Données projet'!$B$9,Paramètres!$A$1:$I$89,3,0)*VLOOKUP('Données projet'!$B$9,Paramètres!$A$1:$I$89,5,0)</f>
        <v>44.196000000000012</v>
      </c>
      <c r="P23" s="14">
        <f t="shared" si="33"/>
        <v>13.104258532731833</v>
      </c>
      <c r="Q23" s="22">
        <f t="shared" si="2"/>
        <v>99.797950277841281</v>
      </c>
      <c r="R23" s="62">
        <f t="shared" si="0"/>
        <v>316.31265316473701</v>
      </c>
      <c r="S23" s="62">
        <f ca="1">AVERAGE(OFFSET($R$3,0,0,'Données projet'!$E$9+1,1))-AVERAGE(OFFSET($H$3,0,0,'Données projet'!$E$9+1,1))</f>
        <v>432.80275651765203</v>
      </c>
      <c r="T23" s="62">
        <f t="shared" si="34"/>
        <v>203.89279893419919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85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84.999999999999986</v>
      </c>
      <c r="AJ23" s="14">
        <f>AI23*VLOOKUP('Données projet'!$B$10,Paramètres!$A$1:$I$89,3,0)*VLOOKUP('Données projet'!$B$10,Paramètres!$A$1:$I$89,5,0)</f>
        <v>57.017999999999986</v>
      </c>
      <c r="AK23" s="14">
        <f t="shared" si="35"/>
        <v>16.412103612717626</v>
      </c>
      <c r="AL23" s="22">
        <f t="shared" si="4"/>
        <v>127.89076379214983</v>
      </c>
      <c r="AM23" s="62">
        <f t="shared" si="5"/>
        <v>344.40546667904556</v>
      </c>
      <c r="AN23" s="62">
        <f ca="1">AVERAGE(OFFSET($AM$3,0,0,'Données projet'!$E$10+1,1))-AVERAGE(OFFSET($H$3,0,0,'Données projet'!$E$10+1,1))</f>
        <v>273.21861937609918</v>
      </c>
      <c r="AO23" s="62">
        <f t="shared" si="36"/>
        <v>268.83004886965318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25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68.951999999999998</v>
      </c>
      <c r="BF23" s="14">
        <f t="shared" si="37"/>
        <v>19.412974191553594</v>
      </c>
      <c r="BG23" s="22">
        <f t="shared" si="7"/>
        <v>153.90233005028915</v>
      </c>
      <c r="BH23" s="62">
        <f t="shared" si="8"/>
        <v>370.4170329371849</v>
      </c>
      <c r="BI23" s="62">
        <f ca="1">AVERAGE(OFFSET($BH$3,0,0,'Données projet'!$E$11+1,1))-AVERAGE(OFFSET($H$3,0,0,'Données projet'!$E$11+1,1))</f>
        <v>319.01020001288975</v>
      </c>
      <c r="BJ23" s="62">
        <f t="shared" si="38"/>
        <v>312.22190035638084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85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84.999999999999986</v>
      </c>
      <c r="BZ23" s="14">
        <f>BY23*VLOOKUP('Données projet'!$B$12,Paramètres!$A$1:$I$89,3,0)*VLOOKUP('Données projet'!$B$12,Paramètres!$A$1:$I$89,5,0)</f>
        <v>91.493999999999986</v>
      </c>
      <c r="CA23" s="14">
        <f t="shared" si="39"/>
        <v>24.925195840896517</v>
      </c>
      <c r="CB23" s="22">
        <f t="shared" si="10"/>
        <v>202.76343275622807</v>
      </c>
      <c r="CC23" s="62">
        <f t="shared" si="11"/>
        <v>419.27813564312379</v>
      </c>
      <c r="CD23" s="62">
        <f ca="1">AVERAGE(OFFSET($CC$3,0,0,'Données projet'!$E$12+1,1))-AVERAGE(OFFSET($H$3,0,0,'Données projet'!$E$12+1,1))</f>
        <v>405.06394904053946</v>
      </c>
      <c r="CE23" s="62">
        <f t="shared" si="40"/>
        <v>393.75247087518198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2.4423076923076925</v>
      </c>
      <c r="CT23" s="13">
        <f>IF('Données projet'!$A$140&gt;35,CT22+CS23-DB22,IF(A23&lt;'Données projet'!$A$140,$CQ$205^A23,IF(A23='Données projet'!$A$140,'Données projet'!$B$140,CT22+CS23-DB22)))</f>
        <v>48.846153846153861</v>
      </c>
      <c r="CU23" s="18">
        <f>CT23*VLOOKUP('Données projet'!$B$13,Paramètres!$A$1:$I$89,3,0)*VLOOKUP('Données projet'!$B$13,Paramètres!$A$1:$I$89,5,0)</f>
        <v>49.530000000000015</v>
      </c>
      <c r="CV23" s="14">
        <f t="shared" si="41"/>
        <v>14.492313476118754</v>
      </c>
      <c r="CW23" s="22">
        <f t="shared" si="13"/>
        <v>111.50552930424017</v>
      </c>
      <c r="CX23" s="62">
        <f t="shared" si="14"/>
        <v>328.0202321911359</v>
      </c>
      <c r="CY23" s="62">
        <f ca="1">AVERAGE(OFFSET($CX$3,0,0,'Données projet'!$E$13+1,1))-AVERAGE(OFFSET($H$3,0,0,'Données projet'!$E$13+1,1))</f>
        <v>474.46836359712393</v>
      </c>
      <c r="CZ23" s="62">
        <f t="shared" si="42"/>
        <v>221.28699636637722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4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2.4423076923076925</v>
      </c>
      <c r="N24" s="14">
        <f>IF('Données projet'!$A$36&gt;35,N23+M24-V23,IF(A24&lt;'Données projet'!$A$36,$K$205^A24,IF(A24='Données projet'!$A$36,'Données projet'!$B$36,N23+M24-V23)))</f>
        <v>51.288461538461554</v>
      </c>
      <c r="O24" s="14">
        <f>N24*VLOOKUP('Données projet'!$B$9,Paramètres!$A$1:$I$89,3,0)*VLOOKUP('Données projet'!$B$9,Paramètres!$A$1:$I$89,5,0)</f>
        <v>46.405800000000013</v>
      </c>
      <c r="P24" s="14">
        <f t="shared" si="33"/>
        <v>13.681550484401901</v>
      </c>
      <c r="Q24" s="22">
        <f t="shared" si="2"/>
        <v>104.652135427</v>
      </c>
      <c r="R24" s="62">
        <f t="shared" si="0"/>
        <v>323.5096638028744</v>
      </c>
      <c r="S24" s="62">
        <f ca="1">AVERAGE(OFFSET($R$3,0,0,'Données projet'!$E$9+1,1))-AVERAGE(OFFSET($H$3,0,0,'Données projet'!$E$9+1,1))</f>
        <v>432.80275651765203</v>
      </c>
      <c r="T24" s="62">
        <f t="shared" si="34"/>
        <v>203.89279893419919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70.59999999999998</v>
      </c>
      <c r="AJ24" s="14">
        <f>AI24*VLOOKUP('Données projet'!$B$10,Paramètres!$A$1:$I$89,3,0)*VLOOKUP('Données projet'!$B$10,Paramètres!$A$1:$I$89,5,0)</f>
        <v>47.358479999999986</v>
      </c>
      <c r="AK24" s="14">
        <f t="shared" si="35"/>
        <v>13.929435643641453</v>
      </c>
      <c r="AL24" s="22">
        <f t="shared" si="4"/>
        <v>106.74311974600884</v>
      </c>
      <c r="AM24" s="62">
        <f t="shared" si="5"/>
        <v>325.60064812188324</v>
      </c>
      <c r="AN24" s="62">
        <f ca="1">AVERAGE(OFFSET($AM$3,0,0,'Données projet'!$E$10+1,1))-AVERAGE(OFFSET($H$3,0,0,'Données projet'!$E$10+1,1))</f>
        <v>273.21861937609918</v>
      </c>
      <c r="AO24" s="62">
        <f t="shared" si="36"/>
        <v>268.83004886965318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57.270719999999983</v>
      </c>
      <c r="BF24" s="14">
        <f t="shared" si="37"/>
        <v>16.476362874249581</v>
      </c>
      <c r="BG24" s="22">
        <f t="shared" si="7"/>
        <v>128.44283600598467</v>
      </c>
      <c r="BH24" s="62">
        <f t="shared" si="8"/>
        <v>347.30036438185903</v>
      </c>
      <c r="BI24" s="62">
        <f ca="1">AVERAGE(OFFSET($BH$3,0,0,'Données projet'!$E$11+1,1))-AVERAGE(OFFSET($H$3,0,0,'Données projet'!$E$11+1,1))</f>
        <v>319.01020001288975</v>
      </c>
      <c r="BJ24" s="62">
        <f t="shared" si="38"/>
        <v>312.22190035638084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75.993839999999977</v>
      </c>
      <c r="CA24" s="14">
        <f t="shared" si="39"/>
        <v>21.15474771326021</v>
      </c>
      <c r="CB24" s="22">
        <f t="shared" si="10"/>
        <v>169.20045693392817</v>
      </c>
      <c r="CC24" s="62">
        <f t="shared" si="11"/>
        <v>388.05798530980258</v>
      </c>
      <c r="CD24" s="62">
        <f ca="1">AVERAGE(OFFSET($CC$3,0,0,'Données projet'!$E$12+1,1))-AVERAGE(OFFSET($H$3,0,0,'Données projet'!$E$12+1,1))</f>
        <v>405.06394904053946</v>
      </c>
      <c r="CE24" s="62">
        <f t="shared" si="40"/>
        <v>393.75247087518198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2.4423076923076925</v>
      </c>
      <c r="CT24" s="13">
        <f>IF('Données projet'!$A$140&gt;35,CT23+CS24-DB23,IF(A24&lt;'Données projet'!$A$140,$CQ$205^A24,IF(A24='Données projet'!$A$140,'Données projet'!$B$140,CT23+CS24-DB23)))</f>
        <v>51.288461538461554</v>
      </c>
      <c r="CU24" s="18">
        <f>CT24*VLOOKUP('Données projet'!$B$13,Paramètres!$A$1:$I$89,3,0)*VLOOKUP('Données projet'!$B$13,Paramètres!$A$1:$I$89,5,0)</f>
        <v>52.006500000000024</v>
      </c>
      <c r="CV24" s="14">
        <f t="shared" si="41"/>
        <v>15.130754476801522</v>
      </c>
      <c r="CW24" s="22">
        <f t="shared" si="13"/>
        <v>116.93071821376269</v>
      </c>
      <c r="CX24" s="62">
        <f t="shared" si="14"/>
        <v>335.78824658963708</v>
      </c>
      <c r="CY24" s="62">
        <f ca="1">AVERAGE(OFFSET($CX$3,0,0,'Données projet'!$E$13+1,1))-AVERAGE(OFFSET($H$3,0,0,'Données projet'!$E$13+1,1))</f>
        <v>474.46836359712393</v>
      </c>
      <c r="CZ24" s="62">
        <f t="shared" si="42"/>
        <v>221.28699636637722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4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2.4423076923076925</v>
      </c>
      <c r="N25" s="14">
        <f>IF('Données projet'!$A$36&gt;35,N24+M25-V24,IF(A25&lt;'Données projet'!$A$36,$K$205^A25,IF(A25='Données projet'!$A$36,'Données projet'!$B$36,N24+M25-V24)))</f>
        <v>53.730769230769248</v>
      </c>
      <c r="O25" s="14">
        <f>N25*VLOOKUP('Données projet'!$B$9,Paramètres!$A$1:$I$89,3,0)*VLOOKUP('Données projet'!$B$9,Paramètres!$A$1:$I$89,5,0)</f>
        <v>48.615600000000015</v>
      </c>
      <c r="P25" s="14">
        <f t="shared" si="33"/>
        <v>14.255650167206925</v>
      </c>
      <c r="Q25" s="22">
        <f t="shared" si="2"/>
        <v>109.50076070788542</v>
      </c>
      <c r="R25" s="62">
        <f t="shared" si="0"/>
        <v>330.6816746113538</v>
      </c>
      <c r="S25" s="62">
        <f ca="1">AVERAGE(OFFSET($R$3,0,0,'Données projet'!$E$9+1,1))-AVERAGE(OFFSET($H$3,0,0,'Données projet'!$E$9+1,1))</f>
        <v>432.80275651765203</v>
      </c>
      <c r="T25" s="62">
        <f t="shared" si="34"/>
        <v>203.89279893419919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81.199999999999974</v>
      </c>
      <c r="AJ25" s="14">
        <f>AI25*VLOOKUP('Données projet'!$B$10,Paramètres!$A$1:$I$89,3,0)*VLOOKUP('Données projet'!$B$10,Paramètres!$A$1:$I$89,5,0)</f>
        <v>54.468959999999988</v>
      </c>
      <c r="AK25" s="14">
        <f t="shared" si="35"/>
        <v>15.762075185238176</v>
      </c>
      <c r="AL25" s="22">
        <f t="shared" si="4"/>
        <v>122.31905294762315</v>
      </c>
      <c r="AM25" s="62">
        <f t="shared" si="5"/>
        <v>343.49996685109153</v>
      </c>
      <c r="AN25" s="62">
        <f ca="1">AVERAGE(OFFSET($AM$3,0,0,'Données projet'!$E$10+1,1))-AVERAGE(OFFSET($H$3,0,0,'Données projet'!$E$10+1,1))</f>
        <v>273.21861937609918</v>
      </c>
      <c r="AO25" s="62">
        <f t="shared" si="36"/>
        <v>268.83004886965318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65.869439999999983</v>
      </c>
      <c r="BF25" s="14">
        <f t="shared" si="37"/>
        <v>18.644091336301784</v>
      </c>
      <c r="BG25" s="22">
        <f t="shared" si="7"/>
        <v>147.19440041072556</v>
      </c>
      <c r="BH25" s="62">
        <f t="shared" si="8"/>
        <v>368.37531431419393</v>
      </c>
      <c r="BI25" s="62">
        <f ca="1">AVERAGE(OFFSET($BH$3,0,0,'Données projet'!$E$11+1,1))-AVERAGE(OFFSET($H$3,0,0,'Données projet'!$E$11+1,1))</f>
        <v>319.01020001288975</v>
      </c>
      <c r="BJ25" s="62">
        <f t="shared" si="38"/>
        <v>312.22190035638084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87.403679999999966</v>
      </c>
      <c r="CA25" s="14">
        <f t="shared" si="39"/>
        <v>23.937992357455155</v>
      </c>
      <c r="CB25" s="22">
        <f t="shared" si="10"/>
        <v>193.92007935590104</v>
      </c>
      <c r="CC25" s="62">
        <f t="shared" si="11"/>
        <v>415.10099325936943</v>
      </c>
      <c r="CD25" s="62">
        <f ca="1">AVERAGE(OFFSET($CC$3,0,0,'Données projet'!$E$12+1,1))-AVERAGE(OFFSET($H$3,0,0,'Données projet'!$E$12+1,1))</f>
        <v>405.06394904053946</v>
      </c>
      <c r="CE25" s="62">
        <f t="shared" si="40"/>
        <v>393.75247087518198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2.4423076923076925</v>
      </c>
      <c r="CT25" s="13">
        <f>IF('Données projet'!$A$140&gt;35,CT24+CS25-DB24,IF(A25&lt;'Données projet'!$A$140,$CQ$205^A25,IF(A25='Données projet'!$A$140,'Données projet'!$B$140,CT24+CS25-DB24)))</f>
        <v>53.730769230769248</v>
      </c>
      <c r="CU25" s="18">
        <f>CT25*VLOOKUP('Données projet'!$B$13,Paramètres!$A$1:$I$89,3,0)*VLOOKUP('Données projet'!$B$13,Paramètres!$A$1:$I$89,5,0)</f>
        <v>54.483000000000018</v>
      </c>
      <c r="CV25" s="14">
        <f t="shared" si="41"/>
        <v>15.765665070862909</v>
      </c>
      <c r="CW25" s="22">
        <f t="shared" si="13"/>
        <v>122.34975833175292</v>
      </c>
      <c r="CX25" s="62">
        <f t="shared" si="14"/>
        <v>343.53067223522135</v>
      </c>
      <c r="CY25" s="62">
        <f ca="1">AVERAGE(OFFSET($CX$3,0,0,'Données projet'!$E$13+1,1))-AVERAGE(OFFSET($H$3,0,0,'Données projet'!$E$13+1,1))</f>
        <v>474.46836359712393</v>
      </c>
      <c r="CZ25" s="62">
        <f t="shared" si="42"/>
        <v>221.28699636637722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4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2.4423076923076925</v>
      </c>
      <c r="N26" s="14">
        <f>IF('Données projet'!$A$36&gt;35,N25+M26-V25,IF(A26&lt;'Données projet'!$A$36,$K$205^A26,IF(A26='Données projet'!$A$36,'Données projet'!$B$36,N25+M26-V25)))</f>
        <v>56.173076923076941</v>
      </c>
      <c r="O26" s="14">
        <f>N26*VLOOKUP('Données projet'!$B$9,Paramètres!$A$1:$I$89,3,0)*VLOOKUP('Données projet'!$B$9,Paramètres!$A$1:$I$89,5,0)</f>
        <v>50.825400000000016</v>
      </c>
      <c r="P26" s="14">
        <f t="shared" si="33"/>
        <v>14.826719260258802</v>
      </c>
      <c r="Q26" s="22">
        <f t="shared" si="2"/>
        <v>114.34410771161743</v>
      </c>
      <c r="R26" s="62">
        <f t="shared" si="0"/>
        <v>337.8293044211639</v>
      </c>
      <c r="S26" s="62">
        <f ca="1">AVERAGE(OFFSET($R$3,0,0,'Données projet'!$E$9+1,1))-AVERAGE(OFFSET($H$3,0,0,'Données projet'!$E$9+1,1))</f>
        <v>432.80275651765203</v>
      </c>
      <c r="T26" s="62">
        <f t="shared" si="34"/>
        <v>203.89279893419919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91.799999999999969</v>
      </c>
      <c r="AJ26" s="14">
        <f>AI26*VLOOKUP('Données projet'!$B$10,Paramètres!$A$1:$I$89,3,0)*VLOOKUP('Données projet'!$B$10,Paramètres!$A$1:$I$89,5,0)</f>
        <v>61.579439999999977</v>
      </c>
      <c r="AK26" s="14">
        <f t="shared" si="35"/>
        <v>17.566995111207309</v>
      </c>
      <c r="AL26" s="22">
        <f t="shared" si="4"/>
        <v>137.84670781868599</v>
      </c>
      <c r="AM26" s="62">
        <f t="shared" si="5"/>
        <v>361.33190452823249</v>
      </c>
      <c r="AN26" s="62">
        <f ca="1">AVERAGE(OFFSET($AM$3,0,0,'Données projet'!$E$10+1,1))-AVERAGE(OFFSET($H$3,0,0,'Données projet'!$E$10+1,1))</f>
        <v>273.21861937609918</v>
      </c>
      <c r="AO26" s="62">
        <f t="shared" si="36"/>
        <v>268.83004886965318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74.468159999999969</v>
      </c>
      <c r="BF26" s="14">
        <f t="shared" si="37"/>
        <v>20.779031790461993</v>
      </c>
      <c r="BG26" s="22">
        <f t="shared" si="7"/>
        <v>165.88885903505457</v>
      </c>
      <c r="BH26" s="62">
        <f t="shared" si="8"/>
        <v>389.37405574460104</v>
      </c>
      <c r="BI26" s="62">
        <f ca="1">AVERAGE(OFFSET($BH$3,0,0,'Données projet'!$E$11+1,1))-AVERAGE(OFFSET($H$3,0,0,'Données projet'!$E$11+1,1))</f>
        <v>319.01020001288975</v>
      </c>
      <c r="BJ26" s="62">
        <f t="shared" si="38"/>
        <v>312.22190035638084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98.813519999999954</v>
      </c>
      <c r="CA26" s="14">
        <f t="shared" si="39"/>
        <v>26.67913899493168</v>
      </c>
      <c r="CB26" s="22">
        <f t="shared" si="10"/>
        <v>218.56638108283926</v>
      </c>
      <c r="CC26" s="62">
        <f t="shared" si="11"/>
        <v>442.05157779238573</v>
      </c>
      <c r="CD26" s="62">
        <f ca="1">AVERAGE(OFFSET($CC$3,0,0,'Données projet'!$E$12+1,1))-AVERAGE(OFFSET($H$3,0,0,'Données projet'!$E$12+1,1))</f>
        <v>405.06394904053946</v>
      </c>
      <c r="CE26" s="62">
        <f t="shared" si="40"/>
        <v>393.75247087518198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2.4423076923076925</v>
      </c>
      <c r="CT26" s="13">
        <f>IF('Données projet'!$A$140&gt;35,CT25+CS26-DB25,IF(A26&lt;'Données projet'!$A$140,$CQ$205^A26,IF(A26='Données projet'!$A$140,'Données projet'!$B$140,CT25+CS26-DB25)))</f>
        <v>56.173076923076941</v>
      </c>
      <c r="CU26" s="18">
        <f>CT26*VLOOKUP('Données projet'!$B$13,Paramètres!$A$1:$I$89,3,0)*VLOOKUP('Données projet'!$B$13,Paramètres!$A$1:$I$89,5,0)</f>
        <v>56.95950000000002</v>
      </c>
      <c r="CV26" s="14">
        <f t="shared" si="41"/>
        <v>16.397224063106421</v>
      </c>
      <c r="CW26" s="22">
        <f t="shared" si="13"/>
        <v>127.76296107657703</v>
      </c>
      <c r="CX26" s="62">
        <f t="shared" si="14"/>
        <v>351.24815778612356</v>
      </c>
      <c r="CY26" s="62">
        <f ca="1">AVERAGE(OFFSET($CX$3,0,0,'Données projet'!$E$13+1,1))-AVERAGE(OFFSET($H$3,0,0,'Données projet'!$E$13+1,1))</f>
        <v>474.46836359712393</v>
      </c>
      <c r="CZ26" s="62">
        <f t="shared" si="42"/>
        <v>221.28699636637722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4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2.4423076923076925</v>
      </c>
      <c r="N27" s="14">
        <f>IF('Données projet'!$A$36&gt;35,N26+M27-V26,IF(A27&lt;'Données projet'!$A$36,$K$205^A27,IF(A27='Données projet'!$A$36,'Données projet'!$B$36,N26+M27-V26)))</f>
        <v>58.615384615384635</v>
      </c>
      <c r="O27" s="14">
        <f>N27*VLOOKUP('Données projet'!$B$9,Paramètres!$A$1:$I$89,3,0)*VLOOKUP('Données projet'!$B$9,Paramètres!$A$1:$I$89,5,0)</f>
        <v>53.035200000000017</v>
      </c>
      <c r="P27" s="14">
        <f t="shared" si="33"/>
        <v>15.394904588576118</v>
      </c>
      <c r="Q27" s="22">
        <f t="shared" si="2"/>
        <v>119.18243215843677</v>
      </c>
      <c r="R27" s="62">
        <f t="shared" si="0"/>
        <v>344.9531403420566</v>
      </c>
      <c r="S27" s="62">
        <f ca="1">AVERAGE(OFFSET($R$3,0,0,'Données projet'!$E$9+1,1))-AVERAGE(OFFSET($H$3,0,0,'Données projet'!$E$9+1,1))</f>
        <v>432.80275651765203</v>
      </c>
      <c r="T27" s="62">
        <f t="shared" si="34"/>
        <v>203.89279893419919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102.39999999999996</v>
      </c>
      <c r="AJ27" s="14">
        <f>AI27*VLOOKUP('Données projet'!$B$10,Paramètres!$A$1:$I$89,3,0)*VLOOKUP('Données projet'!$B$10,Paramètres!$A$1:$I$89,5,0)</f>
        <v>68.689919999999972</v>
      </c>
      <c r="AK27" s="14">
        <f t="shared" si="35"/>
        <v>19.34776166993591</v>
      </c>
      <c r="AL27" s="22">
        <f t="shared" si="4"/>
        <v>153.33229557513832</v>
      </c>
      <c r="AM27" s="62">
        <f t="shared" si="5"/>
        <v>379.10300375875812</v>
      </c>
      <c r="AN27" s="62">
        <f ca="1">AVERAGE(OFFSET($AM$3,0,0,'Données projet'!$E$10+1,1))-AVERAGE(OFFSET($H$3,0,0,'Données projet'!$E$10+1,1))</f>
        <v>273.21861937609918</v>
      </c>
      <c r="AO27" s="62">
        <f t="shared" si="36"/>
        <v>268.83004886965318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83.066879999999983</v>
      </c>
      <c r="BF27" s="14">
        <f t="shared" si="37"/>
        <v>22.88540255569357</v>
      </c>
      <c r="BG27" s="22">
        <f t="shared" si="7"/>
        <v>184.5335587844996</v>
      </c>
      <c r="BH27" s="62">
        <f t="shared" si="8"/>
        <v>410.30426696811941</v>
      </c>
      <c r="BI27" s="62">
        <f ca="1">AVERAGE(OFFSET($BH$3,0,0,'Données projet'!$E$11+1,1))-AVERAGE(OFFSET($H$3,0,0,'Données projet'!$E$11+1,1))</f>
        <v>319.01020001288975</v>
      </c>
      <c r="BJ27" s="62">
        <f t="shared" si="38"/>
        <v>312.22190035638084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110.22335999999994</v>
      </c>
      <c r="CA27" s="14">
        <f t="shared" si="39"/>
        <v>29.38360371625085</v>
      </c>
      <c r="CB27" s="22">
        <f t="shared" si="10"/>
        <v>243.14879513913675</v>
      </c>
      <c r="CC27" s="62">
        <f t="shared" si="11"/>
        <v>468.91950332275655</v>
      </c>
      <c r="CD27" s="62">
        <f ca="1">AVERAGE(OFFSET($CC$3,0,0,'Données projet'!$E$12+1,1))-AVERAGE(OFFSET($H$3,0,0,'Données projet'!$E$12+1,1))</f>
        <v>405.06394904053946</v>
      </c>
      <c r="CE27" s="62">
        <f t="shared" si="40"/>
        <v>393.75247087518198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2.4423076923076925</v>
      </c>
      <c r="CT27" s="13">
        <f>IF('Données projet'!$A$140&gt;35,CT26+CS27-DB26,IF(A27&lt;'Données projet'!$A$140,$CQ$205^A27,IF(A27='Données projet'!$A$140,'Données projet'!$B$140,CT26+CS27-DB26)))</f>
        <v>58.615384615384635</v>
      </c>
      <c r="CU27" s="18">
        <f>CT27*VLOOKUP('Données projet'!$B$13,Paramètres!$A$1:$I$89,3,0)*VLOOKUP('Données projet'!$B$13,Paramètres!$A$1:$I$89,5,0)</f>
        <v>59.436000000000028</v>
      </c>
      <c r="CV27" s="14">
        <f t="shared" si="41"/>
        <v>17.025593830837916</v>
      </c>
      <c r="CW27" s="22">
        <f t="shared" si="13"/>
        <v>133.17060925537606</v>
      </c>
      <c r="CX27" s="62">
        <f t="shared" si="14"/>
        <v>358.94131743899584</v>
      </c>
      <c r="CY27" s="62">
        <f ca="1">AVERAGE(OFFSET($CX$3,0,0,'Données projet'!$E$13+1,1))-AVERAGE(OFFSET($H$3,0,0,'Données projet'!$E$13+1,1))</f>
        <v>474.46836359712393</v>
      </c>
      <c r="CZ27" s="62">
        <f t="shared" si="42"/>
        <v>221.28699636637722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4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2.4423076923076925</v>
      </c>
      <c r="N28" s="14">
        <f>IF('Données projet'!$A$36&gt;35,N27+M28-V27,IF(A28&lt;'Données projet'!$A$36,$K$205^A28,IF(A28='Données projet'!$A$36,'Données projet'!$B$36,N27+M28-V27)))</f>
        <v>61.057692307692328</v>
      </c>
      <c r="O28" s="14">
        <f>N28*VLOOKUP('Données projet'!$B$9,Paramètres!$A$1:$I$89,3,0)*VLOOKUP('Données projet'!$B$9,Paramètres!$A$1:$I$89,5,0)</f>
        <v>55.245000000000019</v>
      </c>
      <c r="P28" s="14">
        <f t="shared" si="33"/>
        <v>15.960340049529075</v>
      </c>
      <c r="Q28" s="22">
        <f t="shared" si="2"/>
        <v>124.01596725292983</v>
      </c>
      <c r="R28" s="62">
        <f t="shared" si="0"/>
        <v>352.05374121926195</v>
      </c>
      <c r="S28" s="62">
        <f ca="1">AVERAGE(OFFSET($R$3,0,0,'Données projet'!$E$9+1,1))-AVERAGE(OFFSET($H$3,0,0,'Données projet'!$E$9+1,1))</f>
        <v>432.80275651765203</v>
      </c>
      <c r="T28" s="62">
        <f t="shared" si="34"/>
        <v>203.89279893419919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113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112.99999999999996</v>
      </c>
      <c r="AJ28" s="14">
        <f>AI28*VLOOKUP('Données projet'!$B$10,Paramètres!$A$1:$I$89,3,0)*VLOOKUP('Données projet'!$B$10,Paramètres!$A$1:$I$89,5,0)</f>
        <v>75.800399999999968</v>
      </c>
      <c r="AK28" s="14">
        <f t="shared" si="35"/>
        <v>21.107159889298988</v>
      </c>
      <c r="AL28" s="22">
        <f t="shared" si="4"/>
        <v>168.78066680719567</v>
      </c>
      <c r="AM28" s="62">
        <f t="shared" si="5"/>
        <v>396.81844077352775</v>
      </c>
      <c r="AN28" s="62">
        <f ca="1">AVERAGE(OFFSET($AM$3,0,0,'Données projet'!$E$10+1,1))-AVERAGE(OFFSET($H$3,0,0,'Données projet'!$E$10+1,1))</f>
        <v>273.21861937609918</v>
      </c>
      <c r="AO28" s="62">
        <f t="shared" si="36"/>
        <v>268.83004886965318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91.665599999999969</v>
      </c>
      <c r="BF28" s="14">
        <f t="shared" si="37"/>
        <v>24.966497888207439</v>
      </c>
      <c r="BG28" s="22">
        <f t="shared" si="7"/>
        <v>203.13423715529458</v>
      </c>
      <c r="BH28" s="62">
        <f t="shared" si="8"/>
        <v>431.17201112162672</v>
      </c>
      <c r="BI28" s="62">
        <f ca="1">AVERAGE(OFFSET($BH$3,0,0,'Données projet'!$E$11+1,1))-AVERAGE(OFFSET($H$3,0,0,'Données projet'!$E$11+1,1))</f>
        <v>319.01020001288975</v>
      </c>
      <c r="BJ28" s="62">
        <f t="shared" si="38"/>
        <v>312.22190035638084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121.63319999999996</v>
      </c>
      <c r="CA28" s="14">
        <f t="shared" si="39"/>
        <v>32.05561616599968</v>
      </c>
      <c r="CB28" s="22">
        <f t="shared" si="10"/>
        <v>267.67468815578269</v>
      </c>
      <c r="CC28" s="62">
        <f t="shared" si="11"/>
        <v>495.7124621221148</v>
      </c>
      <c r="CD28" s="62">
        <f ca="1">AVERAGE(OFFSET($CC$3,0,0,'Données projet'!$E$12+1,1))-AVERAGE(OFFSET($H$3,0,0,'Données projet'!$E$12+1,1))</f>
        <v>405.06394904053946</v>
      </c>
      <c r="CE28" s="62">
        <f t="shared" si="40"/>
        <v>393.75247087518198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2.4423076923076925</v>
      </c>
      <c r="CT28" s="13">
        <f>IF('Données projet'!$A$140&gt;35,CT27+CS28-DB27,IF(A28&lt;'Données projet'!$A$140,$CQ$205^A28,IF(A28='Données projet'!$A$140,'Données projet'!$B$140,CT27+CS28-DB27)))</f>
        <v>61.057692307692328</v>
      </c>
      <c r="CU28" s="18">
        <f>CT28*VLOOKUP('Données projet'!$B$13,Paramètres!$A$1:$I$89,3,0)*VLOOKUP('Données projet'!$B$13,Paramètres!$A$1:$I$89,5,0)</f>
        <v>61.912500000000023</v>
      </c>
      <c r="CV28" s="14">
        <f t="shared" si="41"/>
        <v>17.650922454367116</v>
      </c>
      <c r="CW28" s="22">
        <f t="shared" si="13"/>
        <v>138.57296077468942</v>
      </c>
      <c r="CX28" s="62">
        <f t="shared" si="14"/>
        <v>366.61073474102153</v>
      </c>
      <c r="CY28" s="62">
        <f ca="1">AVERAGE(OFFSET($CX$3,0,0,'Données projet'!$E$13+1,1))-AVERAGE(OFFSET($H$3,0,0,'Données projet'!$E$13+1,1))</f>
        <v>474.46836359712393</v>
      </c>
      <c r="CZ28" s="62">
        <f t="shared" si="42"/>
        <v>221.28699636637722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4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2.4423076923076925</v>
      </c>
      <c r="N29" s="14">
        <f>IF('Données projet'!$A$36&gt;35,N28+M29-V28,IF(A29&lt;'Données projet'!$A$36,$K$205^A29,IF(A29='Données projet'!$A$36,'Données projet'!$B$36,N28+M29-V28)))</f>
        <v>63.500000000000021</v>
      </c>
      <c r="O29" s="14">
        <f>N29*VLOOKUP('Données projet'!$B$9,Paramètres!$A$1:$I$89,3,0)*VLOOKUP('Données projet'!$B$9,Paramètres!$A$1:$I$89,5,0)</f>
        <v>57.45480000000002</v>
      </c>
      <c r="P29" s="14">
        <f t="shared" si="33"/>
        <v>16.523148222376751</v>
      </c>
      <c r="Q29" s="22">
        <f t="shared" si="2"/>
        <v>128.8449264873062</v>
      </c>
      <c r="R29" s="62">
        <f t="shared" si="0"/>
        <v>359.13164053649638</v>
      </c>
      <c r="S29" s="62">
        <f ca="1">AVERAGE(OFFSET($R$3,0,0,'Données projet'!$E$9+1,1))-AVERAGE(OFFSET($H$3,0,0,'Données projet'!$E$9+1,1))</f>
        <v>432.80275651765203</v>
      </c>
      <c r="T29" s="62">
        <f t="shared" si="34"/>
        <v>203.89279893419919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11.5</v>
      </c>
      <c r="AI29" s="14">
        <f>IF('Données projet'!$A$62&gt;35,AI28+AH29-AQ28,IF(A29&lt;'Données projet'!$A$62,$AF$205^A29,IF(A29='Données projet'!$A$62,'Données projet'!$B$62,AI28+AH29-AQ28)))</f>
        <v>97.499999999999957</v>
      </c>
      <c r="AJ29" s="14">
        <f>AI29*VLOOKUP('Données projet'!$B$10,Paramètres!$A$1:$I$89,3,0)*VLOOKUP('Données projet'!$B$10,Paramètres!$A$1:$I$89,5,0)</f>
        <v>65.402999999999977</v>
      </c>
      <c r="AK29" s="14">
        <f t="shared" si="35"/>
        <v>18.527386684584453</v>
      </c>
      <c r="AL29" s="22">
        <f t="shared" si="4"/>
        <v>146.17875680898456</v>
      </c>
      <c r="AM29" s="62">
        <f t="shared" si="5"/>
        <v>376.46547085817474</v>
      </c>
      <c r="AN29" s="62">
        <f ca="1">AVERAGE(OFFSET($AM$3,0,0,'Données projet'!$E$10+1,1))-AVERAGE(OFFSET($H$3,0,0,'Données projet'!$E$10+1,1))</f>
        <v>273.21861937609918</v>
      </c>
      <c r="AO29" s="62">
        <f t="shared" si="36"/>
        <v>268.83004886965318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79.09199999999997</v>
      </c>
      <c r="BF29" s="14">
        <f t="shared" si="37"/>
        <v>21.915026131449999</v>
      </c>
      <c r="BG29" s="22">
        <f t="shared" si="7"/>
        <v>175.92057051227536</v>
      </c>
      <c r="BH29" s="62">
        <f t="shared" si="8"/>
        <v>406.20728456146554</v>
      </c>
      <c r="BI29" s="62">
        <f ca="1">AVERAGE(OFFSET($BH$3,0,0,'Données projet'!$E$11+1,1))-AVERAGE(OFFSET($H$3,0,0,'Données projet'!$E$11+1,1))</f>
        <v>319.01020001288975</v>
      </c>
      <c r="BJ29" s="62">
        <f t="shared" si="38"/>
        <v>312.22190035638084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97.499999999999957</v>
      </c>
      <c r="BZ29" s="14">
        <f>BY29*VLOOKUP('Données projet'!$B$12,Paramètres!$A$1:$I$89,3,0)*VLOOKUP('Données projet'!$B$12,Paramètres!$A$1:$I$89,5,0)</f>
        <v>104.94899999999994</v>
      </c>
      <c r="CA29" s="14">
        <f t="shared" si="39"/>
        <v>28.137693523665128</v>
      </c>
      <c r="CB29" s="22">
        <f t="shared" si="10"/>
        <v>231.79265788705001</v>
      </c>
      <c r="CC29" s="62">
        <f t="shared" si="11"/>
        <v>462.07937193624019</v>
      </c>
      <c r="CD29" s="62">
        <f ca="1">AVERAGE(OFFSET($CC$3,0,0,'Données projet'!$E$12+1,1))-AVERAGE(OFFSET($H$3,0,0,'Données projet'!$E$12+1,1))</f>
        <v>405.06394904053946</v>
      </c>
      <c r="CE29" s="62">
        <f t="shared" si="40"/>
        <v>393.75247087518198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2.4423076923076925</v>
      </c>
      <c r="CT29" s="13">
        <f>IF('Données projet'!$A$140&gt;35,CT28+CS29-DB28,IF(A29&lt;'Données projet'!$A$140,$CQ$205^A29,IF(A29='Données projet'!$A$140,'Données projet'!$B$140,CT28+CS29-DB28)))</f>
        <v>63.500000000000021</v>
      </c>
      <c r="CU29" s="18">
        <f>CT29*VLOOKUP('Données projet'!$B$13,Paramètres!$A$1:$I$89,3,0)*VLOOKUP('Données projet'!$B$13,Paramètres!$A$1:$I$89,5,0)</f>
        <v>64.389000000000024</v>
      </c>
      <c r="CV29" s="14">
        <f t="shared" si="41"/>
        <v>18.273345497033521</v>
      </c>
      <c r="CW29" s="22">
        <f t="shared" si="13"/>
        <v>143.97025174066673</v>
      </c>
      <c r="CX29" s="62">
        <f t="shared" si="14"/>
        <v>374.25696578985691</v>
      </c>
      <c r="CY29" s="62">
        <f ca="1">AVERAGE(OFFSET($CX$3,0,0,'Données projet'!$E$13+1,1))-AVERAGE(OFFSET($H$3,0,0,'Données projet'!$E$13+1,1))</f>
        <v>474.46836359712393</v>
      </c>
      <c r="CZ29" s="62">
        <f t="shared" si="42"/>
        <v>221.28699636637722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4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2.4423076923076925</v>
      </c>
      <c r="N30" s="14">
        <f>IF('Données projet'!$A$36&gt;35,N29+M30-V29,IF(A30&lt;'Données projet'!$A$36,$K$205^A30,IF(A30='Données projet'!$A$36,'Données projet'!$B$36,N29+M30-V29)))</f>
        <v>65.942307692307708</v>
      </c>
      <c r="O30" s="14">
        <f>N30*VLOOKUP('Données projet'!$B$9,Paramètres!$A$1:$I$89,3,0)*VLOOKUP('Données projet'!$B$9,Paramètres!$A$1:$I$89,5,0)</f>
        <v>59.664600000000014</v>
      </c>
      <c r="P30" s="14">
        <f t="shared" si="33"/>
        <v>17.083441723218392</v>
      </c>
      <c r="Q30" s="22">
        <f t="shared" si="2"/>
        <v>133.66950600127205</v>
      </c>
      <c r="R30" s="62">
        <f t="shared" si="0"/>
        <v>366.18734887383556</v>
      </c>
      <c r="S30" s="62">
        <f ca="1">AVERAGE(OFFSET($R$3,0,0,'Données projet'!$E$9+1,1))-AVERAGE(OFFSET($H$3,0,0,'Données projet'!$E$9+1,1))</f>
        <v>432.80275651765203</v>
      </c>
      <c r="T30" s="62">
        <f t="shared" si="34"/>
        <v>203.89279893419919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11.5</v>
      </c>
      <c r="AI30" s="14">
        <f>IF('Données projet'!$A$62&gt;35,AI29+AH30-AQ29,IF(A30&lt;'Données projet'!$A$62,$AF$205^A30,IF(A30='Données projet'!$A$62,'Données projet'!$B$62,AI29+AH30-AQ29)))</f>
        <v>108.99999999999996</v>
      </c>
      <c r="AJ30" s="14">
        <f>AI30*VLOOKUP('Données projet'!$B$10,Paramètres!$A$1:$I$89,3,0)*VLOOKUP('Données projet'!$B$10,Paramètres!$A$1:$I$89,5,0)</f>
        <v>73.117199999999983</v>
      </c>
      <c r="AK30" s="14">
        <f t="shared" si="35"/>
        <v>20.445594395400459</v>
      </c>
      <c r="AL30" s="22">
        <f t="shared" si="4"/>
        <v>162.95520023865575</v>
      </c>
      <c r="AM30" s="62">
        <f t="shared" si="5"/>
        <v>395.47304311121923</v>
      </c>
      <c r="AN30" s="62">
        <f ca="1">AVERAGE(OFFSET($AM$3,0,0,'Données projet'!$E$10+1,1))-AVERAGE(OFFSET($H$3,0,0,'Données projet'!$E$10+1,1))</f>
        <v>273.21861937609918</v>
      </c>
      <c r="AO30" s="62">
        <f t="shared" si="36"/>
        <v>268.83004886965318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88.420799999999971</v>
      </c>
      <c r="BF30" s="14">
        <f t="shared" si="37"/>
        <v>24.183968471983022</v>
      </c>
      <c r="BG30" s="22">
        <f t="shared" si="7"/>
        <v>196.11997175537036</v>
      </c>
      <c r="BH30" s="62">
        <f t="shared" si="8"/>
        <v>428.63781462793384</v>
      </c>
      <c r="BI30" s="62">
        <f ca="1">AVERAGE(OFFSET($BH$3,0,0,'Données projet'!$E$11+1,1))-AVERAGE(OFFSET($H$3,0,0,'Données projet'!$E$11+1,1))</f>
        <v>319.01020001288975</v>
      </c>
      <c r="BJ30" s="62">
        <f t="shared" si="38"/>
        <v>312.22190035638084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108.99999999999996</v>
      </c>
      <c r="BZ30" s="14">
        <f>BY30*VLOOKUP('Données projet'!$B$12,Paramètres!$A$1:$I$89,3,0)*VLOOKUP('Données projet'!$B$12,Paramètres!$A$1:$I$89,5,0)</f>
        <v>117.32759999999995</v>
      </c>
      <c r="CA30" s="14">
        <f t="shared" si="39"/>
        <v>31.050891245531687</v>
      </c>
      <c r="CB30" s="22">
        <f t="shared" si="10"/>
        <v>258.42587225263418</v>
      </c>
      <c r="CC30" s="62">
        <f t="shared" si="11"/>
        <v>490.94371512519768</v>
      </c>
      <c r="CD30" s="62">
        <f ca="1">AVERAGE(OFFSET($CC$3,0,0,'Données projet'!$E$12+1,1))-AVERAGE(OFFSET($H$3,0,0,'Données projet'!$E$12+1,1))</f>
        <v>405.06394904053946</v>
      </c>
      <c r="CE30" s="62">
        <f t="shared" si="40"/>
        <v>393.75247087518198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2.4423076923076925</v>
      </c>
      <c r="CT30" s="13">
        <f>IF('Données projet'!$A$140&gt;35,CT29+CS30-DB29,IF(A30&lt;'Données projet'!$A$140,$CQ$205^A30,IF(A30='Données projet'!$A$140,'Données projet'!$B$140,CT29+CS30-DB29)))</f>
        <v>65.942307692307708</v>
      </c>
      <c r="CU30" s="18">
        <f>CT30*VLOOKUP('Données projet'!$B$13,Paramètres!$A$1:$I$89,3,0)*VLOOKUP('Données projet'!$B$13,Paramètres!$A$1:$I$89,5,0)</f>
        <v>66.865500000000026</v>
      </c>
      <c r="CV30" s="14">
        <f t="shared" si="41"/>
        <v>18.89298750367945</v>
      </c>
      <c r="CW30" s="22">
        <f t="shared" si="13"/>
        <v>149.36269906890843</v>
      </c>
      <c r="CX30" s="62">
        <f t="shared" si="14"/>
        <v>381.88054194147196</v>
      </c>
      <c r="CY30" s="62">
        <f ca="1">AVERAGE(OFFSET($CX$3,0,0,'Données projet'!$E$13+1,1))-AVERAGE(OFFSET($H$3,0,0,'Données projet'!$E$13+1,1))</f>
        <v>474.46836359712393</v>
      </c>
      <c r="CZ30" s="62">
        <f t="shared" si="42"/>
        <v>221.28699636637722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4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2.4423076923076925</v>
      </c>
      <c r="N31" s="14">
        <f>IF('Données projet'!$A$36&gt;35,N30+M31-V30,IF(A31&lt;'Données projet'!$A$36,$K$205^A31,IF(A31='Données projet'!$A$36,'Données projet'!$B$36,N30+M31-V30)))</f>
        <v>68.384615384615401</v>
      </c>
      <c r="O31" s="14">
        <f>N31*VLOOKUP('Données projet'!$B$9,Paramètres!$A$1:$I$89,3,0)*VLOOKUP('Données projet'!$B$9,Paramètres!$A$1:$I$89,5,0)</f>
        <v>61.874400000000009</v>
      </c>
      <c r="P31" s="14">
        <f t="shared" si="33"/>
        <v>17.641324353568287</v>
      </c>
      <c r="Q31" s="22">
        <f t="shared" si="2"/>
        <v>138.48988658246478</v>
      </c>
      <c r="R31" s="62">
        <f t="shared" si="0"/>
        <v>373.22135600444886</v>
      </c>
      <c r="S31" s="62">
        <f ca="1">AVERAGE(OFFSET($R$3,0,0,'Données projet'!$E$9+1,1))-AVERAGE(OFFSET($H$3,0,0,'Données projet'!$E$9+1,1))</f>
        <v>432.80275651765203</v>
      </c>
      <c r="T31" s="62">
        <f t="shared" si="34"/>
        <v>203.89279893419919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11.5</v>
      </c>
      <c r="AI31" s="14">
        <f>IF('Données projet'!$A$62&gt;35,AI30+AH31-AQ30,IF(A31&lt;'Données projet'!$A$62,$AF$205^A31,IF(A31='Données projet'!$A$62,'Données projet'!$B$62,AI30+AH31-AQ30)))</f>
        <v>120.49999999999996</v>
      </c>
      <c r="AJ31" s="14">
        <f>AI31*VLOOKUP('Données projet'!$B$10,Paramètres!$A$1:$I$89,3,0)*VLOOKUP('Données projet'!$B$10,Paramètres!$A$1:$I$89,5,0)</f>
        <v>80.831399999999974</v>
      </c>
      <c r="AK31" s="14">
        <f t="shared" si="35"/>
        <v>22.340343270205771</v>
      </c>
      <c r="AL31" s="22">
        <f t="shared" si="4"/>
        <v>179.69078619560835</v>
      </c>
      <c r="AM31" s="62">
        <f t="shared" si="5"/>
        <v>414.42225561759244</v>
      </c>
      <c r="AN31" s="62">
        <f ca="1">AVERAGE(OFFSET($AM$3,0,0,'Données projet'!$E$10+1,1))-AVERAGE(OFFSET($H$3,0,0,'Données projet'!$E$10+1,1))</f>
        <v>273.21861937609918</v>
      </c>
      <c r="AO31" s="62">
        <f t="shared" si="36"/>
        <v>268.83004886965318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97.749599999999973</v>
      </c>
      <c r="BF31" s="14">
        <f t="shared" si="37"/>
        <v>26.425162646358601</v>
      </c>
      <c r="BG31" s="22">
        <f t="shared" si="7"/>
        <v>216.27104494240783</v>
      </c>
      <c r="BH31" s="62">
        <f t="shared" si="8"/>
        <v>451.00251436439191</v>
      </c>
      <c r="BI31" s="62">
        <f ca="1">AVERAGE(OFFSET($BH$3,0,0,'Données projet'!$E$11+1,1))-AVERAGE(OFFSET($H$3,0,0,'Données projet'!$E$11+1,1))</f>
        <v>319.01020001288975</v>
      </c>
      <c r="BJ31" s="62">
        <f t="shared" si="38"/>
        <v>312.22190035638084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120.49999999999996</v>
      </c>
      <c r="BZ31" s="14">
        <f>BY31*VLOOKUP('Données projet'!$B$12,Paramètres!$A$1:$I$89,3,0)*VLOOKUP('Données projet'!$B$12,Paramètres!$A$1:$I$89,5,0)</f>
        <v>129.70619999999997</v>
      </c>
      <c r="CA31" s="14">
        <f t="shared" si="39"/>
        <v>33.928461841493885</v>
      </c>
      <c r="CB31" s="22">
        <f t="shared" si="10"/>
        <v>284.99703604060181</v>
      </c>
      <c r="CC31" s="62">
        <f t="shared" si="11"/>
        <v>519.72850546258587</v>
      </c>
      <c r="CD31" s="62">
        <f ca="1">AVERAGE(OFFSET($CC$3,0,0,'Données projet'!$E$12+1,1))-AVERAGE(OFFSET($H$3,0,0,'Données projet'!$E$12+1,1))</f>
        <v>405.06394904053946</v>
      </c>
      <c r="CE31" s="62">
        <f t="shared" si="40"/>
        <v>393.75247087518198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2.4423076923076925</v>
      </c>
      <c r="CT31" s="13">
        <f>IF('Données projet'!$A$140&gt;35,CT30+CS31-DB30,IF(A31&lt;'Données projet'!$A$140,$CQ$205^A31,IF(A31='Données projet'!$A$140,'Données projet'!$B$140,CT30+CS31-DB30)))</f>
        <v>68.384615384615401</v>
      </c>
      <c r="CU31" s="18">
        <f>CT31*VLOOKUP('Données projet'!$B$13,Paramètres!$A$1:$I$89,3,0)*VLOOKUP('Données projet'!$B$13,Paramètres!$A$1:$I$89,5,0)</f>
        <v>69.342000000000013</v>
      </c>
      <c r="CV31" s="14">
        <f t="shared" si="41"/>
        <v>19.509963270886551</v>
      </c>
      <c r="CW31" s="22">
        <f t="shared" si="13"/>
        <v>154.75050269679409</v>
      </c>
      <c r="CX31" s="62">
        <f t="shared" si="14"/>
        <v>389.48197211877817</v>
      </c>
      <c r="CY31" s="62">
        <f ca="1">AVERAGE(OFFSET($CX$3,0,0,'Données projet'!$E$13+1,1))-AVERAGE(OFFSET($H$3,0,0,'Données projet'!$E$13+1,1))</f>
        <v>474.46836359712393</v>
      </c>
      <c r="CZ31" s="62">
        <f t="shared" si="42"/>
        <v>221.28699636637722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4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2.4423076923076925</v>
      </c>
      <c r="N32" s="14">
        <f>IF('Données projet'!$A$36&gt;35,N31+M32-V31,IF(A32&lt;'Données projet'!$A$36,$K$205^A32,IF(A32='Données projet'!$A$36,'Données projet'!$B$36,N31+M32-V31)))</f>
        <v>70.826923076923094</v>
      </c>
      <c r="O32" s="14">
        <f>N32*VLOOKUP('Données projet'!$B$9,Paramètres!$A$1:$I$89,3,0)*VLOOKUP('Données projet'!$B$9,Paramètres!$A$1:$I$89,5,0)</f>
        <v>64.084200000000024</v>
      </c>
      <c r="P32" s="14">
        <f t="shared" si="33"/>
        <v>18.196892080237518</v>
      </c>
      <c r="Q32" s="22">
        <f t="shared" si="2"/>
        <v>143.30623537308037</v>
      </c>
      <c r="R32" s="62">
        <f t="shared" si="0"/>
        <v>380.2341326958562</v>
      </c>
      <c r="S32" s="62">
        <f ca="1">AVERAGE(OFFSET($R$3,0,0,'Données projet'!$E$9+1,1))-AVERAGE(OFFSET($H$3,0,0,'Données projet'!$E$9+1,1))</f>
        <v>432.80275651765203</v>
      </c>
      <c r="T32" s="62">
        <f t="shared" si="34"/>
        <v>203.89279893419919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11.5</v>
      </c>
      <c r="AI32" s="14">
        <f>IF('Données projet'!$A$62&gt;35,AI31+AH32-AQ31,IF(A32&lt;'Données projet'!$A$62,$AF$205^A32,IF(A32='Données projet'!$A$62,'Données projet'!$B$62,AI31+AH32-AQ31)))</f>
        <v>131.99999999999994</v>
      </c>
      <c r="AJ32" s="14">
        <f>AI32*VLOOKUP('Données projet'!$B$10,Paramètres!$A$1:$I$89,3,0)*VLOOKUP('Données projet'!$B$10,Paramètres!$A$1:$I$89,5,0)</f>
        <v>88.545599999999965</v>
      </c>
      <c r="AK32" s="14">
        <f t="shared" si="35"/>
        <v>24.214126834865596</v>
      </c>
      <c r="AL32" s="22">
        <f t="shared" si="4"/>
        <v>196.38985757072419</v>
      </c>
      <c r="AM32" s="62">
        <f t="shared" si="5"/>
        <v>433.31775489350002</v>
      </c>
      <c r="AN32" s="62">
        <f ca="1">AVERAGE(OFFSET($AM$3,0,0,'Données projet'!$E$10+1,1))-AVERAGE(OFFSET($H$3,0,0,'Données projet'!$E$10+1,1))</f>
        <v>273.21861937609918</v>
      </c>
      <c r="AO32" s="62">
        <f t="shared" si="36"/>
        <v>268.83004886965318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107.07839999999996</v>
      </c>
      <c r="BF32" s="14">
        <f t="shared" si="37"/>
        <v>28.64155810910178</v>
      </c>
      <c r="BG32" s="22">
        <f t="shared" si="7"/>
        <v>236.37892704001885</v>
      </c>
      <c r="BH32" s="62">
        <f t="shared" si="8"/>
        <v>473.30682436279471</v>
      </c>
      <c r="BI32" s="62">
        <f ca="1">AVERAGE(OFFSET($BH$3,0,0,'Données projet'!$E$11+1,1))-AVERAGE(OFFSET($H$3,0,0,'Données projet'!$E$11+1,1))</f>
        <v>319.01020001288975</v>
      </c>
      <c r="BJ32" s="62">
        <f t="shared" si="38"/>
        <v>312.22190035638084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131.99999999999994</v>
      </c>
      <c r="BZ32" s="14">
        <f>BY32*VLOOKUP('Données projet'!$B$12,Paramètres!$A$1:$I$89,3,0)*VLOOKUP('Données projet'!$B$12,Paramètres!$A$1:$I$89,5,0)</f>
        <v>142.08479999999994</v>
      </c>
      <c r="CA32" s="14">
        <f t="shared" si="39"/>
        <v>36.77419224965486</v>
      </c>
      <c r="CB32" s="22">
        <f t="shared" si="10"/>
        <v>311.51274483481546</v>
      </c>
      <c r="CC32" s="62">
        <f t="shared" si="11"/>
        <v>548.44064215759136</v>
      </c>
      <c r="CD32" s="62">
        <f ca="1">AVERAGE(OFFSET($CC$3,0,0,'Données projet'!$E$12+1,1))-AVERAGE(OFFSET($H$3,0,0,'Données projet'!$E$12+1,1))</f>
        <v>405.06394904053946</v>
      </c>
      <c r="CE32" s="62">
        <f t="shared" si="40"/>
        <v>393.75247087518198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2.4423076923076925</v>
      </c>
      <c r="CT32" s="13">
        <f>IF('Données projet'!$A$140&gt;35,CT31+CS32-DB31,IF(A32&lt;'Données projet'!$A$140,$CQ$205^A32,IF(A32='Données projet'!$A$140,'Données projet'!$B$140,CT31+CS32-DB31)))</f>
        <v>70.826923076923094</v>
      </c>
      <c r="CU32" s="18">
        <f>CT32*VLOOKUP('Données projet'!$B$13,Paramètres!$A$1:$I$89,3,0)*VLOOKUP('Données projet'!$B$13,Paramètres!$A$1:$I$89,5,0)</f>
        <v>71.818500000000029</v>
      </c>
      <c r="CV32" s="14">
        <f t="shared" si="41"/>
        <v>20.124378930650451</v>
      </c>
      <c r="CW32" s="22">
        <f t="shared" si="13"/>
        <v>160.1338474708829</v>
      </c>
      <c r="CX32" s="62">
        <f t="shared" si="14"/>
        <v>397.0617447936587</v>
      </c>
      <c r="CY32" s="62">
        <f ca="1">AVERAGE(OFFSET($CX$3,0,0,'Données projet'!$E$13+1,1))-AVERAGE(OFFSET($H$3,0,0,'Données projet'!$E$13+1,1))</f>
        <v>474.46836359712393</v>
      </c>
      <c r="CZ32" s="62">
        <f t="shared" si="42"/>
        <v>221.28699636637722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4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2.4423076923076925</v>
      </c>
      <c r="N33" s="14">
        <f>IF('Données projet'!$A$36&gt;35,N32+M33-V32,IF(A33&lt;'Données projet'!$A$36,$K$205^A33,IF(A33='Données projet'!$A$36,'Données projet'!$B$36,N32+M33-V32)))</f>
        <v>73.269230769230788</v>
      </c>
      <c r="O33" s="14">
        <f>N33*VLOOKUP('Données projet'!$B$9,Paramètres!$A$1:$I$89,3,0)*VLOOKUP('Données projet'!$B$9,Paramètres!$A$1:$I$89,5,0)</f>
        <v>66.294000000000011</v>
      </c>
      <c r="P33" s="14">
        <f t="shared" si="33"/>
        <v>18.750233876262516</v>
      </c>
      <c r="Q33" s="22">
        <f t="shared" si="2"/>
        <v>148.11870733449055</v>
      </c>
      <c r="R33" s="62">
        <f t="shared" si="0"/>
        <v>387.22613226753253</v>
      </c>
      <c r="S33" s="62">
        <f ca="1">AVERAGE(OFFSET($R$3,0,0,'Données projet'!$E$9+1,1))-AVERAGE(OFFSET($H$3,0,0,'Données projet'!$E$9+1,1))</f>
        <v>432.80275651765203</v>
      </c>
      <c r="T33" s="62">
        <f t="shared" si="34"/>
        <v>203.89279893419919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</v>
      </c>
      <c r="AI33" s="14">
        <f>IF('Données projet'!$A$62&gt;35,AI32+AH33-AQ32,IF(A33&lt;'Données projet'!$A$62,$AF$205^A33,IF(A33='Données projet'!$A$62,'Données projet'!$B$62,AI32+AH33-AQ32)))</f>
        <v>143.49999999999994</v>
      </c>
      <c r="AJ33" s="14">
        <f>AI33*VLOOKUP('Données projet'!$B$10,Paramètres!$A$1:$I$89,3,0)*VLOOKUP('Données projet'!$B$10,Paramètres!$A$1:$I$89,5,0)</f>
        <v>96.25979999999997</v>
      </c>
      <c r="AK33" s="14">
        <f t="shared" si="35"/>
        <v>26.068979293748086</v>
      </c>
      <c r="AL33" s="22">
        <f t="shared" si="4"/>
        <v>213.05595726994454</v>
      </c>
      <c r="AM33" s="62">
        <f t="shared" si="5"/>
        <v>452.16338220298655</v>
      </c>
      <c r="AN33" s="62">
        <f ca="1">AVERAGE(OFFSET($AM$3,0,0,'Données projet'!$E$10+1,1))-AVERAGE(OFFSET($H$3,0,0,'Données projet'!$E$10+1,1))</f>
        <v>273.21861937609918</v>
      </c>
      <c r="AO33" s="62">
        <f t="shared" si="36"/>
        <v>268.83004886965318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116.40719999999996</v>
      </c>
      <c r="BF33" s="14">
        <f t="shared" si="37"/>
        <v>30.835561008615706</v>
      </c>
      <c r="BG33" s="22">
        <f t="shared" si="7"/>
        <v>256.44780875667226</v>
      </c>
      <c r="BH33" s="62">
        <f t="shared" si="8"/>
        <v>495.55523368971421</v>
      </c>
      <c r="BI33" s="62">
        <f ca="1">AVERAGE(OFFSET($BH$3,0,0,'Données projet'!$E$11+1,1))-AVERAGE(OFFSET($H$3,0,0,'Données projet'!$E$11+1,1))</f>
        <v>319.01020001288975</v>
      </c>
      <c r="BJ33" s="62">
        <f t="shared" si="38"/>
        <v>312.22190035638084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143.49999999999994</v>
      </c>
      <c r="BZ33" s="14">
        <f>BY33*VLOOKUP('Données projet'!$B$12,Paramètres!$A$1:$I$89,3,0)*VLOOKUP('Données projet'!$B$12,Paramètres!$A$1:$I$89,5,0)</f>
        <v>154.46339999999995</v>
      </c>
      <c r="CA33" s="14">
        <f t="shared" si="39"/>
        <v>39.591171832807696</v>
      </c>
      <c r="CB33" s="22">
        <f t="shared" si="10"/>
        <v>337.97837927547334</v>
      </c>
      <c r="CC33" s="62">
        <f t="shared" si="11"/>
        <v>577.08580420851536</v>
      </c>
      <c r="CD33" s="62">
        <f ca="1">AVERAGE(OFFSET($CC$3,0,0,'Données projet'!$E$12+1,1))-AVERAGE(OFFSET($H$3,0,0,'Données projet'!$E$12+1,1))</f>
        <v>405.06394904053946</v>
      </c>
      <c r="CE33" s="62">
        <f t="shared" si="40"/>
        <v>393.75247087518198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2.4423076923076925</v>
      </c>
      <c r="CT33" s="13">
        <f>IF('Données projet'!$A$140&gt;35,CT32+CS33-DB32,IF(A33&lt;'Données projet'!$A$140,$CQ$205^A33,IF(A33='Données projet'!$A$140,'Données projet'!$B$140,CT32+CS33-DB32)))</f>
        <v>73.269230769230788</v>
      </c>
      <c r="CU33" s="18">
        <f>CT33*VLOOKUP('Données projet'!$B$13,Paramètres!$A$1:$I$89,3,0)*VLOOKUP('Données projet'!$B$13,Paramètres!$A$1:$I$89,5,0)</f>
        <v>74.29500000000003</v>
      </c>
      <c r="CV33" s="14">
        <f t="shared" si="41"/>
        <v>20.736332880383845</v>
      </c>
      <c r="CW33" s="22">
        <f t="shared" si="13"/>
        <v>165.51290476666858</v>
      </c>
      <c r="CX33" s="62">
        <f t="shared" si="14"/>
        <v>404.62032969971057</v>
      </c>
      <c r="CY33" s="62">
        <f ca="1">AVERAGE(OFFSET($CX$3,0,0,'Données projet'!$E$13+1,1))-AVERAGE(OFFSET($H$3,0,0,'Données projet'!$E$13+1,1))</f>
        <v>474.46836359712393</v>
      </c>
      <c r="CZ33" s="62">
        <f t="shared" si="42"/>
        <v>221.28699636637722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4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2.4423076923076925</v>
      </c>
      <c r="N34" s="14">
        <f>IF('Données projet'!$A$36&gt;35,N33+M34-V33,IF(A34&lt;'Données projet'!$A$36,$K$205^A34,IF(A34='Données projet'!$A$36,'Données projet'!$B$36,N33+M34-V33)))</f>
        <v>75.711538461538481</v>
      </c>
      <c r="O34" s="14">
        <f>N34*VLOOKUP('Données projet'!$B$9,Paramètres!$A$1:$I$89,3,0)*VLOOKUP('Données projet'!$B$9,Paramètres!$A$1:$I$89,5,0)</f>
        <v>68.503800000000012</v>
      </c>
      <c r="P34" s="14">
        <f t="shared" si="33"/>
        <v>19.301432446560082</v>
      </c>
      <c r="Q34" s="22">
        <f t="shared" si="2"/>
        <v>152.92744651109214</v>
      </c>
      <c r="R34" s="62">
        <f t="shared" si="0"/>
        <v>392.9755697239097</v>
      </c>
      <c r="S34" s="62">
        <f ca="1">AVERAGE(OFFSET($R$3,0,0,'Données projet'!$E$9+1,1))-AVERAGE(OFFSET($H$3,0,0,'Données projet'!$E$9+1,1))</f>
        <v>432.80275651765203</v>
      </c>
      <c r="T34" s="62">
        <f t="shared" si="34"/>
        <v>203.89279893419919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155</v>
      </c>
      <c r="AG34" s="13">
        <f>VLOOKUP(A34,'Données projet'!$A$61:$I$81,9,0)</f>
        <v>11.5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154.99999999999994</v>
      </c>
      <c r="AJ34" s="14">
        <f>AI34*VLOOKUP('Données projet'!$B$10,Paramètres!$A$1:$I$89,3,0)*VLOOKUP('Données projet'!$B$10,Paramètres!$A$1:$I$89,5,0)</f>
        <v>103.97399999999996</v>
      </c>
      <c r="AK34" s="14">
        <f t="shared" si="35"/>
        <v>27.906590257048865</v>
      </c>
      <c r="AL34" s="22">
        <f t="shared" si="4"/>
        <v>229.69202803102669</v>
      </c>
      <c r="AM34" s="62">
        <f t="shared" si="5"/>
        <v>469.74015124384425</v>
      </c>
      <c r="AN34" s="62">
        <f ca="1">AVERAGE(OFFSET($AM$3,0,0,'Données projet'!$E$10+1,1))-AVERAGE(OFFSET($H$3,0,0,'Données projet'!$E$10+1,1))</f>
        <v>273.21861937609918</v>
      </c>
      <c r="AO34" s="62">
        <f t="shared" si="36"/>
        <v>268.83004886965318</v>
      </c>
      <c r="AP34" s="16">
        <f>IF(ISNA(VLOOKUP(A34,'Données projet'!$A$61:$I$81,3,0)),0,VLOOKUP(A34,'Données projet'!$A$61:$I$81,3,0))</f>
        <v>4</v>
      </c>
      <c r="AQ34" s="16">
        <f>IF(ISNA(VLOOKUP(A34,'Données projet'!$A$61:$I$81,4,0)),0,VLOOKUP(A34,'Données projet'!$A$61:$I$81,4,0))</f>
        <v>36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125.73599999999998</v>
      </c>
      <c r="BF34" s="14">
        <f t="shared" si="37"/>
        <v>33.0091698918201</v>
      </c>
      <c r="BG34" s="22">
        <f t="shared" si="7"/>
        <v>276.4811708949199</v>
      </c>
      <c r="BH34" s="62">
        <f t="shared" si="8"/>
        <v>516.52929410773743</v>
      </c>
      <c r="BI34" s="62">
        <f ca="1">AVERAGE(OFFSET($BH$3,0,0,'Données projet'!$E$11+1,1))-AVERAGE(OFFSET($H$3,0,0,'Données projet'!$E$11+1,1))</f>
        <v>319.01020001288975</v>
      </c>
      <c r="BJ34" s="62">
        <f t="shared" si="38"/>
        <v>312.22190035638084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154.99999999999994</v>
      </c>
      <c r="BZ34" s="14">
        <f>BY34*VLOOKUP('Données projet'!$B$12,Paramètres!$A$1:$I$89,3,0)*VLOOKUP('Données projet'!$B$12,Paramètres!$A$1:$I$89,5,0)</f>
        <v>166.84199999999993</v>
      </c>
      <c r="CA34" s="14">
        <f t="shared" si="39"/>
        <v>42.381966615760334</v>
      </c>
      <c r="CB34" s="22">
        <f t="shared" si="10"/>
        <v>364.39840852244907</v>
      </c>
      <c r="CC34" s="62">
        <f t="shared" si="11"/>
        <v>604.4465317352666</v>
      </c>
      <c r="CD34" s="62">
        <f ca="1">AVERAGE(OFFSET($CC$3,0,0,'Données projet'!$E$12+1,1))-AVERAGE(OFFSET($H$3,0,0,'Données projet'!$E$12+1,1))</f>
        <v>405.06394904053946</v>
      </c>
      <c r="CE34" s="62">
        <f t="shared" si="40"/>
        <v>393.75247087518198</v>
      </c>
      <c r="CF34" s="16">
        <f>IF(ISNA(VLOOKUP(A34,'Données projet'!$A$113:$I$133,3,0)),0,VLOOKUP(A34,'Données projet'!$A$113:$I$133,3,0))</f>
        <v>4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2.4423076923076925</v>
      </c>
      <c r="CT34" s="13">
        <f>IF('Données projet'!$A$140&gt;35,CT33+CS34-DB33,IF(A34&lt;'Données projet'!$A$140,$CQ$205^A34,IF(A34='Données projet'!$A$140,'Données projet'!$B$140,CT33+CS34-DB33)))</f>
        <v>75.711538461538481</v>
      </c>
      <c r="CU34" s="18">
        <f>CT34*VLOOKUP('Données projet'!$B$13,Paramètres!$A$1:$I$89,3,0)*VLOOKUP('Données projet'!$B$13,Paramètres!$A$1:$I$89,5,0)</f>
        <v>76.771500000000017</v>
      </c>
      <c r="CV34" s="14">
        <f t="shared" si="41"/>
        <v>21.345916585435752</v>
      </c>
      <c r="CW34" s="22">
        <f t="shared" si="13"/>
        <v>170.88783388630063</v>
      </c>
      <c r="CX34" s="62">
        <f t="shared" si="14"/>
        <v>410.93595709911818</v>
      </c>
      <c r="CY34" s="62">
        <f ca="1">AVERAGE(OFFSET($CX$3,0,0,'Données projet'!$E$13+1,1))-AVERAGE(OFFSET($H$3,0,0,'Données projet'!$E$13+1,1))</f>
        <v>474.46836359712393</v>
      </c>
      <c r="CZ34" s="62">
        <f t="shared" si="42"/>
        <v>221.28699636637722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4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2.4423076923076925</v>
      </c>
      <c r="N35" s="14">
        <f>IF('Données projet'!$A$36&gt;35,N34+M35-V34,IF(A35&lt;'Données projet'!$A$36,$K$205^A35,IF(A35='Données projet'!$A$36,'Données projet'!$B$36,N34+M35-V34)))</f>
        <v>78.153846153846175</v>
      </c>
      <c r="O35" s="14">
        <f>N35*VLOOKUP('Données projet'!$B$9,Paramètres!$A$1:$I$89,3,0)*VLOOKUP('Données projet'!$B$9,Paramètres!$A$1:$I$89,5,0)</f>
        <v>70.713600000000014</v>
      </c>
      <c r="P35" s="14">
        <f t="shared" si="33"/>
        <v>19.850564857319299</v>
      </c>
      <c r="Q35" s="22">
        <f t="shared" ref="Q35:Q66" si="53">(O35+P35)*0.475*44/12</f>
        <v>157.7325871264978</v>
      </c>
      <c r="R35" s="62">
        <f t="shared" si="0"/>
        <v>398.70508960702313</v>
      </c>
      <c r="S35" s="62">
        <f ca="1">AVERAGE(OFFSET($R$3,0,0,'Données projet'!$E$9+1,1))-AVERAGE(OFFSET($H$3,0,0,'Données projet'!$E$9+1,1))</f>
        <v>432.80275651765203</v>
      </c>
      <c r="T35" s="62">
        <f t="shared" si="34"/>
        <v>203.89279893419919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130.49999999999994</v>
      </c>
      <c r="AJ35" s="14">
        <f>AI35*VLOOKUP('Données projet'!$B$10,Paramètres!$A$1:$I$89,3,0)*VLOOKUP('Données projet'!$B$10,Paramètres!$A$1:$I$89,5,0)</f>
        <v>87.539399999999958</v>
      </c>
      <c r="AK35" s="14">
        <f t="shared" si="35"/>
        <v>23.970833505938423</v>
      </c>
      <c r="AL35" s="22">
        <f t="shared" si="4"/>
        <v>194.21365668950932</v>
      </c>
      <c r="AM35" s="62">
        <f t="shared" si="5"/>
        <v>435.18615917003467</v>
      </c>
      <c r="AN35" s="62">
        <f ca="1">AVERAGE(OFFSET($AM$3,0,0,'Données projet'!$E$10+1,1))-AVERAGE(OFFSET($H$3,0,0,'Données projet'!$E$10+1,1))</f>
        <v>273.21861937609918</v>
      </c>
      <c r="AO35" s="62">
        <f t="shared" si="36"/>
        <v>268.83004886965318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105.86159999999995</v>
      </c>
      <c r="BF35" s="14">
        <f t="shared" si="37"/>
        <v>28.353779818951288</v>
      </c>
      <c r="BG35" s="22">
        <f t="shared" si="7"/>
        <v>233.75845318467341</v>
      </c>
      <c r="BH35" s="62">
        <f t="shared" si="8"/>
        <v>474.73095566519874</v>
      </c>
      <c r="BI35" s="62">
        <f ca="1">AVERAGE(OFFSET($BH$3,0,0,'Données projet'!$E$11+1,1))-AVERAGE(OFFSET($H$3,0,0,'Données projet'!$E$11+1,1))</f>
        <v>319.01020001288975</v>
      </c>
      <c r="BJ35" s="62">
        <f t="shared" si="38"/>
        <v>312.22190035638084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140.47019999999995</v>
      </c>
      <c r="CA35" s="14">
        <f t="shared" si="39"/>
        <v>36.404700683345553</v>
      </c>
      <c r="CB35" s="22">
        <f t="shared" si="10"/>
        <v>308.05711869016005</v>
      </c>
      <c r="CC35" s="62">
        <f t="shared" si="11"/>
        <v>549.02962117068535</v>
      </c>
      <c r="CD35" s="62">
        <f ca="1">AVERAGE(OFFSET($CC$3,0,0,'Données projet'!$E$12+1,1))-AVERAGE(OFFSET($H$3,0,0,'Données projet'!$E$12+1,1))</f>
        <v>405.06394904053946</v>
      </c>
      <c r="CE35" s="62">
        <f t="shared" si="40"/>
        <v>393.75247087518198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2.4423076923076925</v>
      </c>
      <c r="CT35" s="13">
        <f>IF('Données projet'!$A$140&gt;35,CT34+CS35-DB34,IF(A35&lt;'Données projet'!$A$140,$CQ$205^A35,IF(A35='Données projet'!$A$140,'Données projet'!$B$140,CT34+CS35-DB34)))</f>
        <v>78.153846153846175</v>
      </c>
      <c r="CU35" s="18">
        <f>CT35*VLOOKUP('Données projet'!$B$13,Paramètres!$A$1:$I$89,3,0)*VLOOKUP('Données projet'!$B$13,Paramètres!$A$1:$I$89,5,0)</f>
        <v>79.248000000000033</v>
      </c>
      <c r="CV35" s="14">
        <f t="shared" si="41"/>
        <v>21.953215275151123</v>
      </c>
      <c r="CW35" s="22">
        <f t="shared" si="13"/>
        <v>176.25878327088824</v>
      </c>
      <c r="CX35" s="62">
        <f t="shared" si="14"/>
        <v>417.23128575141357</v>
      </c>
      <c r="CY35" s="62">
        <f ca="1">AVERAGE(OFFSET($CX$3,0,0,'Données projet'!$E$13+1,1))-AVERAGE(OFFSET($H$3,0,0,'Données projet'!$E$13+1,1))</f>
        <v>474.46836359712393</v>
      </c>
      <c r="CZ35" s="62">
        <f t="shared" si="42"/>
        <v>221.28699636637722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4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2.4423076923076925</v>
      </c>
      <c r="N36" s="14">
        <f>IF('Données projet'!$A$36&gt;35,N35+M36-V35,IF(A36&lt;'Données projet'!$A$36,$K$205^A36,IF(A36='Données projet'!$A$36,'Données projet'!$B$36,N35+M36-V35)))</f>
        <v>80.596153846153868</v>
      </c>
      <c r="O36" s="14">
        <f>N36*VLOOKUP('Données projet'!$B$9,Paramètres!$A$1:$I$89,3,0)*VLOOKUP('Données projet'!$B$9,Paramètres!$A$1:$I$89,5,0)</f>
        <v>72.923400000000015</v>
      </c>
      <c r="P36" s="14">
        <f t="shared" si="33"/>
        <v>20.397703084509246</v>
      </c>
      <c r="Q36" s="22">
        <f t="shared" si="53"/>
        <v>162.53425453885362</v>
      </c>
      <c r="R36" s="62">
        <f t="shared" si="0"/>
        <v>404.41510037339435</v>
      </c>
      <c r="S36" s="62">
        <f ca="1">AVERAGE(OFFSET($R$3,0,0,'Données projet'!$E$9+1,1))-AVERAGE(OFFSET($H$3,0,0,'Données projet'!$E$9+1,1))</f>
        <v>432.80275651765203</v>
      </c>
      <c r="T36" s="62">
        <f t="shared" si="34"/>
        <v>203.89279893419919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141.99999999999994</v>
      </c>
      <c r="AJ36" s="14">
        <f>AI36*VLOOKUP('Données projet'!$B$10,Paramètres!$A$1:$I$89,3,0)*VLOOKUP('Données projet'!$B$10,Paramètres!$A$1:$I$89,5,0)</f>
        <v>95.253599999999963</v>
      </c>
      <c r="AK36" s="14">
        <f t="shared" si="35"/>
        <v>25.828052970353951</v>
      </c>
      <c r="AL36" s="22">
        <f t="shared" si="4"/>
        <v>210.88387892336638</v>
      </c>
      <c r="AM36" s="62">
        <f t="shared" si="5"/>
        <v>452.76472475790712</v>
      </c>
      <c r="AN36" s="62">
        <f ca="1">AVERAGE(OFFSET($AM$3,0,0,'Données projet'!$E$10+1,1))-AVERAGE(OFFSET($H$3,0,0,'Données projet'!$E$10+1,1))</f>
        <v>273.21861937609918</v>
      </c>
      <c r="AO36" s="62">
        <f t="shared" si="36"/>
        <v>268.83004886965318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115.19039999999997</v>
      </c>
      <c r="BF36" s="14">
        <f t="shared" si="37"/>
        <v>30.550582519051947</v>
      </c>
      <c r="BG36" s="22">
        <f t="shared" si="7"/>
        <v>253.8322112206821</v>
      </c>
      <c r="BH36" s="62">
        <f t="shared" si="8"/>
        <v>495.71305705522286</v>
      </c>
      <c r="BI36" s="62">
        <f ca="1">AVERAGE(OFFSET($BH$3,0,0,'Données projet'!$E$11+1,1))-AVERAGE(OFFSET($H$3,0,0,'Données projet'!$E$11+1,1))</f>
        <v>319.01020001288975</v>
      </c>
      <c r="BJ36" s="62">
        <f t="shared" si="38"/>
        <v>312.22190035638084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152.84879999999993</v>
      </c>
      <c r="CA36" s="14">
        <f t="shared" si="39"/>
        <v>39.225275057139491</v>
      </c>
      <c r="CB36" s="22">
        <f t="shared" si="10"/>
        <v>334.52901405785116</v>
      </c>
      <c r="CC36" s="62">
        <f t="shared" si="11"/>
        <v>576.40985989239186</v>
      </c>
      <c r="CD36" s="62">
        <f ca="1">AVERAGE(OFFSET($CC$3,0,0,'Données projet'!$E$12+1,1))-AVERAGE(OFFSET($H$3,0,0,'Données projet'!$E$12+1,1))</f>
        <v>405.06394904053946</v>
      </c>
      <c r="CE36" s="62">
        <f t="shared" si="40"/>
        <v>393.75247087518198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2.4423076923076925</v>
      </c>
      <c r="CT36" s="13">
        <f>IF('Données projet'!$A$140&gt;35,CT35+CS36-DB35,IF(A36&lt;'Données projet'!$A$140,$CQ$205^A36,IF(A36='Données projet'!$A$140,'Données projet'!$B$140,CT35+CS36-DB35)))</f>
        <v>80.596153846153868</v>
      </c>
      <c r="CU36" s="18">
        <f>CT36*VLOOKUP('Données projet'!$B$13,Paramètres!$A$1:$I$89,3,0)*VLOOKUP('Données projet'!$B$13,Paramètres!$A$1:$I$89,5,0)</f>
        <v>81.724500000000035</v>
      </c>
      <c r="CV36" s="14">
        <f t="shared" si="41"/>
        <v>22.558308549478603</v>
      </c>
      <c r="CW36" s="22">
        <f t="shared" si="13"/>
        <v>181.6258915570086</v>
      </c>
      <c r="CX36" s="62">
        <f t="shared" si="14"/>
        <v>423.50673739154934</v>
      </c>
      <c r="CY36" s="62">
        <f ca="1">AVERAGE(OFFSET($CX$3,0,0,'Données projet'!$E$13+1,1))-AVERAGE(OFFSET($H$3,0,0,'Données projet'!$E$13+1,1))</f>
        <v>474.46836359712393</v>
      </c>
      <c r="CZ36" s="62">
        <f t="shared" si="42"/>
        <v>221.28699636637722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4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2.4423076923076925</v>
      </c>
      <c r="N37" s="14">
        <f>IF('Données projet'!$A$36&gt;35,N36+M37-V36,IF(A37&lt;'Données projet'!$A$36,$K$205^A37,IF(A37='Données projet'!$A$36,'Données projet'!$B$36,N36+M37-V36)))</f>
        <v>83.038461538461561</v>
      </c>
      <c r="O37" s="14">
        <f>N37*VLOOKUP('Données projet'!$B$9,Paramètres!$A$1:$I$89,3,0)*VLOOKUP('Données projet'!$B$9,Paramètres!$A$1:$I$89,5,0)</f>
        <v>75.133200000000016</v>
      </c>
      <c r="P37" s="14">
        <f t="shared" si="33"/>
        <v>20.942914494033012</v>
      </c>
      <c r="Q37" s="22">
        <f t="shared" si="53"/>
        <v>167.33256607710749</v>
      </c>
      <c r="R37" s="62">
        <f t="shared" si="0"/>
        <v>410.10599753922304</v>
      </c>
      <c r="S37" s="62">
        <f ca="1">AVERAGE(OFFSET($R$3,0,0,'Données projet'!$E$9+1,1))-AVERAGE(OFFSET($H$3,0,0,'Données projet'!$E$9+1,1))</f>
        <v>432.80275651765203</v>
      </c>
      <c r="T37" s="62">
        <f t="shared" si="34"/>
        <v>203.89279893419919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153.49999999999994</v>
      </c>
      <c r="AJ37" s="14">
        <f>AI37*VLOOKUP('Données projet'!$B$10,Paramètres!$A$1:$I$89,3,0)*VLOOKUP('Données projet'!$B$10,Paramètres!$A$1:$I$89,5,0)</f>
        <v>102.96779999999997</v>
      </c>
      <c r="AK37" s="14">
        <f t="shared" si="35"/>
        <v>27.667827015814101</v>
      </c>
      <c r="AL37" s="22">
        <f t="shared" si="4"/>
        <v>227.52371705254282</v>
      </c>
      <c r="AM37" s="62">
        <f t="shared" si="5"/>
        <v>470.29714851465837</v>
      </c>
      <c r="AN37" s="62">
        <f ca="1">AVERAGE(OFFSET($AM$3,0,0,'Données projet'!$E$10+1,1))-AVERAGE(OFFSET($H$3,0,0,'Données projet'!$E$10+1,1))</f>
        <v>273.21861937609918</v>
      </c>
      <c r="AO37" s="62">
        <f t="shared" si="36"/>
        <v>268.83004886965318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124.51919999999997</v>
      </c>
      <c r="BF37" s="14">
        <f t="shared" si="37"/>
        <v>32.726749993106388</v>
      </c>
      <c r="BG37" s="22">
        <f t="shared" si="7"/>
        <v>273.87002957132694</v>
      </c>
      <c r="BH37" s="62">
        <f t="shared" si="8"/>
        <v>516.64346103344246</v>
      </c>
      <c r="BI37" s="62">
        <f ca="1">AVERAGE(OFFSET($BH$3,0,0,'Données projet'!$E$11+1,1))-AVERAGE(OFFSET($H$3,0,0,'Données projet'!$E$11+1,1))</f>
        <v>319.01020001288975</v>
      </c>
      <c r="BJ37" s="62">
        <f t="shared" si="38"/>
        <v>312.22190035638084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165.22739999999993</v>
      </c>
      <c r="CA37" s="14">
        <f t="shared" si="39"/>
        <v>42.019354930639594</v>
      </c>
      <c r="CB37" s="22">
        <f t="shared" si="10"/>
        <v>360.95476483753049</v>
      </c>
      <c r="CC37" s="62">
        <f t="shared" si="11"/>
        <v>603.72819629964602</v>
      </c>
      <c r="CD37" s="62">
        <f ca="1">AVERAGE(OFFSET($CC$3,0,0,'Données projet'!$E$12+1,1))-AVERAGE(OFFSET($H$3,0,0,'Données projet'!$E$12+1,1))</f>
        <v>405.06394904053946</v>
      </c>
      <c r="CE37" s="62">
        <f t="shared" si="40"/>
        <v>393.75247087518198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2.4423076923076925</v>
      </c>
      <c r="CT37" s="13">
        <f>IF('Données projet'!$A$140&gt;35,CT36+CS37-DB36,IF(A37&lt;'Données projet'!$A$140,$CQ$205^A37,IF(A37='Données projet'!$A$140,'Données projet'!$B$140,CT36+CS37-DB36)))</f>
        <v>83.038461538461561</v>
      </c>
      <c r="CU37" s="18">
        <f>CT37*VLOOKUP('Données projet'!$B$13,Paramètres!$A$1:$I$89,3,0)*VLOOKUP('Données projet'!$B$13,Paramètres!$A$1:$I$89,5,0)</f>
        <v>84.201000000000022</v>
      </c>
      <c r="CV37" s="14">
        <f t="shared" si="41"/>
        <v>23.161270909984456</v>
      </c>
      <c r="CW37" s="22">
        <f t="shared" si="13"/>
        <v>186.9892885015563</v>
      </c>
      <c r="CX37" s="62">
        <f t="shared" si="14"/>
        <v>429.76271996367188</v>
      </c>
      <c r="CY37" s="62">
        <f ca="1">AVERAGE(OFFSET($CX$3,0,0,'Données projet'!$E$13+1,1))-AVERAGE(OFFSET($H$3,0,0,'Données projet'!$E$13+1,1))</f>
        <v>474.46836359712393</v>
      </c>
      <c r="CZ37" s="62">
        <f t="shared" si="42"/>
        <v>221.28699636637722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4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2.4423076923076925</v>
      </c>
      <c r="N38" s="14">
        <f>IF('Données projet'!$A$36&gt;35,N37+M38-V37,IF(A38&lt;'Données projet'!$A$36,$K$205^A38,IF(A38='Données projet'!$A$36,'Données projet'!$B$36,N37+M38-V37)))</f>
        <v>85.480769230769255</v>
      </c>
      <c r="O38" s="14">
        <f>N38*VLOOKUP('Données projet'!$B$9,Paramètres!$A$1:$I$89,3,0)*VLOOKUP('Données projet'!$B$9,Paramètres!$A$1:$I$89,5,0)</f>
        <v>77.343000000000018</v>
      </c>
      <c r="P38" s="14">
        <f t="shared" si="33"/>
        <v>21.48626226380561</v>
      </c>
      <c r="Q38" s="22">
        <f t="shared" si="53"/>
        <v>172.12763177612814</v>
      </c>
      <c r="R38" s="62">
        <f t="shared" si="0"/>
        <v>415.77816450070264</v>
      </c>
      <c r="S38" s="62">
        <f ca="1">AVERAGE(OFFSET($R$3,0,0,'Données projet'!$E$9+1,1))-AVERAGE(OFFSET($H$3,0,0,'Données projet'!$E$9+1,1))</f>
        <v>432.80275651765203</v>
      </c>
      <c r="T38" s="62">
        <f t="shared" si="34"/>
        <v>203.89279893419919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164.99999999999994</v>
      </c>
      <c r="AJ38" s="14">
        <f>AI38*VLOOKUP('Données projet'!$B$10,Paramètres!$A$1:$I$89,3,0)*VLOOKUP('Données projet'!$B$10,Paramètres!$A$1:$I$89,5,0)</f>
        <v>110.68199999999996</v>
      </c>
      <c r="AK38" s="14">
        <f t="shared" si="35"/>
        <v>29.491611243899666</v>
      </c>
      <c r="AL38" s="22">
        <f t="shared" si="4"/>
        <v>244.13570624979181</v>
      </c>
      <c r="AM38" s="62">
        <f t="shared" si="5"/>
        <v>487.78623897436631</v>
      </c>
      <c r="AN38" s="62">
        <f ca="1">AVERAGE(OFFSET($AM$3,0,0,'Données projet'!$E$10+1,1))-AVERAGE(OFFSET($H$3,0,0,'Données projet'!$E$10+1,1))</f>
        <v>273.21861937609918</v>
      </c>
      <c r="AO38" s="62">
        <f t="shared" si="36"/>
        <v>268.83004886965318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133.84799999999996</v>
      </c>
      <c r="BF38" s="14">
        <f t="shared" si="37"/>
        <v>34.884003992121656</v>
      </c>
      <c r="BG38" s="22">
        <f t="shared" si="7"/>
        <v>293.87490695294508</v>
      </c>
      <c r="BH38" s="62">
        <f t="shared" si="8"/>
        <v>537.52543967751956</v>
      </c>
      <c r="BI38" s="62">
        <f ca="1">AVERAGE(OFFSET($BH$3,0,0,'Données projet'!$E$11+1,1))-AVERAGE(OFFSET($H$3,0,0,'Données projet'!$E$11+1,1))</f>
        <v>319.01020001288975</v>
      </c>
      <c r="BJ38" s="62">
        <f t="shared" si="38"/>
        <v>312.22190035638084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177.60599999999994</v>
      </c>
      <c r="CA38" s="14">
        <f t="shared" si="39"/>
        <v>44.789150937858665</v>
      </c>
      <c r="CB38" s="22">
        <f t="shared" si="10"/>
        <v>387.33822121677036</v>
      </c>
      <c r="CC38" s="62">
        <f t="shared" si="11"/>
        <v>630.98875394134484</v>
      </c>
      <c r="CD38" s="62">
        <f ca="1">AVERAGE(OFFSET($CC$3,0,0,'Données projet'!$E$12+1,1))-AVERAGE(OFFSET($H$3,0,0,'Données projet'!$E$12+1,1))</f>
        <v>405.06394904053946</v>
      </c>
      <c r="CE38" s="62">
        <f t="shared" si="40"/>
        <v>393.75247087518198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2.4423076923076925</v>
      </c>
      <c r="CT38" s="13">
        <f>IF('Données projet'!$A$140&gt;35,CT37+CS38-DB37,IF(A38&lt;'Données projet'!$A$140,$CQ$205^A38,IF(A38='Données projet'!$A$140,'Données projet'!$B$140,CT37+CS38-DB37)))</f>
        <v>85.480769230769255</v>
      </c>
      <c r="CU38" s="18">
        <f>CT38*VLOOKUP('Données projet'!$B$13,Paramètres!$A$1:$I$89,3,0)*VLOOKUP('Données projet'!$B$13,Paramètres!$A$1:$I$89,5,0)</f>
        <v>86.677500000000023</v>
      </c>
      <c r="CV38" s="14">
        <f t="shared" si="41"/>
        <v>23.762172226638576</v>
      </c>
      <c r="CW38" s="22">
        <f t="shared" si="13"/>
        <v>192.3490957947289</v>
      </c>
      <c r="CX38" s="62">
        <f t="shared" si="14"/>
        <v>435.99962851930343</v>
      </c>
      <c r="CY38" s="62">
        <f ca="1">AVERAGE(OFFSET($CX$3,0,0,'Données projet'!$E$13+1,1))-AVERAGE(OFFSET($H$3,0,0,'Données projet'!$E$13+1,1))</f>
        <v>474.46836359712393</v>
      </c>
      <c r="CZ38" s="62">
        <f t="shared" si="42"/>
        <v>221.28699636637722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4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2.4423076923076925</v>
      </c>
      <c r="N39" s="14">
        <f>IF('Données projet'!$A$36&gt;35,N38+M39-V38,IF(A39&lt;'Données projet'!$A$36,$K$205^A39,IF(A39='Données projet'!$A$36,'Données projet'!$B$36,N38+M39-V38)))</f>
        <v>87.923076923076948</v>
      </c>
      <c r="O39" s="14">
        <f>N39*VLOOKUP('Données projet'!$B$9,Paramètres!$A$1:$I$89,3,0)*VLOOKUP('Données projet'!$B$9,Paramètres!$A$1:$I$89,5,0)</f>
        <v>79.552800000000019</v>
      </c>
      <c r="P39" s="14">
        <f t="shared" si="33"/>
        <v>22.027805756238603</v>
      </c>
      <c r="Q39" s="22">
        <f t="shared" si="53"/>
        <v>176.91955502544894</v>
      </c>
      <c r="R39" s="62">
        <f t="shared" si="0"/>
        <v>421.4319732664834</v>
      </c>
      <c r="S39" s="62">
        <f ca="1">AVERAGE(OFFSET($R$3,0,0,'Données projet'!$E$9+1,1))-AVERAGE(OFFSET($H$3,0,0,'Données projet'!$E$9+1,1))</f>
        <v>432.80275651765203</v>
      </c>
      <c r="T39" s="62">
        <f t="shared" si="34"/>
        <v>203.89279893419919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176.49999999999994</v>
      </c>
      <c r="AJ39" s="14">
        <f>AI39*VLOOKUP('Données projet'!$B$10,Paramètres!$A$1:$I$89,3,0)*VLOOKUP('Données projet'!$B$10,Paramètres!$A$1:$I$89,5,0)</f>
        <v>118.39619999999995</v>
      </c>
      <c r="AK39" s="14">
        <f t="shared" si="35"/>
        <v>31.300646864120012</v>
      </c>
      <c r="AL39" s="22">
        <f t="shared" si="4"/>
        <v>260.72200828834224</v>
      </c>
      <c r="AM39" s="62">
        <f t="shared" si="5"/>
        <v>505.23442652937666</v>
      </c>
      <c r="AN39" s="62">
        <f ca="1">AVERAGE(OFFSET($AM$3,0,0,'Données projet'!$E$10+1,1))-AVERAGE(OFFSET($H$3,0,0,'Données projet'!$E$10+1,1))</f>
        <v>273.21861937609918</v>
      </c>
      <c r="AO39" s="62">
        <f t="shared" si="36"/>
        <v>268.83004886965318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143.17679999999996</v>
      </c>
      <c r="BF39" s="14">
        <f t="shared" si="37"/>
        <v>37.023812674521487</v>
      </c>
      <c r="BG39" s="22">
        <f t="shared" si="7"/>
        <v>313.84940040812484</v>
      </c>
      <c r="BH39" s="62">
        <f t="shared" si="8"/>
        <v>558.3618186491592</v>
      </c>
      <c r="BI39" s="62">
        <f ca="1">AVERAGE(OFFSET($BH$3,0,0,'Données projet'!$E$11+1,1))-AVERAGE(OFFSET($H$3,0,0,'Données projet'!$E$11+1,1))</f>
        <v>319.01020001288975</v>
      </c>
      <c r="BJ39" s="62">
        <f t="shared" si="38"/>
        <v>312.22190035638084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189.98459999999994</v>
      </c>
      <c r="CA39" s="14">
        <f t="shared" si="39"/>
        <v>47.536548113819066</v>
      </c>
      <c r="CB39" s="22">
        <f t="shared" si="10"/>
        <v>413.68266629823478</v>
      </c>
      <c r="CC39" s="62">
        <f t="shared" si="11"/>
        <v>658.19508453926915</v>
      </c>
      <c r="CD39" s="62">
        <f ca="1">AVERAGE(OFFSET($CC$3,0,0,'Données projet'!$E$12+1,1))-AVERAGE(OFFSET($H$3,0,0,'Données projet'!$E$12+1,1))</f>
        <v>405.06394904053946</v>
      </c>
      <c r="CE39" s="62">
        <f t="shared" si="40"/>
        <v>393.75247087518198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2.4423076923076925</v>
      </c>
      <c r="CT39" s="13">
        <f>IF('Données projet'!$A$140&gt;35,CT38+CS39-DB38,IF(A39&lt;'Données projet'!$A$140,$CQ$205^A39,IF(A39='Données projet'!$A$140,'Données projet'!$B$140,CT38+CS39-DB38)))</f>
        <v>87.923076923076948</v>
      </c>
      <c r="CU39" s="18">
        <f>CT39*VLOOKUP('Données projet'!$B$13,Paramètres!$A$1:$I$89,3,0)*VLOOKUP('Données projet'!$B$13,Paramètres!$A$1:$I$89,5,0)</f>
        <v>89.154000000000039</v>
      </c>
      <c r="CV39" s="14">
        <f t="shared" si="41"/>
        <v>24.361078149754182</v>
      </c>
      <c r="CW39" s="22">
        <f t="shared" si="13"/>
        <v>197.70542777748858</v>
      </c>
      <c r="CX39" s="62">
        <f t="shared" si="14"/>
        <v>442.21784601852301</v>
      </c>
      <c r="CY39" s="62">
        <f ca="1">AVERAGE(OFFSET($CX$3,0,0,'Données projet'!$E$13+1,1))-AVERAGE(OFFSET($H$3,0,0,'Données projet'!$E$13+1,1))</f>
        <v>474.46836359712393</v>
      </c>
      <c r="CZ39" s="62">
        <f t="shared" si="42"/>
        <v>221.28699636637722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4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2.4423076923076925</v>
      </c>
      <c r="N40" s="14">
        <f>IF('Données projet'!$A$36&gt;35,N39+M40-V39,IF(A40&lt;'Données projet'!$A$36,$K$205^A40,IF(A40='Données projet'!$A$36,'Données projet'!$B$36,N39+M40-V39)))</f>
        <v>90.365384615384642</v>
      </c>
      <c r="O40" s="14">
        <f>N40*VLOOKUP('Données projet'!$B$9,Paramètres!$A$1:$I$89,3,0)*VLOOKUP('Données projet'!$B$9,Paramètres!$A$1:$I$89,5,0)</f>
        <v>81.76260000000002</v>
      </c>
      <c r="P40" s="14">
        <f t="shared" si="33"/>
        <v>22.567600848174017</v>
      </c>
      <c r="Q40" s="22">
        <f t="shared" si="53"/>
        <v>181.70843314390311</v>
      </c>
      <c r="R40" s="62">
        <f t="shared" si="0"/>
        <v>427.06778511457424</v>
      </c>
      <c r="S40" s="62">
        <f ca="1">AVERAGE(OFFSET($R$3,0,0,'Données projet'!$E$9+1,1))-AVERAGE(OFFSET($H$3,0,0,'Données projet'!$E$9+1,1))</f>
        <v>432.80275651765203</v>
      </c>
      <c r="T40" s="62">
        <f t="shared" si="34"/>
        <v>203.89279893419919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188</v>
      </c>
      <c r="AG40" s="13">
        <f>VLOOKUP(A40,'Données projet'!$A$61:$I$81,9,0)</f>
        <v>11.5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187.99999999999994</v>
      </c>
      <c r="AJ40" s="14">
        <f>AI40*VLOOKUP('Données projet'!$B$10,Paramètres!$A$1:$I$89,3,0)*VLOOKUP('Données projet'!$B$10,Paramètres!$A$1:$I$89,5,0)</f>
        <v>126.11039999999997</v>
      </c>
      <c r="AK40" s="14">
        <f t="shared" si="35"/>
        <v>33.096004194977844</v>
      </c>
      <c r="AL40" s="22">
        <f t="shared" si="4"/>
        <v>277.28448730625303</v>
      </c>
      <c r="AM40" s="62">
        <f t="shared" si="5"/>
        <v>522.64383927692415</v>
      </c>
      <c r="AN40" s="62">
        <f ca="1">AVERAGE(OFFSET($AM$3,0,0,'Données projet'!$E$10+1,1))-AVERAGE(OFFSET($H$3,0,0,'Données projet'!$E$10+1,1))</f>
        <v>273.21861937609918</v>
      </c>
      <c r="AO40" s="62">
        <f t="shared" si="36"/>
        <v>268.83004886965318</v>
      </c>
      <c r="AP40" s="16">
        <f>IF(ISNA(VLOOKUP(A40,'Données projet'!$A$61:$I$81,3,0)),0,VLOOKUP(A40,'Données projet'!$A$61:$I$81,3,0))</f>
        <v>5</v>
      </c>
      <c r="AQ40" s="16">
        <f>IF(ISNA(VLOOKUP(A40,'Données projet'!$A$61:$I$81,4,0)),0,VLOOKUP(A40,'Données projet'!$A$61:$I$81,4,0))</f>
        <v>36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152.50559999999996</v>
      </c>
      <c r="BF40" s="14">
        <f t="shared" si="37"/>
        <v>39.147442061162216</v>
      </c>
      <c r="BG40" s="22">
        <f t="shared" si="7"/>
        <v>333.79571492319081</v>
      </c>
      <c r="BH40" s="62">
        <f t="shared" si="8"/>
        <v>579.15506689386189</v>
      </c>
      <c r="BI40" s="62">
        <f ca="1">AVERAGE(OFFSET($BH$3,0,0,'Données projet'!$E$11+1,1))-AVERAGE(OFFSET($H$3,0,0,'Données projet'!$E$11+1,1))</f>
        <v>319.01020001288975</v>
      </c>
      <c r="BJ40" s="62">
        <f t="shared" si="38"/>
        <v>312.22190035638084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202.36319999999992</v>
      </c>
      <c r="CA40" s="14">
        <f t="shared" si="39"/>
        <v>50.263171959975132</v>
      </c>
      <c r="CB40" s="22">
        <f t="shared" si="10"/>
        <v>439.9909311636232</v>
      </c>
      <c r="CC40" s="62">
        <f t="shared" si="11"/>
        <v>685.35028313429427</v>
      </c>
      <c r="CD40" s="62">
        <f ca="1">AVERAGE(OFFSET($CC$3,0,0,'Données projet'!$E$12+1,1))-AVERAGE(OFFSET($H$3,0,0,'Données projet'!$E$12+1,1))</f>
        <v>405.06394904053946</v>
      </c>
      <c r="CE40" s="62">
        <f t="shared" si="40"/>
        <v>393.75247087518198</v>
      </c>
      <c r="CF40" s="16">
        <f>IF(ISNA(VLOOKUP(A40,'Données projet'!$A$113:$I$133,3,0)),0,VLOOKUP(A40,'Données projet'!$A$113:$I$133,3,0))</f>
        <v>5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2.4423076923076925</v>
      </c>
      <c r="CT40" s="13">
        <f>IF('Données projet'!$A$140&gt;35,CT39+CS40-DB39,IF(A40&lt;'Données projet'!$A$140,$CQ$205^A40,IF(A40='Données projet'!$A$140,'Données projet'!$B$140,CT39+CS40-DB39)))</f>
        <v>90.365384615384642</v>
      </c>
      <c r="CU40" s="18">
        <f>CT40*VLOOKUP('Données projet'!$B$13,Paramètres!$A$1:$I$89,3,0)*VLOOKUP('Données projet'!$B$13,Paramètres!$A$1:$I$89,5,0)</f>
        <v>91.630500000000026</v>
      </c>
      <c r="CV40" s="14">
        <f t="shared" si="41"/>
        <v>24.95805047486958</v>
      </c>
      <c r="CW40" s="22">
        <f t="shared" si="13"/>
        <v>203.05839207706455</v>
      </c>
      <c r="CX40" s="62">
        <f t="shared" si="14"/>
        <v>448.41774404773565</v>
      </c>
      <c r="CY40" s="62">
        <f ca="1">AVERAGE(OFFSET($CX$3,0,0,'Données projet'!$E$13+1,1))-AVERAGE(OFFSET($H$3,0,0,'Données projet'!$E$13+1,1))</f>
        <v>474.46836359712393</v>
      </c>
      <c r="CZ40" s="62">
        <f t="shared" si="42"/>
        <v>221.28699636637722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4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2.4423076923076925</v>
      </c>
      <c r="N41" s="14">
        <f>IF('Données projet'!$A$36&gt;35,N40+M41-V40,IF(A41&lt;'Données projet'!$A$36,$K$205^A41,IF(A41='Données projet'!$A$36,'Données projet'!$B$36,N40+M41-V40)))</f>
        <v>92.807692307692335</v>
      </c>
      <c r="O41" s="14">
        <f>N41*VLOOKUP('Données projet'!$B$9,Paramètres!$A$1:$I$89,3,0)*VLOOKUP('Données projet'!$B$9,Paramètres!$A$1:$I$89,5,0)</f>
        <v>83.972400000000022</v>
      </c>
      <c r="P41" s="14">
        <f t="shared" si="33"/>
        <v>23.105700224146609</v>
      </c>
      <c r="Q41" s="22">
        <f t="shared" si="53"/>
        <v>186.49435789038873</v>
      </c>
      <c r="R41" s="62">
        <f t="shared" si="0"/>
        <v>432.68595118394745</v>
      </c>
      <c r="S41" s="62">
        <f ca="1">AVERAGE(OFFSET($R$3,0,0,'Données projet'!$E$9+1,1))-AVERAGE(OFFSET($H$3,0,0,'Données projet'!$E$9+1,1))</f>
        <v>432.80275651765203</v>
      </c>
      <c r="T41" s="62">
        <f t="shared" si="34"/>
        <v>203.89279893419919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11.142857142857142</v>
      </c>
      <c r="AI41" s="14">
        <f>IF('Données projet'!$A$62&gt;35,AI40+AH41-AQ40,IF(A41&lt;'Données projet'!$A$62,$AF$205^A41,IF(A41='Données projet'!$A$62,'Données projet'!$B$62,AI40+AH41-AQ40)))</f>
        <v>163.14285714285708</v>
      </c>
      <c r="AJ41" s="14">
        <f>AI41*VLOOKUP('Données projet'!$B$10,Paramètres!$A$1:$I$89,3,0)*VLOOKUP('Données projet'!$B$10,Paramètres!$A$1:$I$89,5,0)</f>
        <v>109.43622857142853</v>
      </c>
      <c r="AK41" s="14">
        <f t="shared" si="35"/>
        <v>29.198115929899995</v>
      </c>
      <c r="AL41" s="22">
        <f t="shared" si="4"/>
        <v>241.45481667314718</v>
      </c>
      <c r="AM41" s="62">
        <f t="shared" si="5"/>
        <v>487.6464099667059</v>
      </c>
      <c r="AN41" s="62">
        <f ca="1">AVERAGE(OFFSET($AM$3,0,0,'Données projet'!$E$10+1,1))-AVERAGE(OFFSET($H$3,0,0,'Données projet'!$E$10+1,1))</f>
        <v>273.21861937609918</v>
      </c>
      <c r="AO41" s="62">
        <f t="shared" si="36"/>
        <v>268.83004886965318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132.34148571428568</v>
      </c>
      <c r="BF41" s="14">
        <f t="shared" si="37"/>
        <v>34.536844536486583</v>
      </c>
      <c r="BG41" s="22">
        <f t="shared" si="7"/>
        <v>290.64642518676169</v>
      </c>
      <c r="BH41" s="62">
        <f t="shared" si="8"/>
        <v>536.83801848032044</v>
      </c>
      <c r="BI41" s="62">
        <f ca="1">AVERAGE(OFFSET($BH$3,0,0,'Données projet'!$E$11+1,1))-AVERAGE(OFFSET($H$3,0,0,'Données projet'!$E$11+1,1))</f>
        <v>319.01020001288975</v>
      </c>
      <c r="BJ41" s="62">
        <f t="shared" si="38"/>
        <v>312.22190035638084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163.14285714285708</v>
      </c>
      <c r="BZ41" s="14">
        <f>BY41*VLOOKUP('Données projet'!$B$12,Paramètres!$A$1:$I$89,3,0)*VLOOKUP('Données projet'!$B$12,Paramètres!$A$1:$I$89,5,0)</f>
        <v>175.60697142857134</v>
      </c>
      <c r="CA41" s="14">
        <f t="shared" si="39"/>
        <v>44.343417206677579</v>
      </c>
      <c r="CB41" s="22">
        <f t="shared" si="10"/>
        <v>383.08026020639187</v>
      </c>
      <c r="CC41" s="62">
        <f t="shared" si="11"/>
        <v>629.27185349995057</v>
      </c>
      <c r="CD41" s="62">
        <f ca="1">AVERAGE(OFFSET($CC$3,0,0,'Données projet'!$E$12+1,1))-AVERAGE(OFFSET($H$3,0,0,'Données projet'!$E$12+1,1))</f>
        <v>405.06394904053946</v>
      </c>
      <c r="CE41" s="62">
        <f t="shared" si="40"/>
        <v>393.75247087518198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2.4423076923076925</v>
      </c>
      <c r="CT41" s="13">
        <f>IF('Données projet'!$A$140&gt;35,CT40+CS41-DB40,IF(A41&lt;'Données projet'!$A$140,$CQ$205^A41,IF(A41='Données projet'!$A$140,'Données projet'!$B$140,CT40+CS41-DB40)))</f>
        <v>92.807692307692335</v>
      </c>
      <c r="CU41" s="18">
        <f>CT41*VLOOKUP('Données projet'!$B$13,Paramètres!$A$1:$I$89,3,0)*VLOOKUP('Données projet'!$B$13,Paramètres!$A$1:$I$89,5,0)</f>
        <v>94.107000000000028</v>
      </c>
      <c r="CV41" s="14">
        <f t="shared" si="41"/>
        <v>25.55314746707408</v>
      </c>
      <c r="CW41" s="22">
        <f t="shared" si="13"/>
        <v>208.40809017182073</v>
      </c>
      <c r="CX41" s="62">
        <f t="shared" si="14"/>
        <v>454.59968346537948</v>
      </c>
      <c r="CY41" s="62">
        <f ca="1">AVERAGE(OFFSET($CX$3,0,0,'Données projet'!$E$13+1,1))-AVERAGE(OFFSET($H$3,0,0,'Données projet'!$E$13+1,1))</f>
        <v>474.46836359712393</v>
      </c>
      <c r="CZ41" s="62">
        <f t="shared" si="42"/>
        <v>221.28699636637722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4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2.4423076923076925</v>
      </c>
      <c r="N42" s="14">
        <f>IF('Données projet'!$A$36&gt;35,N41+M42-V41,IF(A42&lt;'Données projet'!$A$36,$K$205^A42,IF(A42='Données projet'!$A$36,'Données projet'!$B$36,N41+M42-V41)))</f>
        <v>95.250000000000028</v>
      </c>
      <c r="O42" s="14">
        <f>N42*VLOOKUP('Données projet'!$B$9,Paramètres!$A$1:$I$89,3,0)*VLOOKUP('Données projet'!$B$9,Paramètres!$A$1:$I$89,5,0)</f>
        <v>86.182200000000023</v>
      </c>
      <c r="P42" s="14">
        <f t="shared" si="33"/>
        <v>23.642153637908169</v>
      </c>
      <c r="Q42" s="22">
        <f t="shared" si="53"/>
        <v>191.27741591935674</v>
      </c>
      <c r="R42" s="62">
        <f t="shared" si="0"/>
        <v>438.28681300946386</v>
      </c>
      <c r="S42" s="62">
        <f ca="1">AVERAGE(OFFSET($R$3,0,0,'Données projet'!$E$9+1,1))-AVERAGE(OFFSET($H$3,0,0,'Données projet'!$E$9+1,1))</f>
        <v>432.80275651765203</v>
      </c>
      <c r="T42" s="62">
        <f t="shared" si="34"/>
        <v>203.89279893419919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11.142857142857142</v>
      </c>
      <c r="AI42" s="14">
        <f>IF('Données projet'!$A$62&gt;35,AI41+AH42-AQ41,IF(A42&lt;'Données projet'!$A$62,$AF$205^A42,IF(A42='Données projet'!$A$62,'Données projet'!$B$62,AI41+AH42-AQ41)))</f>
        <v>174.28571428571422</v>
      </c>
      <c r="AJ42" s="14">
        <f>AI42*VLOOKUP('Données projet'!$B$10,Paramètres!$A$1:$I$89,3,0)*VLOOKUP('Données projet'!$B$10,Paramètres!$A$1:$I$89,5,0)</f>
        <v>116.9108571428571</v>
      </c>
      <c r="AK42" s="14">
        <f t="shared" si="35"/>
        <v>30.95341750241019</v>
      </c>
      <c r="AL42" s="22">
        <f t="shared" si="4"/>
        <v>257.53027834050721</v>
      </c>
      <c r="AM42" s="62">
        <f t="shared" si="5"/>
        <v>504.53967543061435</v>
      </c>
      <c r="AN42" s="62">
        <f ca="1">AVERAGE(OFFSET($AM$3,0,0,'Données projet'!$E$10+1,1))-AVERAGE(OFFSET($H$3,0,0,'Données projet'!$E$10+1,1))</f>
        <v>273.21861937609918</v>
      </c>
      <c r="AO42" s="62">
        <f t="shared" si="36"/>
        <v>268.83004886965318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141.38057142857139</v>
      </c>
      <c r="BF42" s="14">
        <f t="shared" si="37"/>
        <v>36.613094170880125</v>
      </c>
      <c r="BG42" s="22">
        <f t="shared" si="7"/>
        <v>310.005634252378</v>
      </c>
      <c r="BH42" s="62">
        <f t="shared" si="8"/>
        <v>557.01503134248514</v>
      </c>
      <c r="BI42" s="62">
        <f ca="1">AVERAGE(OFFSET($BH$3,0,0,'Données projet'!$E$11+1,1))-AVERAGE(OFFSET($H$3,0,0,'Données projet'!$E$11+1,1))</f>
        <v>319.01020001288975</v>
      </c>
      <c r="BJ42" s="62">
        <f t="shared" si="38"/>
        <v>312.22190035638084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174.28571428571422</v>
      </c>
      <c r="BZ42" s="14">
        <f>BY42*VLOOKUP('Données projet'!$B$12,Paramètres!$A$1:$I$89,3,0)*VLOOKUP('Données projet'!$B$12,Paramètres!$A$1:$I$89,5,0)</f>
        <v>187.6011428571428</v>
      </c>
      <c r="CA42" s="14">
        <f t="shared" si="39"/>
        <v>47.009208045381953</v>
      </c>
      <c r="CB42" s="22">
        <f t="shared" si="10"/>
        <v>408.61302782189728</v>
      </c>
      <c r="CC42" s="62">
        <f t="shared" si="11"/>
        <v>655.62242491200436</v>
      </c>
      <c r="CD42" s="62">
        <f ca="1">AVERAGE(OFFSET($CC$3,0,0,'Données projet'!$E$12+1,1))-AVERAGE(OFFSET($H$3,0,0,'Données projet'!$E$12+1,1))</f>
        <v>405.06394904053946</v>
      </c>
      <c r="CE42" s="62">
        <f t="shared" si="40"/>
        <v>393.75247087518198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2.4423076923076925</v>
      </c>
      <c r="CT42" s="13">
        <f>IF('Données projet'!$A$140&gt;35,CT41+CS42-DB41,IF(A42&lt;'Données projet'!$A$140,$CQ$205^A42,IF(A42='Données projet'!$A$140,'Données projet'!$B$140,CT41+CS42-DB41)))</f>
        <v>95.250000000000028</v>
      </c>
      <c r="CU42" s="18">
        <f>CT42*VLOOKUP('Données projet'!$B$13,Paramètres!$A$1:$I$89,3,0)*VLOOKUP('Données projet'!$B$13,Paramètres!$A$1:$I$89,5,0)</f>
        <v>96.583500000000043</v>
      </c>
      <c r="CV42" s="14">
        <f t="shared" si="41"/>
        <v>26.146424150233795</v>
      </c>
      <c r="CW42" s="22">
        <f t="shared" si="13"/>
        <v>213.75461789499059</v>
      </c>
      <c r="CX42" s="62">
        <f t="shared" si="14"/>
        <v>460.76401498509767</v>
      </c>
      <c r="CY42" s="62">
        <f ca="1">AVERAGE(OFFSET($CX$3,0,0,'Données projet'!$E$13+1,1))-AVERAGE(OFFSET($H$3,0,0,'Données projet'!$E$13+1,1))</f>
        <v>474.46836359712393</v>
      </c>
      <c r="CZ42" s="62">
        <f t="shared" si="42"/>
        <v>221.28699636637722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4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2.4423076923076925</v>
      </c>
      <c r="N43" s="14">
        <f>IF('Données projet'!$A$36&gt;35,N42+M43-V42,IF(A43&lt;'Données projet'!$A$36,$K$205^A43,IF(A43='Données projet'!$A$36,'Données projet'!$B$36,N42+M43-V42)))</f>
        <v>97.692307692307722</v>
      </c>
      <c r="O43" s="14">
        <f>N43*VLOOKUP('Données projet'!$B$9,Paramètres!$A$1:$I$89,3,0)*VLOOKUP('Données projet'!$B$9,Paramètres!$A$1:$I$89,5,0)</f>
        <v>88.392000000000024</v>
      </c>
      <c r="P43" s="14">
        <f t="shared" si="33"/>
        <v>24.177008146373939</v>
      </c>
      <c r="Q43" s="22">
        <f t="shared" si="53"/>
        <v>196.05768918826797</v>
      </c>
      <c r="R43" s="62">
        <f t="shared" si="0"/>
        <v>443.87070300738878</v>
      </c>
      <c r="S43" s="62">
        <f ca="1">AVERAGE(OFFSET($R$3,0,0,'Données projet'!$E$9+1,1))-AVERAGE(OFFSET($H$3,0,0,'Données projet'!$E$9+1,1))</f>
        <v>432.80275651765203</v>
      </c>
      <c r="T43" s="62">
        <f t="shared" si="34"/>
        <v>203.89279893419919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11.142857142857142</v>
      </c>
      <c r="AI43" s="14">
        <f>IF('Données projet'!$A$62&gt;35,AI42+AH43-AQ42,IF(A43&lt;'Données projet'!$A$62,$AF$205^A43,IF(A43='Données projet'!$A$62,'Données projet'!$B$62,AI42+AH43-AQ42)))</f>
        <v>185.42857142857136</v>
      </c>
      <c r="AJ43" s="14">
        <f>AI43*VLOOKUP('Données projet'!$B$10,Paramètres!$A$1:$I$89,3,0)*VLOOKUP('Données projet'!$B$10,Paramètres!$A$1:$I$89,5,0)</f>
        <v>124.38548571428568</v>
      </c>
      <c r="AK43" s="14">
        <f t="shared" si="35"/>
        <v>32.69569530117105</v>
      </c>
      <c r="AL43" s="22">
        <f t="shared" si="4"/>
        <v>273.58305693525381</v>
      </c>
      <c r="AM43" s="62">
        <f t="shared" si="5"/>
        <v>521.39607075437459</v>
      </c>
      <c r="AN43" s="62">
        <f ca="1">AVERAGE(OFFSET($AM$3,0,0,'Données projet'!$E$10+1,1))-AVERAGE(OFFSET($H$3,0,0,'Données projet'!$E$10+1,1))</f>
        <v>273.21861937609918</v>
      </c>
      <c r="AO43" s="62">
        <f t="shared" si="36"/>
        <v>268.83004886965318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150.41965714285709</v>
      </c>
      <c r="BF43" s="14">
        <f t="shared" si="37"/>
        <v>38.673938700014816</v>
      </c>
      <c r="BG43" s="22">
        <f t="shared" si="7"/>
        <v>329.33801275966857</v>
      </c>
      <c r="BH43" s="62">
        <f t="shared" si="8"/>
        <v>577.15102657878936</v>
      </c>
      <c r="BI43" s="62">
        <f ca="1">AVERAGE(OFFSET($BH$3,0,0,'Données projet'!$E$11+1,1))-AVERAGE(OFFSET($H$3,0,0,'Données projet'!$E$11+1,1))</f>
        <v>319.01020001288975</v>
      </c>
      <c r="BJ43" s="62">
        <f t="shared" si="38"/>
        <v>312.22190035638084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185.42857142857136</v>
      </c>
      <c r="BZ43" s="14">
        <f>BY43*VLOOKUP('Données projet'!$B$12,Paramètres!$A$1:$I$89,3,0)*VLOOKUP('Données projet'!$B$12,Paramètres!$A$1:$I$89,5,0)</f>
        <v>199.59531428571421</v>
      </c>
      <c r="CA43" s="14">
        <f t="shared" si="39"/>
        <v>49.655219572491148</v>
      </c>
      <c r="CB43" s="22">
        <f t="shared" si="10"/>
        <v>434.1113464697076</v>
      </c>
      <c r="CC43" s="62">
        <f t="shared" si="11"/>
        <v>681.92436028882844</v>
      </c>
      <c r="CD43" s="62">
        <f ca="1">AVERAGE(OFFSET($CC$3,0,0,'Données projet'!$E$12+1,1))-AVERAGE(OFFSET($H$3,0,0,'Données projet'!$E$12+1,1))</f>
        <v>405.06394904053946</v>
      </c>
      <c r="CE43" s="62">
        <f t="shared" si="40"/>
        <v>393.75247087518198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2.4423076923076925</v>
      </c>
      <c r="CT43" s="13">
        <f>IF('Données projet'!$A$140&gt;35,CT42+CS43-DB42,IF(A43&lt;'Données projet'!$A$140,$CQ$205^A43,IF(A43='Données projet'!$A$140,'Données projet'!$B$140,CT42+CS43-DB42)))</f>
        <v>97.692307692307722</v>
      </c>
      <c r="CU43" s="18">
        <f>CT43*VLOOKUP('Données projet'!$B$13,Paramètres!$A$1:$I$89,3,0)*VLOOKUP('Données projet'!$B$13,Paramètres!$A$1:$I$89,5,0)</f>
        <v>99.060000000000031</v>
      </c>
      <c r="CV43" s="14">
        <f t="shared" si="41"/>
        <v>26.737932565718722</v>
      </c>
      <c r="CW43" s="22">
        <f t="shared" si="13"/>
        <v>219.09806588529349</v>
      </c>
      <c r="CX43" s="62">
        <f t="shared" si="14"/>
        <v>466.91107970441431</v>
      </c>
      <c r="CY43" s="62">
        <f ca="1">AVERAGE(OFFSET($CX$3,0,0,'Données projet'!$E$13+1,1))-AVERAGE(OFFSET($H$3,0,0,'Données projet'!$E$13+1,1))</f>
        <v>474.46836359712393</v>
      </c>
      <c r="CZ43" s="62">
        <f t="shared" si="42"/>
        <v>221.28699636637722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4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2.4423076923076925</v>
      </c>
      <c r="N44" s="14">
        <f>IF('Données projet'!$A$36&gt;35,N43+M44-V43,IF(A44&lt;'Données projet'!$A$36,$K$205^A44,IF(A44='Données projet'!$A$36,'Données projet'!$B$36,N43+M44-V43)))</f>
        <v>100.13461538461542</v>
      </c>
      <c r="O44" s="14">
        <f>N44*VLOOKUP('Données projet'!$B$9,Paramètres!$A$1:$I$89,3,0)*VLOOKUP('Données projet'!$B$9,Paramètres!$A$1:$I$89,5,0)</f>
        <v>90.601800000000026</v>
      </c>
      <c r="P44" s="14">
        <f t="shared" si="33"/>
        <v>24.710308319515875</v>
      </c>
      <c r="Q44" s="22">
        <f t="shared" si="53"/>
        <v>200.83525532315684</v>
      </c>
      <c r="R44" s="62">
        <f t="shared" si="0"/>
        <v>449.43794491766084</v>
      </c>
      <c r="S44" s="62">
        <f ca="1">AVERAGE(OFFSET($R$3,0,0,'Données projet'!$E$9+1,1))-AVERAGE(OFFSET($H$3,0,0,'Données projet'!$E$9+1,1))</f>
        <v>432.80275651765203</v>
      </c>
      <c r="T44" s="62">
        <f t="shared" si="34"/>
        <v>203.89279893419919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11.142857142857142</v>
      </c>
      <c r="AI44" s="14">
        <f>IF('Données projet'!$A$62&gt;35,AI43+AH44-AQ43,IF(A44&lt;'Données projet'!$A$62,$AF$205^A44,IF(A44='Données projet'!$A$62,'Données projet'!$B$62,AI43+AH44-AQ43)))</f>
        <v>196.5714285714285</v>
      </c>
      <c r="AJ44" s="14">
        <f>AI44*VLOOKUP('Données projet'!$B$10,Paramètres!$A$1:$I$89,3,0)*VLOOKUP('Données projet'!$B$10,Paramètres!$A$1:$I$89,5,0)</f>
        <v>131.86011428571425</v>
      </c>
      <c r="AK44" s="14">
        <f t="shared" si="35"/>
        <v>34.425821086492789</v>
      </c>
      <c r="AL44" s="22">
        <f t="shared" si="4"/>
        <v>289.61467077326057</v>
      </c>
      <c r="AM44" s="62">
        <f t="shared" si="5"/>
        <v>538.21736036776451</v>
      </c>
      <c r="AN44" s="62">
        <f ca="1">AVERAGE(OFFSET($AM$3,0,0,'Données projet'!$E$10+1,1))-AVERAGE(OFFSET($H$3,0,0,'Données projet'!$E$10+1,1))</f>
        <v>273.21861937609918</v>
      </c>
      <c r="AO44" s="62">
        <f t="shared" si="36"/>
        <v>268.83004886965318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159.45874285714279</v>
      </c>
      <c r="BF44" s="14">
        <f t="shared" si="37"/>
        <v>40.720409281188005</v>
      </c>
      <c r="BG44" s="22">
        <f t="shared" si="7"/>
        <v>348.64535664092614</v>
      </c>
      <c r="BH44" s="62">
        <f t="shared" si="8"/>
        <v>597.24804623543014</v>
      </c>
      <c r="BI44" s="62">
        <f ca="1">AVERAGE(OFFSET($BH$3,0,0,'Données projet'!$E$11+1,1))-AVERAGE(OFFSET($H$3,0,0,'Données projet'!$E$11+1,1))</f>
        <v>319.01020001288975</v>
      </c>
      <c r="BJ44" s="62">
        <f t="shared" si="38"/>
        <v>312.22190035638084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</v>
      </c>
      <c r="BZ44" s="14">
        <f>BY44*VLOOKUP('Données projet'!$B$12,Paramètres!$A$1:$I$89,3,0)*VLOOKUP('Données projet'!$B$12,Paramètres!$A$1:$I$89,5,0)</f>
        <v>211.58948571428562</v>
      </c>
      <c r="CA44" s="14">
        <f t="shared" si="39"/>
        <v>52.282775737510292</v>
      </c>
      <c r="CB44" s="22">
        <f t="shared" si="10"/>
        <v>459.57752202854454</v>
      </c>
      <c r="CC44" s="62">
        <f t="shared" si="11"/>
        <v>708.18021162304854</v>
      </c>
      <c r="CD44" s="62">
        <f ca="1">AVERAGE(OFFSET($CC$3,0,0,'Données projet'!$E$12+1,1))-AVERAGE(OFFSET($H$3,0,0,'Données projet'!$E$12+1,1))</f>
        <v>405.06394904053946</v>
      </c>
      <c r="CE44" s="62">
        <f t="shared" si="40"/>
        <v>393.75247087518198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2.4423076923076925</v>
      </c>
      <c r="CT44" s="13">
        <f>IF('Données projet'!$A$140&gt;35,CT43+CS44-DB43,IF(A44&lt;'Données projet'!$A$140,$CQ$205^A44,IF(A44='Données projet'!$A$140,'Données projet'!$B$140,CT43+CS44-DB43)))</f>
        <v>100.13461538461542</v>
      </c>
      <c r="CU44" s="18">
        <f>CT44*VLOOKUP('Données projet'!$B$13,Paramètres!$A$1:$I$89,3,0)*VLOOKUP('Données projet'!$B$13,Paramètres!$A$1:$I$89,5,0)</f>
        <v>101.53650000000003</v>
      </c>
      <c r="CV44" s="14">
        <f t="shared" si="41"/>
        <v>27.327722004528756</v>
      </c>
      <c r="CW44" s="22">
        <f t="shared" si="13"/>
        <v>224.43851999122094</v>
      </c>
      <c r="CX44" s="62">
        <f t="shared" si="14"/>
        <v>473.04120958572491</v>
      </c>
      <c r="CY44" s="62">
        <f ca="1">AVERAGE(OFFSET($CX$3,0,0,'Données projet'!$E$13+1,1))-AVERAGE(OFFSET($H$3,0,0,'Données projet'!$E$13+1,1))</f>
        <v>474.46836359712393</v>
      </c>
      <c r="CZ44" s="62">
        <f t="shared" si="42"/>
        <v>221.28699636637722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4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2.4423076923076925</v>
      </c>
      <c r="N45" s="14">
        <f>IF('Données projet'!$A$36&gt;35,N44+M45-V44,IF(A45&lt;'Données projet'!$A$36,$K$205^A45,IF(A45='Données projet'!$A$36,'Données projet'!$B$36,N44+M45-V44)))</f>
        <v>102.57692307692311</v>
      </c>
      <c r="O45" s="14">
        <f>N45*VLOOKUP('Données projet'!$B$9,Paramètres!$A$1:$I$89,3,0)*VLOOKUP('Données projet'!$B$9,Paramètres!$A$1:$I$89,5,0)</f>
        <v>92.811600000000027</v>
      </c>
      <c r="P45" s="14">
        <f t="shared" si="33"/>
        <v>25.242096429202068</v>
      </c>
      <c r="Q45" s="22">
        <f t="shared" si="53"/>
        <v>205.61018794752695</v>
      </c>
      <c r="R45" s="62">
        <f t="shared" si="0"/>
        <v>454.98885420816168</v>
      </c>
      <c r="S45" s="62">
        <f ca="1">AVERAGE(OFFSET($R$3,0,0,'Données projet'!$E$9+1,1))-AVERAGE(OFFSET($H$3,0,0,'Données projet'!$E$9+1,1))</f>
        <v>432.80275651765203</v>
      </c>
      <c r="T45" s="62">
        <f t="shared" si="34"/>
        <v>203.89279893419919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11.142857142857142</v>
      </c>
      <c r="AI45" s="14">
        <f>IF('Données projet'!$A$62&gt;35,AI44+AH45-AQ44,IF(A45&lt;'Données projet'!$A$62,$AF$205^A45,IF(A45='Données projet'!$A$62,'Données projet'!$B$62,AI44+AH45-AQ44)))</f>
        <v>207.71428571428564</v>
      </c>
      <c r="AJ45" s="14">
        <f>AI45*VLOOKUP('Données projet'!$B$10,Paramètres!$A$1:$I$89,3,0)*VLOOKUP('Données projet'!$B$10,Paramètres!$A$1:$I$89,5,0)</f>
        <v>139.33474285714283</v>
      </c>
      <c r="AK45" s="14">
        <f t="shared" si="35"/>
        <v>36.144562203141966</v>
      </c>
      <c r="AL45" s="22">
        <f t="shared" si="4"/>
        <v>305.62645631332936</v>
      </c>
      <c r="AM45" s="62">
        <f t="shared" si="5"/>
        <v>555.00512257396406</v>
      </c>
      <c r="AN45" s="62">
        <f ca="1">AVERAGE(OFFSET($AM$3,0,0,'Données projet'!$E$10+1,1))-AVERAGE(OFFSET($H$3,0,0,'Données projet'!$E$10+1,1))</f>
        <v>273.21861937609918</v>
      </c>
      <c r="AO45" s="62">
        <f t="shared" si="36"/>
        <v>268.83004886965318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168.49782857142853</v>
      </c>
      <c r="BF45" s="14">
        <f t="shared" si="37"/>
        <v>42.753413564296331</v>
      </c>
      <c r="BG45" s="22">
        <f t="shared" si="7"/>
        <v>367.92924671972077</v>
      </c>
      <c r="BH45" s="62">
        <f t="shared" si="8"/>
        <v>617.30791298035547</v>
      </c>
      <c r="BI45" s="62">
        <f ca="1">AVERAGE(OFFSET($BH$3,0,0,'Données projet'!$E$11+1,1))-AVERAGE(OFFSET($H$3,0,0,'Données projet'!$E$11+1,1))</f>
        <v>319.01020001288975</v>
      </c>
      <c r="BJ45" s="62">
        <f t="shared" si="38"/>
        <v>312.22190035638084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207.71428571428564</v>
      </c>
      <c r="BZ45" s="14">
        <f>BY45*VLOOKUP('Données projet'!$B$12,Paramètres!$A$1:$I$89,3,0)*VLOOKUP('Données projet'!$B$12,Paramètres!$A$1:$I$89,5,0)</f>
        <v>223.58365714285708</v>
      </c>
      <c r="CA45" s="14">
        <f t="shared" si="39"/>
        <v>54.893041913205501</v>
      </c>
      <c r="CB45" s="22">
        <f t="shared" si="10"/>
        <v>485.01358418930892</v>
      </c>
      <c r="CC45" s="62">
        <f t="shared" si="11"/>
        <v>734.39225044994362</v>
      </c>
      <c r="CD45" s="62">
        <f ca="1">AVERAGE(OFFSET($CC$3,0,0,'Données projet'!$E$12+1,1))-AVERAGE(OFFSET($H$3,0,0,'Données projet'!$E$12+1,1))</f>
        <v>405.06394904053946</v>
      </c>
      <c r="CE45" s="62">
        <f t="shared" si="40"/>
        <v>393.75247087518198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2.4423076923076925</v>
      </c>
      <c r="CT45" s="13">
        <f>IF('Données projet'!$A$140&gt;35,CT44+CS45-DB44,IF(A45&lt;'Données projet'!$A$140,$CQ$205^A45,IF(A45='Données projet'!$A$140,'Données projet'!$B$140,CT44+CS45-DB44)))</f>
        <v>102.57692307692311</v>
      </c>
      <c r="CU45" s="18">
        <f>CT45*VLOOKUP('Données projet'!$B$13,Paramètres!$A$1:$I$89,3,0)*VLOOKUP('Données projet'!$B$13,Paramètres!$A$1:$I$89,5,0)</f>
        <v>104.01300000000005</v>
      </c>
      <c r="CV45" s="14">
        <f t="shared" si="41"/>
        <v>27.915839216135574</v>
      </c>
      <c r="CW45" s="22">
        <f t="shared" si="13"/>
        <v>229.77606163476955</v>
      </c>
      <c r="CX45" s="62">
        <f t="shared" si="14"/>
        <v>479.15472789540428</v>
      </c>
      <c r="CY45" s="62">
        <f ca="1">AVERAGE(OFFSET($CX$3,0,0,'Données projet'!$E$13+1,1))-AVERAGE(OFFSET($H$3,0,0,'Données projet'!$E$13+1,1))</f>
        <v>474.46836359712393</v>
      </c>
      <c r="CZ45" s="62">
        <f t="shared" si="42"/>
        <v>221.28699636637722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4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2.4423076923076925</v>
      </c>
      <c r="N46" s="14">
        <f>IF('Données projet'!$A$36&gt;35,N45+M46-V45,IF(A46&lt;'Données projet'!$A$36,$K$205^A46,IF(A46='Données projet'!$A$36,'Données projet'!$B$36,N45+M46-V45)))</f>
        <v>105.0192307692308</v>
      </c>
      <c r="O46" s="14">
        <f>N46*VLOOKUP('Données projet'!$B$9,Paramètres!$A$1:$I$89,3,0)*VLOOKUP('Données projet'!$B$9,Paramètres!$A$1:$I$89,5,0)</f>
        <v>95.021400000000028</v>
      </c>
      <c r="P46" s="14">
        <f t="shared" si="33"/>
        <v>25.772412619544667</v>
      </c>
      <c r="Q46" s="22">
        <f t="shared" si="53"/>
        <v>210.38255697904034</v>
      </c>
      <c r="R46" s="62">
        <f t="shared" si="0"/>
        <v>460.52373844547242</v>
      </c>
      <c r="S46" s="62">
        <f ca="1">AVERAGE(OFFSET($R$3,0,0,'Données projet'!$E$9+1,1))-AVERAGE(OFFSET($H$3,0,0,'Données projet'!$E$9+1,1))</f>
        <v>432.80275651765203</v>
      </c>
      <c r="T46" s="62">
        <f t="shared" si="34"/>
        <v>203.89279893419919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11.142857142857142</v>
      </c>
      <c r="AI46" s="14">
        <f>IF('Données projet'!$A$62&gt;35,AI45+AH46-AQ45,IF(A46&lt;'Données projet'!$A$62,$AF$205^A46,IF(A46='Données projet'!$A$62,'Données projet'!$B$62,AI45+AH46-AQ45)))</f>
        <v>218.85714285714278</v>
      </c>
      <c r="AJ46" s="14">
        <f>AI46*VLOOKUP('Données projet'!$B$10,Paramètres!$A$1:$I$89,3,0)*VLOOKUP('Données projet'!$B$10,Paramètres!$A$1:$I$89,5,0)</f>
        <v>146.80937142857138</v>
      </c>
      <c r="AK46" s="14">
        <f t="shared" si="35"/>
        <v>37.852599017509782</v>
      </c>
      <c r="AL46" s="22">
        <f t="shared" si="4"/>
        <v>321.61959852692468</v>
      </c>
      <c r="AM46" s="62">
        <f t="shared" si="5"/>
        <v>571.76077999335666</v>
      </c>
      <c r="AN46" s="62">
        <f ca="1">AVERAGE(OFFSET($AM$3,0,0,'Données projet'!$E$10+1,1))-AVERAGE(OFFSET($H$3,0,0,'Données projet'!$E$10+1,1))</f>
        <v>273.21861937609918</v>
      </c>
      <c r="AO46" s="62">
        <f t="shared" si="36"/>
        <v>268.83004886965318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177.53691428571423</v>
      </c>
      <c r="BF46" s="14">
        <f t="shared" si="37"/>
        <v>44.773756317302826</v>
      </c>
      <c r="BG46" s="22">
        <f t="shared" si="7"/>
        <v>387.19108463358799</v>
      </c>
      <c r="BH46" s="62">
        <f t="shared" si="8"/>
        <v>637.33226610001998</v>
      </c>
      <c r="BI46" s="62">
        <f ca="1">AVERAGE(OFFSET($BH$3,0,0,'Données projet'!$E$11+1,1))-AVERAGE(OFFSET($H$3,0,0,'Données projet'!$E$11+1,1))</f>
        <v>319.01020001288975</v>
      </c>
      <c r="BJ46" s="62">
        <f t="shared" si="38"/>
        <v>312.22190035638084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218.85714285714278</v>
      </c>
      <c r="BZ46" s="14">
        <f>BY46*VLOOKUP('Données projet'!$B$12,Paramètres!$A$1:$I$89,3,0)*VLOOKUP('Données projet'!$B$12,Paramètres!$A$1:$I$89,5,0)</f>
        <v>235.57782857142846</v>
      </c>
      <c r="CA46" s="14">
        <f t="shared" si="39"/>
        <v>57.487051377573565</v>
      </c>
      <c r="CB46" s="22">
        <f t="shared" si="10"/>
        <v>510.42133257784525</v>
      </c>
      <c r="CC46" s="62">
        <f t="shared" si="11"/>
        <v>760.56251404427735</v>
      </c>
      <c r="CD46" s="62">
        <f ca="1">AVERAGE(OFFSET($CC$3,0,0,'Données projet'!$E$12+1,1))-AVERAGE(OFFSET($H$3,0,0,'Données projet'!$E$12+1,1))</f>
        <v>405.06394904053946</v>
      </c>
      <c r="CE46" s="62">
        <f t="shared" si="40"/>
        <v>393.75247087518198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2.4423076923076925</v>
      </c>
      <c r="CT46" s="13">
        <f>IF('Données projet'!$A$140&gt;35,CT45+CS46-DB45,IF(A46&lt;'Données projet'!$A$140,$CQ$205^A46,IF(A46='Données projet'!$A$140,'Données projet'!$B$140,CT45+CS46-DB45)))</f>
        <v>105.0192307692308</v>
      </c>
      <c r="CU46" s="18">
        <f>CT46*VLOOKUP('Données projet'!$B$13,Paramètres!$A$1:$I$89,3,0)*VLOOKUP('Données projet'!$B$13,Paramètres!$A$1:$I$89,5,0)</f>
        <v>106.48950000000004</v>
      </c>
      <c r="CV46" s="14">
        <f t="shared" si="41"/>
        <v>28.502328596874577</v>
      </c>
      <c r="CW46" s="22">
        <f t="shared" si="13"/>
        <v>235.11076813955654</v>
      </c>
      <c r="CX46" s="62">
        <f t="shared" si="14"/>
        <v>485.25194960598856</v>
      </c>
      <c r="CY46" s="62">
        <f ca="1">AVERAGE(OFFSET($CX$3,0,0,'Données projet'!$E$13+1,1))-AVERAGE(OFFSET($H$3,0,0,'Données projet'!$E$13+1,1))</f>
        <v>474.46836359712393</v>
      </c>
      <c r="CZ46" s="62">
        <f t="shared" si="42"/>
        <v>221.28699636637722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4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2.4423076923076925</v>
      </c>
      <c r="N47" s="14">
        <f>IF('Données projet'!$A$36&gt;35,N46+M47-V46,IF(A47&lt;'Données projet'!$A$36,$K$205^A47,IF(A47='Données projet'!$A$36,'Données projet'!$B$36,N46+M47-V46)))</f>
        <v>107.4615384615385</v>
      </c>
      <c r="O47" s="14">
        <f>N47*VLOOKUP('Données projet'!$B$9,Paramètres!$A$1:$I$89,3,0)*VLOOKUP('Données projet'!$B$9,Paramètres!$A$1:$I$89,5,0)</f>
        <v>97.23120000000003</v>
      </c>
      <c r="P47" s="14">
        <f t="shared" si="33"/>
        <v>26.301295060955127</v>
      </c>
      <c r="Q47" s="22">
        <f t="shared" si="53"/>
        <v>215.15242889783022</v>
      </c>
      <c r="R47" s="62">
        <f t="shared" si="0"/>
        <v>466.04289763596762</v>
      </c>
      <c r="S47" s="62">
        <f ca="1">AVERAGE(OFFSET($R$3,0,0,'Données projet'!$E$9+1,1))-AVERAGE(OFFSET($H$3,0,0,'Données projet'!$E$9+1,1))</f>
        <v>432.80275651765203</v>
      </c>
      <c r="T47" s="62">
        <f t="shared" si="34"/>
        <v>203.89279893419919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230</v>
      </c>
      <c r="AG47" s="13">
        <f>VLOOKUP(A47,'Données projet'!$A$61:$I$81,9,0)</f>
        <v>11.142857142857142</v>
      </c>
      <c r="AH47" s="13">
        <f t="array" ref="AH47">INDEX(AG:AG,MIN(IF(ISNUMBER(AG47:AG243),ROW(AG47:AG243),"")))</f>
        <v>11.142857142857142</v>
      </c>
      <c r="AI47" s="14">
        <f>IF('Données projet'!$A$62&gt;35,AI46+AH47-AQ46,IF(A47&lt;'Données projet'!$A$62,$AF$205^A47,IF(A47='Données projet'!$A$62,'Données projet'!$B$62,AI46+AH47-AQ46)))</f>
        <v>229.99999999999991</v>
      </c>
      <c r="AJ47" s="14">
        <f>AI47*VLOOKUP('Données projet'!$B$10,Paramètres!$A$1:$I$89,3,0)*VLOOKUP('Données projet'!$B$10,Paramètres!$A$1:$I$89,5,0)</f>
        <v>154.28399999999993</v>
      </c>
      <c r="AK47" s="14">
        <f t="shared" si="35"/>
        <v>39.550538702560999</v>
      </c>
      <c r="AL47" s="22">
        <f t="shared" si="4"/>
        <v>337.59515490696026</v>
      </c>
      <c r="AM47" s="62">
        <f t="shared" si="5"/>
        <v>588.48562364509769</v>
      </c>
      <c r="AN47" s="62">
        <f ca="1">AVERAGE(OFFSET($AM$3,0,0,'Données projet'!$E$10+1,1))-AVERAGE(OFFSET($H$3,0,0,'Données projet'!$E$10+1,1))</f>
        <v>273.21861937609918</v>
      </c>
      <c r="AO47" s="62">
        <f t="shared" si="36"/>
        <v>268.83004886965318</v>
      </c>
      <c r="AP47" s="16">
        <f>IF(ISNA(VLOOKUP(A47,'Données projet'!$A$61:$I$81,3,0)),0,VLOOKUP(A47,'Données projet'!$A$61:$I$81,3,0))</f>
        <v>6</v>
      </c>
      <c r="AQ47" s="16">
        <f>IF(ISNA(VLOOKUP(A47,'Données projet'!$A$61:$I$81,4,0)),0,VLOOKUP(A47,'Données projet'!$A$61:$I$81,4,0))</f>
        <v>43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186.57599999999996</v>
      </c>
      <c r="BF47" s="14">
        <f t="shared" si="37"/>
        <v>46.782155731694274</v>
      </c>
      <c r="BG47" s="22">
        <f t="shared" si="7"/>
        <v>406.43212123270081</v>
      </c>
      <c r="BH47" s="62">
        <f t="shared" si="8"/>
        <v>657.32258997083818</v>
      </c>
      <c r="BI47" s="62">
        <f ca="1">AVERAGE(OFFSET($BH$3,0,0,'Données projet'!$E$11+1,1))-AVERAGE(OFFSET($H$3,0,0,'Données projet'!$E$11+1,1))</f>
        <v>319.01020001288975</v>
      </c>
      <c r="BJ47" s="62">
        <f t="shared" si="38"/>
        <v>312.22190035638084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229.99999999999991</v>
      </c>
      <c r="BZ47" s="14">
        <f>BY47*VLOOKUP('Données projet'!$B$12,Paramètres!$A$1:$I$89,3,0)*VLOOKUP('Données projet'!$B$12,Paramètres!$A$1:$I$89,5,0)</f>
        <v>247.57199999999989</v>
      </c>
      <c r="CA47" s="14">
        <f t="shared" si="39"/>
        <v>60.065726249156526</v>
      </c>
      <c r="CB47" s="22">
        <f t="shared" si="10"/>
        <v>535.80237321728066</v>
      </c>
      <c r="CC47" s="62">
        <f t="shared" si="11"/>
        <v>786.69284195541809</v>
      </c>
      <c r="CD47" s="62">
        <f ca="1">AVERAGE(OFFSET($CC$3,0,0,'Données projet'!$E$12+1,1))-AVERAGE(OFFSET($H$3,0,0,'Données projet'!$E$12+1,1))</f>
        <v>405.06394904053946</v>
      </c>
      <c r="CE47" s="62">
        <f t="shared" si="40"/>
        <v>393.75247087518198</v>
      </c>
      <c r="CF47" s="16">
        <f>IF(ISNA(VLOOKUP(A47,'Données projet'!$A$113:$I$133,3,0)),0,VLOOKUP(A47,'Données projet'!$A$113:$I$133,3,0))</f>
        <v>6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2.4423076923076925</v>
      </c>
      <c r="CT47" s="13">
        <f>IF('Données projet'!$A$140&gt;35,CT46+CS47-DB46,IF(A47&lt;'Données projet'!$A$140,$CQ$205^A47,IF(A47='Données projet'!$A$140,'Données projet'!$B$140,CT46+CS47-DB46)))</f>
        <v>107.4615384615385</v>
      </c>
      <c r="CU47" s="18">
        <f>CT47*VLOOKUP('Données projet'!$B$13,Paramètres!$A$1:$I$89,3,0)*VLOOKUP('Données projet'!$B$13,Paramètres!$A$1:$I$89,5,0)</f>
        <v>108.96600000000004</v>
      </c>
      <c r="CV47" s="14">
        <f t="shared" si="41"/>
        <v>29.087232360318382</v>
      </c>
      <c r="CW47" s="22">
        <f t="shared" si="13"/>
        <v>240.44271302755453</v>
      </c>
      <c r="CX47" s="62">
        <f t="shared" si="14"/>
        <v>491.33318176569196</v>
      </c>
      <c r="CY47" s="62">
        <f ca="1">AVERAGE(OFFSET($CX$3,0,0,'Données projet'!$E$13+1,1))-AVERAGE(OFFSET($H$3,0,0,'Données projet'!$E$13+1,1))</f>
        <v>474.46836359712393</v>
      </c>
      <c r="CZ47" s="62">
        <f t="shared" si="42"/>
        <v>221.28699636637722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4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2.4423076923076925</v>
      </c>
      <c r="N48" s="14">
        <f>IF('Données projet'!$A$36&gt;35,N47+M48-V47,IF(A48&lt;'Données projet'!$A$36,$K$205^A48,IF(A48='Données projet'!$A$36,'Données projet'!$B$36,N47+M48-V47)))</f>
        <v>109.90384615384619</v>
      </c>
      <c r="O48" s="14">
        <f>N48*VLOOKUP('Données projet'!$B$9,Paramètres!$A$1:$I$89,3,0)*VLOOKUP('Données projet'!$B$9,Paramètres!$A$1:$I$89,5,0)</f>
        <v>99.441000000000017</v>
      </c>
      <c r="P48" s="14">
        <f t="shared" si="33"/>
        <v>26.828780089799594</v>
      </c>
      <c r="Q48" s="22">
        <f t="shared" si="53"/>
        <v>219.91986698973434</v>
      </c>
      <c r="R48" s="62">
        <f t="shared" si="0"/>
        <v>471.54662454056847</v>
      </c>
      <c r="S48" s="62">
        <f ca="1">AVERAGE(OFFSET($R$3,0,0,'Données projet'!$E$9+1,1))-AVERAGE(OFFSET($H$3,0,0,'Données projet'!$E$9+1,1))</f>
        <v>432.80275651765203</v>
      </c>
      <c r="T48" s="62">
        <f t="shared" si="34"/>
        <v>203.89279893419919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10.375</v>
      </c>
      <c r="AI48" s="14">
        <f>IF('Données projet'!$A$62&gt;35,AI47+AH48-AQ47,IF(A48&lt;'Données projet'!$A$62,$AF$205^A48,IF(A48='Données projet'!$A$62,'Données projet'!$B$62,AI47+AH48-AQ47)))</f>
        <v>197.37499999999991</v>
      </c>
      <c r="AJ48" s="14">
        <f>AI48*VLOOKUP('Données projet'!$B$10,Paramètres!$A$1:$I$89,3,0)*VLOOKUP('Données projet'!$B$10,Paramètres!$A$1:$I$89,5,0)</f>
        <v>132.39914999999993</v>
      </c>
      <c r="AK48" s="14">
        <f t="shared" si="35"/>
        <v>34.550141064782551</v>
      </c>
      <c r="AL48" s="22">
        <f t="shared" si="4"/>
        <v>290.77001527116278</v>
      </c>
      <c r="AM48" s="62">
        <f t="shared" si="5"/>
        <v>542.39677282199693</v>
      </c>
      <c r="AN48" s="62">
        <f ca="1">AVERAGE(OFFSET($AM$3,0,0,'Données projet'!$E$10+1,1))-AVERAGE(OFFSET($H$3,0,0,'Données projet'!$E$10+1,1))</f>
        <v>273.21861937609918</v>
      </c>
      <c r="AO48" s="62">
        <f t="shared" si="36"/>
        <v>268.83004886965318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160.11059999999995</v>
      </c>
      <c r="BF48" s="14">
        <f t="shared" si="37"/>
        <v>40.867460542073509</v>
      </c>
      <c r="BG48" s="22">
        <f t="shared" si="7"/>
        <v>350.0367887774446</v>
      </c>
      <c r="BH48" s="62">
        <f t="shared" si="8"/>
        <v>601.6635463282787</v>
      </c>
      <c r="BI48" s="62">
        <f ca="1">AVERAGE(OFFSET($BH$3,0,0,'Données projet'!$E$11+1,1))-AVERAGE(OFFSET($H$3,0,0,'Données projet'!$E$11+1,1))</f>
        <v>319.01020001288975</v>
      </c>
      <c r="BJ48" s="62">
        <f t="shared" si="38"/>
        <v>312.22190035638084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197.37499999999991</v>
      </c>
      <c r="BZ48" s="14">
        <f>BY48*VLOOKUP('Données projet'!$B$12,Paramètres!$A$1:$I$89,3,0)*VLOOKUP('Données projet'!$B$12,Paramètres!$A$1:$I$89,5,0)</f>
        <v>212.45444999999992</v>
      </c>
      <c r="CA48" s="14">
        <f t="shared" si="39"/>
        <v>52.471581504213297</v>
      </c>
      <c r="CB48" s="22">
        <f t="shared" si="10"/>
        <v>461.4128382031713</v>
      </c>
      <c r="CC48" s="62">
        <f t="shared" si="11"/>
        <v>713.0395957540054</v>
      </c>
      <c r="CD48" s="62">
        <f ca="1">AVERAGE(OFFSET($CC$3,0,0,'Données projet'!$E$12+1,1))-AVERAGE(OFFSET($H$3,0,0,'Données projet'!$E$12+1,1))</f>
        <v>405.06394904053946</v>
      </c>
      <c r="CE48" s="62">
        <f t="shared" si="40"/>
        <v>393.75247087518198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2.4423076923076925</v>
      </c>
      <c r="CT48" s="13">
        <f>IF('Données projet'!$A$140&gt;35,CT47+CS48-DB47,IF(A48&lt;'Données projet'!$A$140,$CQ$205^A48,IF(A48='Données projet'!$A$140,'Données projet'!$B$140,CT47+CS48-DB47)))</f>
        <v>109.90384615384619</v>
      </c>
      <c r="CU48" s="18">
        <f>CT48*VLOOKUP('Données projet'!$B$13,Paramètres!$A$1:$I$89,3,0)*VLOOKUP('Données projet'!$B$13,Paramètres!$A$1:$I$89,5,0)</f>
        <v>111.44250000000005</v>
      </c>
      <c r="CV48" s="14">
        <f t="shared" si="41"/>
        <v>29.670590691724883</v>
      </c>
      <c r="CW48" s="22">
        <f t="shared" si="13"/>
        <v>245.77196628808758</v>
      </c>
      <c r="CX48" s="62">
        <f t="shared" si="14"/>
        <v>497.39872383892168</v>
      </c>
      <c r="CY48" s="62">
        <f ca="1">AVERAGE(OFFSET($CX$3,0,0,'Données projet'!$E$13+1,1))-AVERAGE(OFFSET($H$3,0,0,'Données projet'!$E$13+1,1))</f>
        <v>474.46836359712393</v>
      </c>
      <c r="CZ48" s="62">
        <f t="shared" si="42"/>
        <v>221.28699636637722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4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2.4423076923076925</v>
      </c>
      <c r="N49" s="14">
        <f>IF('Données projet'!$A$36&gt;35,N48+M49-V48,IF(A49&lt;'Données projet'!$A$36,$K$205^A49,IF(A49='Données projet'!$A$36,'Données projet'!$B$36,N48+M49-V48)))</f>
        <v>112.34615384615388</v>
      </c>
      <c r="O49" s="14">
        <f>N49*VLOOKUP('Données projet'!$B$9,Paramètres!$A$1:$I$89,3,0)*VLOOKUP('Données projet'!$B$9,Paramètres!$A$1:$I$89,5,0)</f>
        <v>101.65080000000003</v>
      </c>
      <c r="P49" s="14">
        <f t="shared" si="33"/>
        <v>27.354902335290486</v>
      </c>
      <c r="Q49" s="22">
        <f t="shared" si="53"/>
        <v>224.68493156729764</v>
      </c>
      <c r="R49" s="62">
        <f t="shared" si="0"/>
        <v>477.03520496602329</v>
      </c>
      <c r="S49" s="62">
        <f ca="1">AVERAGE(OFFSET($R$3,0,0,'Données projet'!$E$9+1,1))-AVERAGE(OFFSET($H$3,0,0,'Données projet'!$E$9+1,1))</f>
        <v>432.80275651765203</v>
      </c>
      <c r="T49" s="62">
        <f t="shared" si="34"/>
        <v>203.89279893419919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10.375</v>
      </c>
      <c r="AI49" s="14">
        <f>IF('Données projet'!$A$62&gt;35,AI48+AH49-AQ48,IF(A49&lt;'Données projet'!$A$62,$AF$205^A49,IF(A49='Données projet'!$A$62,'Données projet'!$B$62,AI48+AH49-AQ48)))</f>
        <v>207.74999999999991</v>
      </c>
      <c r="AJ49" s="14">
        <f>AI49*VLOOKUP('Données projet'!$B$10,Paramètres!$A$1:$I$89,3,0)*VLOOKUP('Données projet'!$B$10,Paramètres!$A$1:$I$89,5,0)</f>
        <v>139.35869999999994</v>
      </c>
      <c r="AK49" s="14">
        <f t="shared" si="35"/>
        <v>36.150053436909211</v>
      </c>
      <c r="AL49" s="22">
        <f t="shared" si="4"/>
        <v>305.67774556928345</v>
      </c>
      <c r="AM49" s="62">
        <f t="shared" si="5"/>
        <v>558.02801896800906</v>
      </c>
      <c r="AN49" s="62">
        <f ca="1">AVERAGE(OFFSET($AM$3,0,0,'Données projet'!$E$10+1,1))-AVERAGE(OFFSET($H$3,0,0,'Données projet'!$E$10+1,1))</f>
        <v>273.21861937609918</v>
      </c>
      <c r="AO49" s="62">
        <f t="shared" si="36"/>
        <v>268.83004886965318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168.52679999999995</v>
      </c>
      <c r="BF49" s="14">
        <f t="shared" si="37"/>
        <v>42.759908842532369</v>
      </c>
      <c r="BG49" s="22">
        <f t="shared" si="7"/>
        <v>367.99101790074377</v>
      </c>
      <c r="BH49" s="62">
        <f t="shared" si="8"/>
        <v>620.34129129946939</v>
      </c>
      <c r="BI49" s="62">
        <f ca="1">AVERAGE(OFFSET($BH$3,0,0,'Données projet'!$E$11+1,1))-AVERAGE(OFFSET($H$3,0,0,'Données projet'!$E$11+1,1))</f>
        <v>319.01020001288975</v>
      </c>
      <c r="BJ49" s="62">
        <f t="shared" si="38"/>
        <v>312.22190035638084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207.74999999999991</v>
      </c>
      <c r="BZ49" s="14">
        <f>BY49*VLOOKUP('Données projet'!$B$12,Paramètres!$A$1:$I$89,3,0)*VLOOKUP('Données projet'!$B$12,Paramètres!$A$1:$I$89,5,0)</f>
        <v>223.6220999999999</v>
      </c>
      <c r="CA49" s="14">
        <f t="shared" si="39"/>
        <v>54.901381494790314</v>
      </c>
      <c r="CB49" s="22">
        <f t="shared" si="10"/>
        <v>485.09506360342613</v>
      </c>
      <c r="CC49" s="62">
        <f t="shared" si="11"/>
        <v>737.44533700215175</v>
      </c>
      <c r="CD49" s="62">
        <f ca="1">AVERAGE(OFFSET($CC$3,0,0,'Données projet'!$E$12+1,1))-AVERAGE(OFFSET($H$3,0,0,'Données projet'!$E$12+1,1))</f>
        <v>405.06394904053946</v>
      </c>
      <c r="CE49" s="62">
        <f t="shared" si="40"/>
        <v>393.75247087518198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2.4423076923076925</v>
      </c>
      <c r="CT49" s="13">
        <f>IF('Données projet'!$A$140&gt;35,CT48+CS49-DB48,IF(A49&lt;'Données projet'!$A$140,$CQ$205^A49,IF(A49='Données projet'!$A$140,'Données projet'!$B$140,CT48+CS49-DB48)))</f>
        <v>112.34615384615388</v>
      </c>
      <c r="CU49" s="18">
        <f>CT49*VLOOKUP('Données projet'!$B$13,Paramètres!$A$1:$I$89,3,0)*VLOOKUP('Données projet'!$B$13,Paramètres!$A$1:$I$89,5,0)</f>
        <v>113.91900000000004</v>
      </c>
      <c r="CV49" s="14">
        <f t="shared" si="41"/>
        <v>30.252441888369709</v>
      </c>
      <c r="CW49" s="22">
        <f t="shared" si="13"/>
        <v>251.09859462224395</v>
      </c>
      <c r="CX49" s="62">
        <f t="shared" si="14"/>
        <v>503.4488680209696</v>
      </c>
      <c r="CY49" s="62">
        <f ca="1">AVERAGE(OFFSET($CX$3,0,0,'Données projet'!$E$13+1,1))-AVERAGE(OFFSET($H$3,0,0,'Données projet'!$E$13+1,1))</f>
        <v>474.46836359712393</v>
      </c>
      <c r="CZ49" s="62">
        <f t="shared" si="42"/>
        <v>221.28699636637722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4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2.4423076923076925</v>
      </c>
      <c r="N50" s="14">
        <f>IF('Données projet'!$A$36&gt;35,N49+M50-V49,IF(A50&lt;'Données projet'!$A$36,$K$205^A50,IF(A50='Données projet'!$A$36,'Données projet'!$B$36,N49+M50-V49)))</f>
        <v>114.78846153846158</v>
      </c>
      <c r="O50" s="14">
        <f>N50*VLOOKUP('Données projet'!$B$9,Paramètres!$A$1:$I$89,3,0)*VLOOKUP('Données projet'!$B$9,Paramètres!$A$1:$I$89,5,0)</f>
        <v>103.86060000000003</v>
      </c>
      <c r="P50" s="14">
        <f t="shared" si="33"/>
        <v>27.879694835032762</v>
      </c>
      <c r="Q50" s="22">
        <f t="shared" si="53"/>
        <v>229.44768017101543</v>
      </c>
      <c r="R50" s="62">
        <f t="shared" si="0"/>
        <v>482.50891803521085</v>
      </c>
      <c r="S50" s="62">
        <f ca="1">AVERAGE(OFFSET($R$3,0,0,'Données projet'!$E$9+1,1))-AVERAGE(OFFSET($H$3,0,0,'Données projet'!$E$9+1,1))</f>
        <v>432.80275651765203</v>
      </c>
      <c r="T50" s="62">
        <f t="shared" si="34"/>
        <v>203.89279893419919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10.375</v>
      </c>
      <c r="AI50" s="14">
        <f>IF('Données projet'!$A$62&gt;35,AI49+AH50-AQ49,IF(A50&lt;'Données projet'!$A$62,$AF$205^A50,IF(A50='Données projet'!$A$62,'Données projet'!$B$62,AI49+AH50-AQ49)))</f>
        <v>218.12499999999991</v>
      </c>
      <c r="AJ50" s="14">
        <f>AI50*VLOOKUP('Données projet'!$B$10,Paramètres!$A$1:$I$89,3,0)*VLOOKUP('Données projet'!$B$10,Paramètres!$A$1:$I$89,5,0)</f>
        <v>146.31824999999995</v>
      </c>
      <c r="AK50" s="14">
        <f t="shared" si="35"/>
        <v>37.740688431827415</v>
      </c>
      <c r="AL50" s="22">
        <f t="shared" si="4"/>
        <v>320.56931776876598</v>
      </c>
      <c r="AM50" s="62">
        <f t="shared" si="5"/>
        <v>573.63055563296143</v>
      </c>
      <c r="AN50" s="62">
        <f ca="1">AVERAGE(OFFSET($AM$3,0,0,'Données projet'!$E$10+1,1))-AVERAGE(OFFSET($H$3,0,0,'Données projet'!$E$10+1,1))</f>
        <v>273.21861937609918</v>
      </c>
      <c r="AO50" s="62">
        <f t="shared" si="36"/>
        <v>268.83004886965318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176.94299999999993</v>
      </c>
      <c r="BF50" s="14">
        <f t="shared" si="37"/>
        <v>44.641383444033245</v>
      </c>
      <c r="BG50" s="22">
        <f t="shared" si="7"/>
        <v>385.92613449835773</v>
      </c>
      <c r="BH50" s="62">
        <f t="shared" si="8"/>
        <v>638.98737236255306</v>
      </c>
      <c r="BI50" s="62">
        <f ca="1">AVERAGE(OFFSET($BH$3,0,0,'Données projet'!$E$11+1,1))-AVERAGE(OFFSET($H$3,0,0,'Données projet'!$E$11+1,1))</f>
        <v>319.01020001288975</v>
      </c>
      <c r="BJ50" s="62">
        <f t="shared" si="38"/>
        <v>312.22190035638084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218.12499999999991</v>
      </c>
      <c r="BZ50" s="14">
        <f>BY50*VLOOKUP('Données projet'!$B$12,Paramètres!$A$1:$I$89,3,0)*VLOOKUP('Données projet'!$B$12,Paramètres!$A$1:$I$89,5,0)</f>
        <v>234.78974999999991</v>
      </c>
      <c r="CA50" s="14">
        <f t="shared" si="39"/>
        <v>57.317091856806208</v>
      </c>
      <c r="CB50" s="22">
        <f t="shared" si="10"/>
        <v>508.75274956727066</v>
      </c>
      <c r="CC50" s="62">
        <f t="shared" si="11"/>
        <v>761.8139874314661</v>
      </c>
      <c r="CD50" s="62">
        <f ca="1">AVERAGE(OFFSET($CC$3,0,0,'Données projet'!$E$12+1,1))-AVERAGE(OFFSET($H$3,0,0,'Données projet'!$E$12+1,1))</f>
        <v>405.06394904053946</v>
      </c>
      <c r="CE50" s="62">
        <f t="shared" si="40"/>
        <v>393.75247087518198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2.4423076923076925</v>
      </c>
      <c r="CT50" s="13">
        <f>IF('Données projet'!$A$140&gt;35,CT49+CS50-DB49,IF(A50&lt;'Données projet'!$A$140,$CQ$205^A50,IF(A50='Données projet'!$A$140,'Données projet'!$B$140,CT49+CS50-DB49)))</f>
        <v>114.78846153846158</v>
      </c>
      <c r="CU50" s="18">
        <f>CT50*VLOOKUP('Données projet'!$B$13,Paramètres!$A$1:$I$89,3,0)*VLOOKUP('Données projet'!$B$13,Paramètres!$A$1:$I$89,5,0)</f>
        <v>116.39550000000004</v>
      </c>
      <c r="CV50" s="14">
        <f t="shared" si="41"/>
        <v>30.832822487331804</v>
      </c>
      <c r="CW50" s="22">
        <f t="shared" si="13"/>
        <v>256.42266166543624</v>
      </c>
      <c r="CX50" s="62">
        <f t="shared" si="14"/>
        <v>509.48389952963163</v>
      </c>
      <c r="CY50" s="62">
        <f ca="1">AVERAGE(OFFSET($CX$3,0,0,'Données projet'!$E$13+1,1))-AVERAGE(OFFSET($H$3,0,0,'Données projet'!$E$13+1,1))</f>
        <v>474.46836359712393</v>
      </c>
      <c r="CZ50" s="62">
        <f t="shared" si="42"/>
        <v>221.28699636637722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4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2.4423076923076925</v>
      </c>
      <c r="N51" s="14">
        <f>IF('Données projet'!$A$36&gt;35,N50+M51-V50,IF(A51&lt;'Données projet'!$A$36,$K$205^A51,IF(A51='Données projet'!$A$36,'Données projet'!$B$36,N50+M51-V50)))</f>
        <v>117.23076923076927</v>
      </c>
      <c r="O51" s="14">
        <f>N51*VLOOKUP('Données projet'!$B$9,Paramètres!$A$1:$I$89,3,0)*VLOOKUP('Données projet'!$B$9,Paramètres!$A$1:$I$89,5,0)</f>
        <v>106.07040000000003</v>
      </c>
      <c r="P51" s="14">
        <f t="shared" si="33"/>
        <v>28.403189140458888</v>
      </c>
      <c r="Q51" s="22">
        <f t="shared" si="53"/>
        <v>234.20816775296598</v>
      </c>
      <c r="R51" s="62">
        <f t="shared" si="0"/>
        <v>487.9680364386337</v>
      </c>
      <c r="S51" s="62">
        <f ca="1">AVERAGE(OFFSET($R$3,0,0,'Données projet'!$E$9+1,1))-AVERAGE(OFFSET($H$3,0,0,'Données projet'!$E$9+1,1))</f>
        <v>432.80275651765203</v>
      </c>
      <c r="T51" s="62">
        <f t="shared" si="34"/>
        <v>203.89279893419919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10.375</v>
      </c>
      <c r="AI51" s="14">
        <f>IF('Données projet'!$A$62&gt;35,AI50+AH51-AQ50,IF(A51&lt;'Données projet'!$A$62,$AF$205^A51,IF(A51='Données projet'!$A$62,'Données projet'!$B$62,AI50+AH51-AQ50)))</f>
        <v>228.49999999999991</v>
      </c>
      <c r="AJ51" s="14">
        <f>AI51*VLOOKUP('Données projet'!$B$10,Paramètres!$A$1:$I$89,3,0)*VLOOKUP('Données projet'!$B$10,Paramètres!$A$1:$I$89,5,0)</f>
        <v>153.27779999999996</v>
      </c>
      <c r="AK51" s="14">
        <f t="shared" si="35"/>
        <v>39.32253770530393</v>
      </c>
      <c r="AL51" s="22">
        <f t="shared" si="4"/>
        <v>335.44558817007095</v>
      </c>
      <c r="AM51" s="62">
        <f t="shared" si="5"/>
        <v>589.2054568557387</v>
      </c>
      <c r="AN51" s="62">
        <f ca="1">AVERAGE(OFFSET($AM$3,0,0,'Données projet'!$E$10+1,1))-AVERAGE(OFFSET($H$3,0,0,'Données projet'!$E$10+1,1))</f>
        <v>273.21861937609918</v>
      </c>
      <c r="AO51" s="62">
        <f t="shared" si="36"/>
        <v>268.83004886965318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185.35919999999996</v>
      </c>
      <c r="BF51" s="14">
        <f t="shared" si="37"/>
        <v>46.512465899126433</v>
      </c>
      <c r="BG51" s="22">
        <f t="shared" si="7"/>
        <v>403.84315144097849</v>
      </c>
      <c r="BH51" s="62">
        <f t="shared" si="8"/>
        <v>657.60302012664624</v>
      </c>
      <c r="BI51" s="62">
        <f ca="1">AVERAGE(OFFSET($BH$3,0,0,'Données projet'!$E$11+1,1))-AVERAGE(OFFSET($H$3,0,0,'Données projet'!$E$11+1,1))</f>
        <v>319.01020001288975</v>
      </c>
      <c r="BJ51" s="62">
        <f t="shared" si="38"/>
        <v>312.22190035638084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228.49999999999991</v>
      </c>
      <c r="BZ51" s="14">
        <f>BY51*VLOOKUP('Données projet'!$B$12,Paramètres!$A$1:$I$89,3,0)*VLOOKUP('Données projet'!$B$12,Paramètres!$A$1:$I$89,5,0)</f>
        <v>245.95739999999989</v>
      </c>
      <c r="CA51" s="14">
        <f t="shared" si="39"/>
        <v>59.719459271890578</v>
      </c>
      <c r="CB51" s="22">
        <f t="shared" si="10"/>
        <v>532.38719656520925</v>
      </c>
      <c r="CC51" s="62">
        <f t="shared" si="11"/>
        <v>786.14706525087695</v>
      </c>
      <c r="CD51" s="62">
        <f ca="1">AVERAGE(OFFSET($CC$3,0,0,'Données projet'!$E$12+1,1))-AVERAGE(OFFSET($H$3,0,0,'Données projet'!$E$12+1,1))</f>
        <v>405.06394904053946</v>
      </c>
      <c r="CE51" s="62">
        <f t="shared" si="40"/>
        <v>393.75247087518198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2.4423076923076925</v>
      </c>
      <c r="CT51" s="13">
        <f>IF('Données projet'!$A$140&gt;35,CT50+CS51-DB50,IF(A51&lt;'Données projet'!$A$140,$CQ$205^A51,IF(A51='Données projet'!$A$140,'Données projet'!$B$140,CT50+CS51-DB50)))</f>
        <v>117.23076923076927</v>
      </c>
      <c r="CU51" s="18">
        <f>CT51*VLOOKUP('Données projet'!$B$13,Paramètres!$A$1:$I$89,3,0)*VLOOKUP('Données projet'!$B$13,Paramètres!$A$1:$I$89,5,0)</f>
        <v>118.87200000000006</v>
      </c>
      <c r="CV51" s="14">
        <f t="shared" si="41"/>
        <v>31.411767382096244</v>
      </c>
      <c r="CW51" s="22">
        <f t="shared" si="13"/>
        <v>261.74422819048436</v>
      </c>
      <c r="CX51" s="62">
        <f t="shared" si="14"/>
        <v>515.50409687615206</v>
      </c>
      <c r="CY51" s="62">
        <f ca="1">AVERAGE(OFFSET($CX$3,0,0,'Données projet'!$E$13+1,1))-AVERAGE(OFFSET($H$3,0,0,'Données projet'!$E$13+1,1))</f>
        <v>474.46836359712393</v>
      </c>
      <c r="CZ51" s="62">
        <f t="shared" si="42"/>
        <v>221.28699636637722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4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2.4423076923076925</v>
      </c>
      <c r="N52" s="14">
        <f>IF('Données projet'!$A$36&gt;35,N51+M52-V51,IF(A52&lt;'Données projet'!$A$36,$K$205^A52,IF(A52='Données projet'!$A$36,'Données projet'!$B$36,N51+M52-V51)))</f>
        <v>119.67307692307696</v>
      </c>
      <c r="O52" s="14">
        <f>N52*VLOOKUP('Données projet'!$B$9,Paramètres!$A$1:$I$89,3,0)*VLOOKUP('Données projet'!$B$9,Paramètres!$A$1:$I$89,5,0)</f>
        <v>108.28020000000002</v>
      </c>
      <c r="P52" s="14">
        <f t="shared" si="33"/>
        <v>28.925415413229778</v>
      </c>
      <c r="Q52" s="22">
        <f t="shared" si="53"/>
        <v>238.96644684470857</v>
      </c>
      <c r="R52" s="62">
        <f t="shared" si="0"/>
        <v>493.41282666900054</v>
      </c>
      <c r="S52" s="62">
        <f ca="1">AVERAGE(OFFSET($R$3,0,0,'Données projet'!$E$9+1,1))-AVERAGE(OFFSET($H$3,0,0,'Données projet'!$E$9+1,1))</f>
        <v>432.80275651765203</v>
      </c>
      <c r="T52" s="62">
        <f t="shared" si="34"/>
        <v>203.89279893419919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10.375</v>
      </c>
      <c r="AI52" s="14">
        <f>IF('Données projet'!$A$62&gt;35,AI51+AH52-AQ51,IF(A52&lt;'Données projet'!$A$62,$AF$205^A52,IF(A52='Données projet'!$A$62,'Données projet'!$B$62,AI51+AH52-AQ51)))</f>
        <v>238.87499999999991</v>
      </c>
      <c r="AJ52" s="14">
        <f>AI52*VLOOKUP('Données projet'!$B$10,Paramètres!$A$1:$I$89,3,0)*VLOOKUP('Données projet'!$B$10,Paramètres!$A$1:$I$89,5,0)</f>
        <v>160.23734999999994</v>
      </c>
      <c r="AK52" s="14">
        <f t="shared" si="35"/>
        <v>40.896045742271099</v>
      </c>
      <c r="AL52" s="22">
        <f t="shared" si="4"/>
        <v>350.3073309177887</v>
      </c>
      <c r="AM52" s="62">
        <f t="shared" si="5"/>
        <v>604.75371074208067</v>
      </c>
      <c r="AN52" s="62">
        <f ca="1">AVERAGE(OFFSET($AM$3,0,0,'Données projet'!$E$10+1,1))-AVERAGE(OFFSET($H$3,0,0,'Données projet'!$E$10+1,1))</f>
        <v>273.21861937609918</v>
      </c>
      <c r="AO52" s="62">
        <f t="shared" si="36"/>
        <v>268.83004886965318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193.77539999999993</v>
      </c>
      <c r="BF52" s="14">
        <f t="shared" si="37"/>
        <v>48.373681964577997</v>
      </c>
      <c r="BG52" s="22">
        <f t="shared" si="7"/>
        <v>421.7429844216399</v>
      </c>
      <c r="BH52" s="62">
        <f t="shared" si="8"/>
        <v>676.18936424593187</v>
      </c>
      <c r="BI52" s="62">
        <f ca="1">AVERAGE(OFFSET($BH$3,0,0,'Données projet'!$E$11+1,1))-AVERAGE(OFFSET($H$3,0,0,'Données projet'!$E$11+1,1))</f>
        <v>319.01020001288975</v>
      </c>
      <c r="BJ52" s="62">
        <f t="shared" si="38"/>
        <v>312.22190035638084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238.87499999999991</v>
      </c>
      <c r="BZ52" s="14">
        <f>BY52*VLOOKUP('Données projet'!$B$12,Paramètres!$A$1:$I$89,3,0)*VLOOKUP('Données projet'!$B$12,Paramètres!$A$1:$I$89,5,0)</f>
        <v>257.12504999999993</v>
      </c>
      <c r="CA52" s="14">
        <f t="shared" si="39"/>
        <v>62.109158782941677</v>
      </c>
      <c r="CB52" s="22">
        <f t="shared" si="10"/>
        <v>555.99958029695654</v>
      </c>
      <c r="CC52" s="62">
        <f t="shared" si="11"/>
        <v>810.4459601212485</v>
      </c>
      <c r="CD52" s="62">
        <f ca="1">AVERAGE(OFFSET($CC$3,0,0,'Données projet'!$E$12+1,1))-AVERAGE(OFFSET($H$3,0,0,'Données projet'!$E$12+1,1))</f>
        <v>405.06394904053946</v>
      </c>
      <c r="CE52" s="62">
        <f t="shared" si="40"/>
        <v>393.75247087518198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2.4423076923076925</v>
      </c>
      <c r="CT52" s="13">
        <f>IF('Données projet'!$A$140&gt;35,CT51+CS52-DB51,IF(A52&lt;'Données projet'!$A$140,$CQ$205^A52,IF(A52='Données projet'!$A$140,'Données projet'!$B$140,CT51+CS52-DB51)))</f>
        <v>119.67307692307696</v>
      </c>
      <c r="CU52" s="18">
        <f>CT52*VLOOKUP('Données projet'!$B$13,Paramètres!$A$1:$I$89,3,0)*VLOOKUP('Données projet'!$B$13,Paramètres!$A$1:$I$89,5,0)</f>
        <v>121.34850000000004</v>
      </c>
      <c r="CV52" s="14">
        <f t="shared" si="41"/>
        <v>31.989309929166485</v>
      </c>
      <c r="CW52" s="22">
        <f t="shared" si="13"/>
        <v>267.06335229329835</v>
      </c>
      <c r="CX52" s="62">
        <f t="shared" si="14"/>
        <v>521.50973211759037</v>
      </c>
      <c r="CY52" s="62">
        <f ca="1">AVERAGE(OFFSET($CX$3,0,0,'Données projet'!$E$13+1,1))-AVERAGE(OFFSET($H$3,0,0,'Données projet'!$E$13+1,1))</f>
        <v>474.46836359712393</v>
      </c>
      <c r="CZ52" s="62">
        <f t="shared" si="42"/>
        <v>221.28699636637722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4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2.4423076923076925</v>
      </c>
      <c r="N53" s="14">
        <f>IF('Données projet'!$A$36&gt;35,N52+M53-V52,IF(A53&lt;'Données projet'!$A$36,$K$205^A53,IF(A53='Données projet'!$A$36,'Données projet'!$B$36,N52+M53-V52)))</f>
        <v>122.11538461538466</v>
      </c>
      <c r="O53" s="14">
        <f>N53*VLOOKUP('Données projet'!$B$9,Paramètres!$A$1:$I$89,3,0)*VLOOKUP('Données projet'!$B$9,Paramètres!$A$1:$I$89,5,0)</f>
        <v>110.49000000000004</v>
      </c>
      <c r="P53" s="14">
        <f t="shared" si="33"/>
        <v>29.446402513543834</v>
      </c>
      <c r="Q53" s="22">
        <f t="shared" si="53"/>
        <v>243.72256771108889</v>
      </c>
      <c r="R53" s="62">
        <f t="shared" si="0"/>
        <v>498.84354924055901</v>
      </c>
      <c r="S53" s="62">
        <f ca="1">AVERAGE(OFFSET($R$3,0,0,'Données projet'!$E$9+1,1))-AVERAGE(OFFSET($H$3,0,0,'Données projet'!$E$9+1,1))</f>
        <v>432.80275651765203</v>
      </c>
      <c r="T53" s="62">
        <f t="shared" si="34"/>
        <v>203.89279893419919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10.375</v>
      </c>
      <c r="AI53" s="14">
        <f>IF('Données projet'!$A$62&gt;35,AI52+AH53-AQ52,IF(A53&lt;'Données projet'!$A$62,$AF$205^A53,IF(A53='Données projet'!$A$62,'Données projet'!$B$62,AI52+AH53-AQ52)))</f>
        <v>249.24999999999991</v>
      </c>
      <c r="AJ53" s="14">
        <f>AI53*VLOOKUP('Données projet'!$B$10,Paramètres!$A$1:$I$89,3,0)*VLOOKUP('Données projet'!$B$10,Paramètres!$A$1:$I$89,5,0)</f>
        <v>167.19689999999994</v>
      </c>
      <c r="AK53" s="14">
        <f t="shared" si="35"/>
        <v>42.461616233804868</v>
      </c>
      <c r="AL53" s="22">
        <f t="shared" si="4"/>
        <v>365.15524910721001</v>
      </c>
      <c r="AM53" s="62">
        <f t="shared" si="5"/>
        <v>620.27623063668011</v>
      </c>
      <c r="AN53" s="62">
        <f ca="1">AVERAGE(OFFSET($AM$3,0,0,'Données projet'!$E$10+1,1))-AVERAGE(OFFSET($H$3,0,0,'Données projet'!$E$10+1,1))</f>
        <v>273.21861937609918</v>
      </c>
      <c r="AO53" s="62">
        <f t="shared" si="36"/>
        <v>268.83004886965318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202.19159999999994</v>
      </c>
      <c r="BF53" s="14">
        <f t="shared" si="37"/>
        <v>50.225509144346233</v>
      </c>
      <c r="BG53" s="22">
        <f t="shared" si="7"/>
        <v>439.62646509306956</v>
      </c>
      <c r="BH53" s="62">
        <f t="shared" si="8"/>
        <v>694.74744662253966</v>
      </c>
      <c r="BI53" s="62">
        <f ca="1">AVERAGE(OFFSET($BH$3,0,0,'Données projet'!$E$11+1,1))-AVERAGE(OFFSET($H$3,0,0,'Données projet'!$E$11+1,1))</f>
        <v>319.01020001288975</v>
      </c>
      <c r="BJ53" s="62">
        <f t="shared" si="38"/>
        <v>312.22190035638084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249.24999999999991</v>
      </c>
      <c r="BZ53" s="14">
        <f>BY53*VLOOKUP('Données projet'!$B$12,Paramètres!$A$1:$I$89,3,0)*VLOOKUP('Données projet'!$B$12,Paramètres!$A$1:$I$89,5,0)</f>
        <v>268.29269999999991</v>
      </c>
      <c r="CA53" s="14">
        <f t="shared" si="39"/>
        <v>64.486803478894657</v>
      </c>
      <c r="CB53" s="22">
        <f t="shared" si="10"/>
        <v>579.59096855907467</v>
      </c>
      <c r="CC53" s="62">
        <f t="shared" si="11"/>
        <v>834.71195008854477</v>
      </c>
      <c r="CD53" s="62">
        <f ca="1">AVERAGE(OFFSET($CC$3,0,0,'Données projet'!$E$12+1,1))-AVERAGE(OFFSET($H$3,0,0,'Données projet'!$E$12+1,1))</f>
        <v>405.06394904053946</v>
      </c>
      <c r="CE53" s="62">
        <f t="shared" si="40"/>
        <v>393.75247087518198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2.4423076923076925</v>
      </c>
      <c r="CT53" s="13">
        <f>IF('Données projet'!$A$140&gt;35,CT52+CS53-DB52,IF(A53&lt;'Données projet'!$A$140,$CQ$205^A53,IF(A53='Données projet'!$A$140,'Données projet'!$B$140,CT52+CS53-DB52)))</f>
        <v>122.11538461538466</v>
      </c>
      <c r="CU53" s="18">
        <f>CT53*VLOOKUP('Données projet'!$B$13,Paramètres!$A$1:$I$89,3,0)*VLOOKUP('Données projet'!$B$13,Paramètres!$A$1:$I$89,5,0)</f>
        <v>123.82500000000005</v>
      </c>
      <c r="CV53" s="14">
        <f t="shared" si="41"/>
        <v>32.565482045727386</v>
      </c>
      <c r="CW53" s="22">
        <f t="shared" si="13"/>
        <v>272.38008956297523</v>
      </c>
      <c r="CX53" s="62">
        <f t="shared" si="14"/>
        <v>527.50107109244527</v>
      </c>
      <c r="CY53" s="62">
        <f ca="1">AVERAGE(OFFSET($CX$3,0,0,'Données projet'!$E$13+1,1))-AVERAGE(OFFSET($H$3,0,0,'Données projet'!$E$13+1,1))</f>
        <v>474.46836359712393</v>
      </c>
      <c r="CZ53" s="62">
        <f t="shared" si="42"/>
        <v>221.28699636637722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4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2.4423076923076925</v>
      </c>
      <c r="N54" s="14">
        <f>IF('Données projet'!$A$36&gt;35,N53+M54-V53,IF(A54&lt;'Données projet'!$A$36,$K$205^A54,IF(A54='Données projet'!$A$36,'Données projet'!$B$36,N53+M54-V53)))</f>
        <v>124.55769230769235</v>
      </c>
      <c r="O54" s="14">
        <f>N54*VLOOKUP('Données projet'!$B$9,Paramètres!$A$1:$I$89,3,0)*VLOOKUP('Données projet'!$B$9,Paramètres!$A$1:$I$89,5,0)</f>
        <v>112.69980000000004</v>
      </c>
      <c r="P54" s="14">
        <f t="shared" si="33"/>
        <v>29.96617808118171</v>
      </c>
      <c r="Q54" s="22">
        <f t="shared" si="53"/>
        <v>248.47657849139151</v>
      </c>
      <c r="R54" s="62">
        <f t="shared" si="0"/>
        <v>504.2604588946383</v>
      </c>
      <c r="S54" s="62">
        <f ca="1">AVERAGE(OFFSET($R$3,0,0,'Données projet'!$E$9+1,1))-AVERAGE(OFFSET($H$3,0,0,'Données projet'!$E$9+1,1))</f>
        <v>432.80275651765203</v>
      </c>
      <c r="T54" s="62">
        <f t="shared" si="34"/>
        <v>203.89279893419919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10.375</v>
      </c>
      <c r="AI54" s="14">
        <f>IF('Données projet'!$A$62&gt;35,AI53+AH54-AQ53,IF(A54&lt;'Données projet'!$A$62,$AF$205^A54,IF(A54='Données projet'!$A$62,'Données projet'!$B$62,AI53+AH54-AQ53)))</f>
        <v>259.62499999999989</v>
      </c>
      <c r="AJ54" s="14">
        <f>AI54*VLOOKUP('Données projet'!$B$10,Paramètres!$A$1:$I$89,3,0)*VLOOKUP('Données projet'!$B$10,Paramètres!$A$1:$I$89,5,0)</f>
        <v>174.15644999999992</v>
      </c>
      <c r="AK54" s="14">
        <f t="shared" si="35"/>
        <v>44.019617362421101</v>
      </c>
      <c r="AL54" s="22">
        <f t="shared" si="4"/>
        <v>379.9899839895499</v>
      </c>
      <c r="AM54" s="62">
        <f t="shared" si="5"/>
        <v>635.77386439279667</v>
      </c>
      <c r="AN54" s="62">
        <f ca="1">AVERAGE(OFFSET($AM$3,0,0,'Données projet'!$E$10+1,1))-AVERAGE(OFFSET($H$3,0,0,'Données projet'!$E$10+1,1))</f>
        <v>273.21861937609918</v>
      </c>
      <c r="AO54" s="62">
        <f t="shared" si="36"/>
        <v>268.83004886965318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210.60779999999991</v>
      </c>
      <c r="BF54" s="14">
        <f t="shared" si="37"/>
        <v>52.068382941267707</v>
      </c>
      <c r="BG54" s="22">
        <f t="shared" si="7"/>
        <v>457.49435195604104</v>
      </c>
      <c r="BH54" s="62">
        <f t="shared" si="8"/>
        <v>713.27823235928781</v>
      </c>
      <c r="BI54" s="62">
        <f ca="1">AVERAGE(OFFSET($BH$3,0,0,'Données projet'!$E$11+1,1))-AVERAGE(OFFSET($H$3,0,0,'Données projet'!$E$11+1,1))</f>
        <v>319.01020001288975</v>
      </c>
      <c r="BJ54" s="62">
        <f t="shared" si="38"/>
        <v>312.22190035638084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259.62499999999989</v>
      </c>
      <c r="BZ54" s="14">
        <f>BY54*VLOOKUP('Données projet'!$B$12,Paramètres!$A$1:$I$89,3,0)*VLOOKUP('Données projet'!$B$12,Paramètres!$A$1:$I$89,5,0)</f>
        <v>279.46034999999983</v>
      </c>
      <c r="CA54" s="14">
        <f t="shared" si="39"/>
        <v>66.852952521544182</v>
      </c>
      <c r="CB54" s="22">
        <f t="shared" si="10"/>
        <v>603.1623352250225</v>
      </c>
      <c r="CC54" s="62">
        <f t="shared" si="11"/>
        <v>858.94621562826933</v>
      </c>
      <c r="CD54" s="62">
        <f ca="1">AVERAGE(OFFSET($CC$3,0,0,'Données projet'!$E$12+1,1))-AVERAGE(OFFSET($H$3,0,0,'Données projet'!$E$12+1,1))</f>
        <v>405.06394904053946</v>
      </c>
      <c r="CE54" s="62">
        <f t="shared" si="40"/>
        <v>393.75247087518198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2.4423076923076925</v>
      </c>
      <c r="CT54" s="13">
        <f>IF('Données projet'!$A$140&gt;35,CT53+CS54-DB53,IF(A54&lt;'Données projet'!$A$140,$CQ$205^A54,IF(A54='Données projet'!$A$140,'Données projet'!$B$140,CT53+CS54-DB53)))</f>
        <v>124.55769230769235</v>
      </c>
      <c r="CU54" s="18">
        <f>CT54*VLOOKUP('Données projet'!$B$13,Paramètres!$A$1:$I$89,3,0)*VLOOKUP('Données projet'!$B$13,Paramètres!$A$1:$I$89,5,0)</f>
        <v>126.30150000000006</v>
      </c>
      <c r="CV54" s="14">
        <f t="shared" si="41"/>
        <v>33.140314299274614</v>
      </c>
      <c r="CW54" s="22">
        <f t="shared" si="13"/>
        <v>277.69449323790337</v>
      </c>
      <c r="CX54" s="62">
        <f t="shared" si="14"/>
        <v>533.47837364115026</v>
      </c>
      <c r="CY54" s="62">
        <f ca="1">AVERAGE(OFFSET($CX$3,0,0,'Données projet'!$E$13+1,1))-AVERAGE(OFFSET($H$3,0,0,'Données projet'!$E$13+1,1))</f>
        <v>474.46836359712393</v>
      </c>
      <c r="CZ54" s="62">
        <f t="shared" si="42"/>
        <v>221.28699636637722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4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127</v>
      </c>
      <c r="L55" s="13">
        <f>VLOOKUP(A55,'Données projet'!$A$35:$I$55,9,0)</f>
        <v>2.4423076923076925</v>
      </c>
      <c r="M55" s="13">
        <f t="array" ref="M55">INDEX(L:L,MIN(IF(ISNUMBER(L55:L251),ROW(L55:L251),"")))</f>
        <v>2.4423076923076925</v>
      </c>
      <c r="N55" s="14">
        <f>IF('Données projet'!$A$36&gt;35,N54+M55-V54,IF(A55&lt;'Données projet'!$A$36,$K$205^A55,IF(A55='Données projet'!$A$36,'Données projet'!$B$36,N54+M55-V54)))</f>
        <v>127.00000000000004</v>
      </c>
      <c r="O55" s="14">
        <f>N55*VLOOKUP('Données projet'!$B$9,Paramètres!$A$1:$I$89,3,0)*VLOOKUP('Données projet'!$B$9,Paramètres!$A$1:$I$89,5,0)</f>
        <v>114.90960000000004</v>
      </c>
      <c r="P55" s="14">
        <f t="shared" si="33"/>
        <v>30.484768610015163</v>
      </c>
      <c r="Q55" s="22">
        <f t="shared" si="53"/>
        <v>253.22852532910977</v>
      </c>
      <c r="R55" s="62">
        <f t="shared" si="0"/>
        <v>509.6638047926931</v>
      </c>
      <c r="S55" s="62">
        <f ca="1">AVERAGE(OFFSET($R$3,0,0,'Données projet'!$E$9+1,1))-AVERAGE(OFFSET($H$3,0,0,'Données projet'!$E$9+1,1))</f>
        <v>432.80275651765203</v>
      </c>
      <c r="T55" s="62">
        <f t="shared" si="34"/>
        <v>203.89279893419919</v>
      </c>
      <c r="U55" s="16">
        <f>IF(ISNA(VLOOKUP(A55,'Données projet'!$A$35:$I$55,3,0)),0,VLOOKUP(A55,'Données projet'!$A$35:$I$55,3,0))</f>
        <v>1</v>
      </c>
      <c r="V55" s="16">
        <f>IF(ISNA(VLOOKUP(A55,'Données projet'!$A$35:$I$55,4,0)),0,VLOOKUP(A55,'Données projet'!$A$35:$I$55,4,0))</f>
        <v>29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270</v>
      </c>
      <c r="AG55" s="13">
        <f>VLOOKUP(A55,'Données projet'!$A$61:$I$81,9,0)</f>
        <v>10.375</v>
      </c>
      <c r="AH55" s="13">
        <f t="array" ref="AH55">INDEX(AG:AG,MIN(IF(ISNUMBER(AG55:AG251),ROW(AG55:AG251),"")))</f>
        <v>10.375</v>
      </c>
      <c r="AI55" s="14">
        <f>IF('Données projet'!$A$62&gt;35,AI54+AH55-AQ54,IF(A55&lt;'Données projet'!$A$62,$AF$205^A55,IF(A55='Données projet'!$A$62,'Données projet'!$B$62,AI54+AH55-AQ54)))</f>
        <v>269.99999999999989</v>
      </c>
      <c r="AJ55" s="14">
        <f>AI55*VLOOKUP('Données projet'!$B$10,Paramètres!$A$1:$I$89,3,0)*VLOOKUP('Données projet'!$B$10,Paramètres!$A$1:$I$89,5,0)</f>
        <v>181.11599999999993</v>
      </c>
      <c r="AK55" s="14">
        <f t="shared" si="35"/>
        <v>45.570386218758216</v>
      </c>
      <c r="AL55" s="22">
        <f t="shared" si="4"/>
        <v>394.81212266433704</v>
      </c>
      <c r="AM55" s="62">
        <f t="shared" si="5"/>
        <v>651.2474021279204</v>
      </c>
      <c r="AN55" s="62">
        <f ca="1">AVERAGE(OFFSET($AM$3,0,0,'Données projet'!$E$10+1,1))-AVERAGE(OFFSET($H$3,0,0,'Données projet'!$E$10+1,1))</f>
        <v>273.21861937609918</v>
      </c>
      <c r="AO55" s="62">
        <f t="shared" si="36"/>
        <v>268.83004886965318</v>
      </c>
      <c r="AP55" s="16">
        <f>IF(ISNA(VLOOKUP(A55,'Données projet'!$A$61:$I$81,3,0)),0,VLOOKUP(A55,'Données projet'!$A$61:$I$81,3,0))</f>
        <v>7</v>
      </c>
      <c r="AQ55" s="16">
        <f>IF(ISNA(VLOOKUP(A55,'Données projet'!$A$61:$I$81,4,0)),0,VLOOKUP(A55,'Données projet'!$A$61:$I$81,4,0))</f>
        <v>48</v>
      </c>
      <c r="AR55" s="17">
        <f>IF(ISNA(VLOOKUP(A55,'Données projet'!$A$61:$I$81,5,0)),0%,VLOOKUP(A55,'Données projet'!$A$61:$I$81,5,0)*VLOOKUP('Données projet'!$B$10,Paramètres!$A$1:$I$89,7,0))</f>
        <v>0.26500000000000001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9.4325100291137414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9.4325100291137414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219.02399999999992</v>
      </c>
      <c r="BF55" s="14">
        <f t="shared" si="37"/>
        <v>53.902702081308306</v>
      </c>
      <c r="BG55" s="22">
        <f t="shared" si="7"/>
        <v>475.34733945827844</v>
      </c>
      <c r="BH55" s="62">
        <f t="shared" si="8"/>
        <v>731.78261892186174</v>
      </c>
      <c r="BI55" s="62">
        <f ca="1">AVERAGE(OFFSET($BH$3,0,0,'Données projet'!$E$11+1,1))-AVERAGE(OFFSET($H$3,0,0,'Données projet'!$E$11+1,1))</f>
        <v>319.01020001288975</v>
      </c>
      <c r="BJ55" s="62">
        <f t="shared" si="38"/>
        <v>312.22190035638084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0.26500000000000001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11.406756314277084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11.406756314277084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269.99999999999989</v>
      </c>
      <c r="BZ55" s="14">
        <f>BY55*VLOOKUP('Données projet'!$B$12,Paramètres!$A$1:$I$89,3,0)*VLOOKUP('Données projet'!$B$12,Paramètres!$A$1:$I$89,5,0)</f>
        <v>290.62799999999987</v>
      </c>
      <c r="CA55" s="14">
        <f t="shared" si="39"/>
        <v>69.208117853196882</v>
      </c>
      <c r="CB55" s="22">
        <f t="shared" si="10"/>
        <v>626.71457192765104</v>
      </c>
      <c r="CC55" s="62">
        <f t="shared" si="11"/>
        <v>883.14985139123439</v>
      </c>
      <c r="CD55" s="62">
        <f ca="1">AVERAGE(OFFSET($CC$3,0,0,'Données projet'!$E$12+1,1))-AVERAGE(OFFSET($H$3,0,0,'Données projet'!$E$12+1,1))</f>
        <v>405.06394904053946</v>
      </c>
      <c r="CE55" s="62">
        <f t="shared" si="40"/>
        <v>393.75247087518198</v>
      </c>
      <c r="CF55" s="16">
        <f>IF(ISNA(VLOOKUP(A55,'Données projet'!$A$113:$I$133,3,0)),0,VLOOKUP(A55,'Données projet'!$A$113:$I$133,3,0))</f>
        <v>7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0.215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12.280060226582039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12.280060226582039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127</v>
      </c>
      <c r="CR55" s="13">
        <f>VLOOKUP(A55,'Données projet'!$A$139:$I$159,9,0)</f>
        <v>2.4423076923076925</v>
      </c>
      <c r="CS55" s="13">
        <f t="array" ref="CS55">INDEX(CR:CR,MIN(IF(ISNUMBER(CR55:CR251),ROW(CR55:CR251),"")))</f>
        <v>2.4423076923076925</v>
      </c>
      <c r="CT55" s="13">
        <f>IF('Données projet'!$A$140&gt;35,CT54+CS55-DB54,IF(A55&lt;'Données projet'!$A$140,$CQ$205^A55,IF(A55='Données projet'!$A$140,'Données projet'!$B$140,CT54+CS55-DB54)))</f>
        <v>127.00000000000004</v>
      </c>
      <c r="CU55" s="18">
        <f>CT55*VLOOKUP('Données projet'!$B$13,Paramètres!$A$1:$I$89,3,0)*VLOOKUP('Données projet'!$B$13,Paramètres!$A$1:$I$89,5,0)</f>
        <v>128.77800000000005</v>
      </c>
      <c r="CV55" s="14">
        <f t="shared" si="41"/>
        <v>33.713835990015696</v>
      </c>
      <c r="CW55" s="22">
        <f t="shared" si="13"/>
        <v>283.00661434927741</v>
      </c>
      <c r="CX55" s="62">
        <f t="shared" si="14"/>
        <v>539.44189381286083</v>
      </c>
      <c r="CY55" s="62">
        <f ca="1">AVERAGE(OFFSET($CX$3,0,0,'Données projet'!$E$13+1,1))-AVERAGE(OFFSET($H$3,0,0,'Données projet'!$E$13+1,1))</f>
        <v>474.46836359712393</v>
      </c>
      <c r="CZ55" s="62">
        <f t="shared" si="42"/>
        <v>221.28699636637722</v>
      </c>
      <c r="DA55" s="16">
        <f>IF(ISNA(VLOOKUP(A55,'Données projet'!$A$139:$I$159,3,0)),0,VLOOKUP(A55,'Données projet'!$A$139:$I$159,3,0))</f>
        <v>1</v>
      </c>
      <c r="DB55" s="16">
        <f>IF(ISNA(VLOOKUP(A55,'Données projet'!$A$139:$I$159,4,0)),0,VLOOKUP(A55,'Données projet'!$A$139:$I$159,4,0))</f>
        <v>29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4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6.125</v>
      </c>
      <c r="N56" s="14">
        <f>IF('Données projet'!$A$36&gt;35,N55+M56-V55,IF(A56&lt;'Données projet'!$A$36,$K$205^A56,IF(A56='Données projet'!$A$36,'Données projet'!$B$36,N55+M56-V55)))</f>
        <v>104.12500000000006</v>
      </c>
      <c r="O56" s="14">
        <f>N56*VLOOKUP('Données projet'!$B$9,Paramètres!$A$1:$I$89,3,0)*VLOOKUP('Données projet'!$B$9,Paramètres!$A$1:$I$89,5,0)</f>
        <v>94.212300000000042</v>
      </c>
      <c r="P56" s="14">
        <f t="shared" si="33"/>
        <v>25.57841008066784</v>
      </c>
      <c r="Q56" s="22">
        <f t="shared" si="53"/>
        <v>208.6354867238299</v>
      </c>
      <c r="R56" s="62">
        <f t="shared" si="0"/>
        <v>465.71086493036313</v>
      </c>
      <c r="S56" s="62">
        <f ca="1">AVERAGE(OFFSET($R$3,0,0,'Données projet'!$E$9+1,1))-AVERAGE(OFFSET($H$3,0,0,'Données projet'!$E$9+1,1))</f>
        <v>432.80275651765203</v>
      </c>
      <c r="T56" s="62">
        <f t="shared" si="34"/>
        <v>203.89279893419919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9.375</v>
      </c>
      <c r="AI56" s="14">
        <f>IF('Données projet'!$A$62&gt;35,AI55+AH56-AQ55,IF(A56&lt;'Données projet'!$A$62,$AF$205^A56,IF(A56='Données projet'!$A$62,'Données projet'!$B$62,AI55+AH56-AQ55)))</f>
        <v>231.37499999999989</v>
      </c>
      <c r="AJ56" s="14">
        <f>AI56*VLOOKUP('Données projet'!$B$10,Paramètres!$A$1:$I$89,3,0)*VLOOKUP('Données projet'!$B$10,Paramètres!$A$1:$I$89,5,0)</f>
        <v>155.20634999999993</v>
      </c>
      <c r="AK56" s="14">
        <f t="shared" si="35"/>
        <v>39.759387594463078</v>
      </c>
      <c r="AL56" s="22">
        <f t="shared" si="4"/>
        <v>339.5653263103564</v>
      </c>
      <c r="AM56" s="62">
        <f t="shared" si="5"/>
        <v>596.64070451688963</v>
      </c>
      <c r="AN56" s="62">
        <f ca="1">AVERAGE(OFFSET($AM$3,0,0,'Données projet'!$E$10+1,1))-AVERAGE(OFFSET($H$3,0,0,'Données projet'!$E$10+1,1))</f>
        <v>273.21861937609918</v>
      </c>
      <c r="AO56" s="62">
        <f t="shared" si="36"/>
        <v>268.83004886965318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9.2475442607058511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9.2475442607058511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187.6913999999999</v>
      </c>
      <c r="BF56" s="14">
        <f t="shared" si="37"/>
        <v>47.029191592794206</v>
      </c>
      <c r="BG56" s="22">
        <f t="shared" si="7"/>
        <v>408.80503035744977</v>
      </c>
      <c r="BH56" s="62">
        <f t="shared" si="8"/>
        <v>665.880408563983</v>
      </c>
      <c r="BI56" s="62">
        <f ca="1">AVERAGE(OFFSET($BH$3,0,0,'Données projet'!$E$11+1,1))-AVERAGE(OFFSET($H$3,0,0,'Données projet'!$E$11+1,1))</f>
        <v>319.01020001288975</v>
      </c>
      <c r="BJ56" s="62">
        <f t="shared" si="38"/>
        <v>312.22190035638084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11.183076780388472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11.183076780388472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231.37499999999989</v>
      </c>
      <c r="BZ56" s="14">
        <f>BY56*VLOOKUP('Données projet'!$B$12,Paramètres!$A$1:$I$89,3,0)*VLOOKUP('Données projet'!$B$12,Paramètres!$A$1:$I$89,5,0)</f>
        <v>249.05204999999989</v>
      </c>
      <c r="CA56" s="14">
        <f t="shared" si="39"/>
        <v>60.382906767550274</v>
      </c>
      <c r="CB56" s="22">
        <f t="shared" si="10"/>
        <v>538.93254970348323</v>
      </c>
      <c r="CC56" s="62">
        <f t="shared" si="11"/>
        <v>796.00792791001641</v>
      </c>
      <c r="CD56" s="62">
        <f ca="1">AVERAGE(OFFSET($CC$3,0,0,'Données projet'!$E$12+1,1))-AVERAGE(OFFSET($H$3,0,0,'Données projet'!$E$12+1,1))</f>
        <v>405.06394904053946</v>
      </c>
      <c r="CE56" s="62">
        <f t="shared" si="40"/>
        <v>393.75247087518198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12.039255735635917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12.039255735635917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6.125</v>
      </c>
      <c r="CT56" s="13">
        <f>IF('Données projet'!$A$140&gt;35,CT55+CS56-DB55,IF(A56&lt;'Données projet'!$A$140,$CQ$205^A56,IF(A56='Données projet'!$A$140,'Données projet'!$B$140,CT55+CS56-DB55)))</f>
        <v>104.12500000000006</v>
      </c>
      <c r="CU56" s="18">
        <f>CT56*VLOOKUP('Données projet'!$B$13,Paramètres!$A$1:$I$89,3,0)*VLOOKUP('Données projet'!$B$13,Paramètres!$A$1:$I$89,5,0)</f>
        <v>105.58275000000006</v>
      </c>
      <c r="CV56" s="14">
        <f t="shared" si="41"/>
        <v>28.287776541026229</v>
      </c>
      <c r="CW56" s="22">
        <f t="shared" si="13"/>
        <v>233.15783372562078</v>
      </c>
      <c r="CX56" s="62">
        <f t="shared" si="14"/>
        <v>490.23321193215401</v>
      </c>
      <c r="CY56" s="62">
        <f ca="1">AVERAGE(OFFSET($CX$3,0,0,'Données projet'!$E$13+1,1))-AVERAGE(OFFSET($H$3,0,0,'Données projet'!$E$13+1,1))</f>
        <v>474.46836359712393</v>
      </c>
      <c r="CZ56" s="62">
        <f t="shared" si="42"/>
        <v>221.28699636637722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4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6.125</v>
      </c>
      <c r="N57" s="14">
        <f>IF('Données projet'!$A$36&gt;35,N56+M57-V56,IF(A57&lt;'Données projet'!$A$36,$K$205^A57,IF(A57='Données projet'!$A$36,'Données projet'!$B$36,N56+M57-V56)))</f>
        <v>110.25000000000006</v>
      </c>
      <c r="O57" s="14">
        <f>N57*VLOOKUP('Données projet'!$B$9,Paramètres!$A$1:$I$89,3,0)*VLOOKUP('Données projet'!$B$9,Paramètres!$A$1:$I$89,5,0)</f>
        <v>99.754200000000054</v>
      </c>
      <c r="P57" s="14">
        <f t="shared" si="33"/>
        <v>26.90343070306184</v>
      </c>
      <c r="Q57" s="22">
        <f t="shared" si="53"/>
        <v>220.59537347449944</v>
      </c>
      <c r="R57" s="62">
        <f t="shared" si="0"/>
        <v>478.2997461418388</v>
      </c>
      <c r="S57" s="62">
        <f ca="1">AVERAGE(OFFSET($R$3,0,0,'Données projet'!$E$9+1,1))-AVERAGE(OFFSET($H$3,0,0,'Données projet'!$E$9+1,1))</f>
        <v>432.80275651765203</v>
      </c>
      <c r="T57" s="62">
        <f t="shared" si="34"/>
        <v>203.89279893419919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9.375</v>
      </c>
      <c r="AI57" s="14">
        <f>IF('Données projet'!$A$62&gt;35,AI56+AH57-AQ56,IF(A57&lt;'Données projet'!$A$62,$AF$205^A57,IF(A57='Données projet'!$A$62,'Données projet'!$B$62,AI56+AH57-AQ56)))</f>
        <v>240.74999999999989</v>
      </c>
      <c r="AJ57" s="14">
        <f>AI57*VLOOKUP('Données projet'!$B$10,Paramètres!$A$1:$I$89,3,0)*VLOOKUP('Données projet'!$B$10,Paramètres!$A$1:$I$89,5,0)</f>
        <v>161.49509999999992</v>
      </c>
      <c r="AK57" s="14">
        <f t="shared" si="35"/>
        <v>41.179556622845517</v>
      </c>
      <c r="AL57" s="22">
        <f t="shared" si="4"/>
        <v>352.9916936181225</v>
      </c>
      <c r="AM57" s="62">
        <f t="shared" si="5"/>
        <v>610.69606628546182</v>
      </c>
      <c r="AN57" s="62">
        <f ca="1">AVERAGE(OFFSET($AM$3,0,0,'Données projet'!$E$10+1,1))-AVERAGE(OFFSET($H$3,0,0,'Données projet'!$E$10+1,1))</f>
        <v>273.21861937609918</v>
      </c>
      <c r="AO57" s="62">
        <f t="shared" si="36"/>
        <v>268.83004886965318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9.06620555819846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9.06620555819846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195.29639999999992</v>
      </c>
      <c r="BF57" s="14">
        <f t="shared" si="37"/>
        <v>48.709031383366153</v>
      </c>
      <c r="BG57" s="22">
        <f t="shared" si="7"/>
        <v>424.97612632602926</v>
      </c>
      <c r="BH57" s="62">
        <f t="shared" si="8"/>
        <v>682.68049899336859</v>
      </c>
      <c r="BI57" s="62">
        <f ca="1">AVERAGE(OFFSET($BH$3,0,0,'Données projet'!$E$11+1,1))-AVERAGE(OFFSET($H$3,0,0,'Données projet'!$E$11+1,1))</f>
        <v>319.01020001288975</v>
      </c>
      <c r="BJ57" s="62">
        <f t="shared" si="38"/>
        <v>312.22190035638084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10.963783465728373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10.963783465728373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240.74999999999989</v>
      </c>
      <c r="BZ57" s="14">
        <f>BY57*VLOOKUP('Données projet'!$B$12,Paramètres!$A$1:$I$89,3,0)*VLOOKUP('Données projet'!$B$12,Paramètres!$A$1:$I$89,5,0)</f>
        <v>259.1432999999999</v>
      </c>
      <c r="CA57" s="14">
        <f t="shared" si="39"/>
        <v>62.53972907350861</v>
      </c>
      <c r="CB57" s="22">
        <f t="shared" si="10"/>
        <v>560.264608969694</v>
      </c>
      <c r="CC57" s="62">
        <f t="shared" si="11"/>
        <v>817.96898163703327</v>
      </c>
      <c r="CD57" s="62">
        <f ca="1">AVERAGE(OFFSET($CC$3,0,0,'Données projet'!$E$12+1,1))-AVERAGE(OFFSET($H$3,0,0,'Données projet'!$E$12+1,1))</f>
        <v>405.06394904053946</v>
      </c>
      <c r="CE57" s="62">
        <f t="shared" si="40"/>
        <v>393.75247087518198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11.803173273881013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11.803173273881013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6.125</v>
      </c>
      <c r="CT57" s="13">
        <f>IF('Données projet'!$A$140&gt;35,CT56+CS57-DB56,IF(A57&lt;'Données projet'!$A$140,$CQ$205^A57,IF(A57='Données projet'!$A$140,'Données projet'!$B$140,CT56+CS57-DB56)))</f>
        <v>110.25000000000006</v>
      </c>
      <c r="CU57" s="18">
        <f>CT57*VLOOKUP('Données projet'!$B$13,Paramètres!$A$1:$I$89,3,0)*VLOOKUP('Données projet'!$B$13,Paramètres!$A$1:$I$89,5,0)</f>
        <v>111.79350000000007</v>
      </c>
      <c r="CV57" s="14">
        <f t="shared" si="41"/>
        <v>29.753148593484738</v>
      </c>
      <c r="CW57" s="22">
        <f t="shared" si="13"/>
        <v>246.52707963365268</v>
      </c>
      <c r="CX57" s="62">
        <f t="shared" si="14"/>
        <v>504.23145230099203</v>
      </c>
      <c r="CY57" s="62">
        <f ca="1">AVERAGE(OFFSET($CX$3,0,0,'Données projet'!$E$13+1,1))-AVERAGE(OFFSET($H$3,0,0,'Données projet'!$E$13+1,1))</f>
        <v>474.46836359712393</v>
      </c>
      <c r="CZ57" s="62">
        <f t="shared" si="42"/>
        <v>221.28699636637722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4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6.125</v>
      </c>
      <c r="N58" s="14">
        <f>IF('Données projet'!$A$36&gt;35,N57+M58-V57,IF(A58&lt;'Données projet'!$A$36,$K$205^A58,IF(A58='Données projet'!$A$36,'Données projet'!$B$36,N57+M58-V57)))</f>
        <v>116.37500000000006</v>
      </c>
      <c r="O58" s="14">
        <f>N58*VLOOKUP('Données projet'!$B$9,Paramètres!$A$1:$I$89,3,0)*VLOOKUP('Données projet'!$B$9,Paramètres!$A$1:$I$89,5,0)</f>
        <v>105.29610000000005</v>
      </c>
      <c r="P58" s="14">
        <f t="shared" si="33"/>
        <v>28.219905863751134</v>
      </c>
      <c r="Q58" s="22">
        <f t="shared" si="53"/>
        <v>232.54037687936662</v>
      </c>
      <c r="R58" s="62">
        <f t="shared" si="0"/>
        <v>490.86283235983797</v>
      </c>
      <c r="S58" s="62">
        <f ca="1">AVERAGE(OFFSET($R$3,0,0,'Données projet'!$E$9+1,1))-AVERAGE(OFFSET($H$3,0,0,'Données projet'!$E$9+1,1))</f>
        <v>432.80275651765203</v>
      </c>
      <c r="T58" s="62">
        <f t="shared" si="34"/>
        <v>203.89279893419919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9.375</v>
      </c>
      <c r="AI58" s="14">
        <f>IF('Données projet'!$A$62&gt;35,AI57+AH58-AQ57,IF(A58&lt;'Données projet'!$A$62,$AF$205^A58,IF(A58='Données projet'!$A$62,'Données projet'!$B$62,AI57+AH58-AQ57)))</f>
        <v>250.12499999999989</v>
      </c>
      <c r="AJ58" s="14">
        <f>AI58*VLOOKUP('Données projet'!$B$10,Paramètres!$A$1:$I$89,3,0)*VLOOKUP('Données projet'!$B$10,Paramètres!$A$1:$I$89,5,0)</f>
        <v>167.78384999999992</v>
      </c>
      <c r="AK58" s="14">
        <f t="shared" si="35"/>
        <v>42.593301288598774</v>
      </c>
      <c r="AL58" s="22">
        <f t="shared" si="4"/>
        <v>366.40687182764276</v>
      </c>
      <c r="AM58" s="62">
        <f t="shared" si="5"/>
        <v>624.72932730811408</v>
      </c>
      <c r="AN58" s="62">
        <f ca="1">AVERAGE(OFFSET($AM$3,0,0,'Données projet'!$E$10+1,1))-AVERAGE(OFFSET($H$3,0,0,'Données projet'!$E$10+1,1))</f>
        <v>273.21861937609918</v>
      </c>
      <c r="AO58" s="62">
        <f t="shared" si="36"/>
        <v>268.83004886965318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8.888422797041553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8.888422797041553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202.90139999999991</v>
      </c>
      <c r="BF58" s="14">
        <f t="shared" si="37"/>
        <v>50.381272148922065</v>
      </c>
      <c r="BG58" s="22">
        <f t="shared" si="7"/>
        <v>441.13398732603906</v>
      </c>
      <c r="BH58" s="62">
        <f t="shared" si="8"/>
        <v>699.45644280651049</v>
      </c>
      <c r="BI58" s="62">
        <f ca="1">AVERAGE(OFFSET($BH$3,0,0,'Données projet'!$E$11+1,1))-AVERAGE(OFFSET($H$3,0,0,'Données projet'!$E$11+1,1))</f>
        <v>319.01020001288975</v>
      </c>
      <c r="BJ58" s="62">
        <f t="shared" si="38"/>
        <v>312.22190035638084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10.748790359213043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10.748790359213043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250.12499999999989</v>
      </c>
      <c r="BZ58" s="14">
        <f>BY58*VLOOKUP('Données projet'!$B$12,Paramètres!$A$1:$I$89,3,0)*VLOOKUP('Données projet'!$B$12,Paramètres!$A$1:$I$89,5,0)</f>
        <v>269.2345499999999</v>
      </c>
      <c r="CA58" s="14">
        <f t="shared" si="39"/>
        <v>64.686794647455955</v>
      </c>
      <c r="CB58" s="22">
        <f t="shared" si="10"/>
        <v>581.5796752609856</v>
      </c>
      <c r="CC58" s="62">
        <f t="shared" si="11"/>
        <v>839.90213074145697</v>
      </c>
      <c r="CD58" s="62">
        <f ca="1">AVERAGE(OFFSET($CC$3,0,0,'Données projet'!$E$12+1,1))-AVERAGE(OFFSET($H$3,0,0,'Données projet'!$E$12+1,1))</f>
        <v>405.06394904053946</v>
      </c>
      <c r="CE58" s="62">
        <f t="shared" si="40"/>
        <v>393.75247087518198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11.571720245205039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11.571720245205039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6.125</v>
      </c>
      <c r="CT58" s="13">
        <f>IF('Données projet'!$A$140&gt;35,CT57+CS58-DB57,IF(A58&lt;'Données projet'!$A$140,$CQ$205^A58,IF(A58='Données projet'!$A$140,'Données projet'!$B$140,CT57+CS58-DB57)))</f>
        <v>116.37500000000006</v>
      </c>
      <c r="CU58" s="18">
        <f>CT58*VLOOKUP('Données projet'!$B$13,Paramètres!$A$1:$I$89,3,0)*VLOOKUP('Données projet'!$B$13,Paramètres!$A$1:$I$89,5,0)</f>
        <v>118.00425000000007</v>
      </c>
      <c r="CV58" s="14">
        <f t="shared" si="41"/>
        <v>31.209070015103375</v>
      </c>
      <c r="CW58" s="22">
        <f t="shared" si="13"/>
        <v>259.87986569297186</v>
      </c>
      <c r="CX58" s="62">
        <f t="shared" si="14"/>
        <v>518.20232117344324</v>
      </c>
      <c r="CY58" s="62">
        <f ca="1">AVERAGE(OFFSET($CX$3,0,0,'Données projet'!$E$13+1,1))-AVERAGE(OFFSET($H$3,0,0,'Données projet'!$E$13+1,1))</f>
        <v>474.46836359712393</v>
      </c>
      <c r="CZ58" s="62">
        <f t="shared" si="42"/>
        <v>221.28699636637722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4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6.125</v>
      </c>
      <c r="N59" s="14">
        <f>IF('Données projet'!$A$36&gt;35,N58+M59-V58,IF(A59&lt;'Données projet'!$A$36,$K$205^A59,IF(A59='Données projet'!$A$36,'Données projet'!$B$36,N58+M59-V58)))</f>
        <v>122.50000000000006</v>
      </c>
      <c r="O59" s="14">
        <f>N59*VLOOKUP('Données projet'!$B$9,Paramètres!$A$1:$I$89,3,0)*VLOOKUP('Données projet'!$B$9,Paramètres!$A$1:$I$89,5,0)</f>
        <v>110.83800000000005</v>
      </c>
      <c r="P59" s="14">
        <f t="shared" si="33"/>
        <v>29.528336615603067</v>
      </c>
      <c r="Q59" s="22">
        <f t="shared" si="53"/>
        <v>244.47136960550881</v>
      </c>
      <c r="R59" s="62">
        <f t="shared" si="0"/>
        <v>503.40118554413056</v>
      </c>
      <c r="S59" s="62">
        <f ca="1">AVERAGE(OFFSET($R$3,0,0,'Données projet'!$E$9+1,1))-AVERAGE(OFFSET($H$3,0,0,'Données projet'!$E$9+1,1))</f>
        <v>432.80275651765203</v>
      </c>
      <c r="T59" s="62">
        <f t="shared" si="34"/>
        <v>203.89279893419919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9.375</v>
      </c>
      <c r="AI59" s="14">
        <f>IF('Données projet'!$A$62&gt;35,AI58+AH59-AQ58,IF(A59&lt;'Données projet'!$A$62,$AF$205^A59,IF(A59='Données projet'!$A$62,'Données projet'!$B$62,AI58+AH59-AQ58)))</f>
        <v>259.49999999999989</v>
      </c>
      <c r="AJ59" s="14">
        <f>AI59*VLOOKUP('Données projet'!$B$10,Paramètres!$A$1:$I$89,3,0)*VLOOKUP('Données projet'!$B$10,Paramètres!$A$1:$I$89,5,0)</f>
        <v>174.07259999999994</v>
      </c>
      <c r="AK59" s="14">
        <f t="shared" si="35"/>
        <v>44.000889955583666</v>
      </c>
      <c r="AL59" s="22">
        <f t="shared" si="4"/>
        <v>379.81132833930809</v>
      </c>
      <c r="AM59" s="62">
        <f t="shared" si="5"/>
        <v>638.74114427792983</v>
      </c>
      <c r="AN59" s="62">
        <f ca="1">AVERAGE(OFFSET($AM$3,0,0,'Données projet'!$E$10+1,1))-AVERAGE(OFFSET($H$3,0,0,'Données projet'!$E$10+1,1))</f>
        <v>273.21861937609918</v>
      </c>
      <c r="AO59" s="62">
        <f t="shared" si="36"/>
        <v>268.83004886965318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8.7141262473941552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8.7141262473941552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210.50639999999993</v>
      </c>
      <c r="BF59" s="14">
        <f t="shared" si="37"/>
        <v>52.046231322304777</v>
      </c>
      <c r="BG59" s="22">
        <f t="shared" si="7"/>
        <v>457.27916621968069</v>
      </c>
      <c r="BH59" s="62">
        <f t="shared" si="8"/>
        <v>716.20898215830243</v>
      </c>
      <c r="BI59" s="62">
        <f ca="1">AVERAGE(OFFSET($BH$3,0,0,'Données projet'!$E$11+1,1))-AVERAGE(OFFSET($H$3,0,0,'Données projet'!$E$11+1,1))</f>
        <v>319.01020001288975</v>
      </c>
      <c r="BJ59" s="62">
        <f t="shared" si="38"/>
        <v>312.22190035638084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10.538013136383631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10.538013136383631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259.49999999999989</v>
      </c>
      <c r="BZ59" s="14">
        <f>BY59*VLOOKUP('Données projet'!$B$12,Paramètres!$A$1:$I$89,3,0)*VLOOKUP('Données projet'!$B$12,Paramètres!$A$1:$I$89,5,0)</f>
        <v>279.3257999999999</v>
      </c>
      <c r="CA59" s="14">
        <f t="shared" si="39"/>
        <v>66.824511055780306</v>
      </c>
      <c r="CB59" s="22">
        <f t="shared" si="10"/>
        <v>602.87845842215052</v>
      </c>
      <c r="CC59" s="62">
        <f t="shared" si="11"/>
        <v>861.8082743607722</v>
      </c>
      <c r="CD59" s="62">
        <f ca="1">AVERAGE(OFFSET($CC$3,0,0,'Données projet'!$E$12+1,1))-AVERAGE(OFFSET($H$3,0,0,'Données projet'!$E$12+1,1))</f>
        <v>405.06394904053946</v>
      </c>
      <c r="CE59" s="62">
        <f t="shared" si="40"/>
        <v>393.75247087518198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11.344805869248994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11.344805869248994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6.125</v>
      </c>
      <c r="CT59" s="13">
        <f>IF('Données projet'!$A$140&gt;35,CT58+CS59-DB58,IF(A59&lt;'Données projet'!$A$140,$CQ$205^A59,IF(A59='Données projet'!$A$140,'Données projet'!$B$140,CT58+CS59-DB58)))</f>
        <v>122.50000000000006</v>
      </c>
      <c r="CU59" s="18">
        <f>CT59*VLOOKUP('Données projet'!$B$13,Paramètres!$A$1:$I$89,3,0)*VLOOKUP('Données projet'!$B$13,Paramètres!$A$1:$I$89,5,0)</f>
        <v>124.21500000000007</v>
      </c>
      <c r="CV59" s="14">
        <f t="shared" si="41"/>
        <v>32.656094932252877</v>
      </c>
      <c r="CW59" s="22">
        <f t="shared" si="13"/>
        <v>273.21715700700724</v>
      </c>
      <c r="CX59" s="62">
        <f t="shared" si="14"/>
        <v>532.14697294562893</v>
      </c>
      <c r="CY59" s="62">
        <f ca="1">AVERAGE(OFFSET($CX$3,0,0,'Données projet'!$E$13+1,1))-AVERAGE(OFFSET($H$3,0,0,'Données projet'!$E$13+1,1))</f>
        <v>474.46836359712393</v>
      </c>
      <c r="CZ59" s="62">
        <f t="shared" si="42"/>
        <v>221.28699636637722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4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6.125</v>
      </c>
      <c r="N60" s="14">
        <f>IF('Données projet'!$A$36&gt;35,N59+M60-V59,IF(A60&lt;'Données projet'!$A$36,$K$205^A60,IF(A60='Données projet'!$A$36,'Données projet'!$B$36,N59+M60-V59)))</f>
        <v>128.62500000000006</v>
      </c>
      <c r="O60" s="14">
        <f>N60*VLOOKUP('Données projet'!$B$9,Paramètres!$A$1:$I$89,3,0)*VLOOKUP('Données projet'!$B$9,Paramètres!$A$1:$I$89,5,0)</f>
        <v>116.37990000000006</v>
      </c>
      <c r="P60" s="14">
        <f t="shared" si="33"/>
        <v>30.829171075775971</v>
      </c>
      <c r="Q60" s="22">
        <f t="shared" si="53"/>
        <v>256.38913212364326</v>
      </c>
      <c r="R60" s="62">
        <f t="shared" si="0"/>
        <v>515.91577217432098</v>
      </c>
      <c r="S60" s="62">
        <f ca="1">AVERAGE(OFFSET($R$3,0,0,'Données projet'!$E$9+1,1))-AVERAGE(OFFSET($H$3,0,0,'Données projet'!$E$9+1,1))</f>
        <v>432.80275651765203</v>
      </c>
      <c r="T60" s="62">
        <f t="shared" si="34"/>
        <v>203.89279893419919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9.375</v>
      </c>
      <c r="AI60" s="14">
        <f>IF('Données projet'!$A$62&gt;35,AI59+AH60-AQ59,IF(A60&lt;'Données projet'!$A$62,$AF$205^A60,IF(A60='Données projet'!$A$62,'Données projet'!$B$62,AI59+AH60-AQ59)))</f>
        <v>268.87499999999989</v>
      </c>
      <c r="AJ60" s="14">
        <f>AI60*VLOOKUP('Données projet'!$B$10,Paramètres!$A$1:$I$89,3,0)*VLOOKUP('Données projet'!$B$10,Paramètres!$A$1:$I$89,5,0)</f>
        <v>180.36134999999993</v>
      </c>
      <c r="AK60" s="14">
        <f t="shared" si="35"/>
        <v>45.402570498174285</v>
      </c>
      <c r="AL60" s="22">
        <f t="shared" si="4"/>
        <v>393.20549486765344</v>
      </c>
      <c r="AM60" s="62">
        <f t="shared" si="5"/>
        <v>652.73213491833121</v>
      </c>
      <c r="AN60" s="62">
        <f ca="1">AVERAGE(OFFSET($AM$3,0,0,'Données projet'!$E$10+1,1))-AVERAGE(OFFSET($H$3,0,0,'Données projet'!$E$10+1,1))</f>
        <v>273.21861937609918</v>
      </c>
      <c r="AO60" s="62">
        <f t="shared" si="36"/>
        <v>268.83004886965318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8.5432475467749445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8.5432475467749445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218.11139999999992</v>
      </c>
      <c r="BF60" s="14">
        <f t="shared" si="37"/>
        <v>53.704202100470532</v>
      </c>
      <c r="BG60" s="22">
        <f t="shared" si="7"/>
        <v>473.41217365831932</v>
      </c>
      <c r="BH60" s="62">
        <f t="shared" si="8"/>
        <v>732.93881370899703</v>
      </c>
      <c r="BI60" s="62">
        <f ca="1">AVERAGE(OFFSET($BH$3,0,0,'Données projet'!$E$11+1,1))-AVERAGE(OFFSET($H$3,0,0,'Données projet'!$E$11+1,1))</f>
        <v>319.01020001288975</v>
      </c>
      <c r="BJ60" s="62">
        <f t="shared" si="38"/>
        <v>312.22190035638084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10.331369126332493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10.331369126332493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268.87499999999989</v>
      </c>
      <c r="BZ60" s="14">
        <f>BY60*VLOOKUP('Données projet'!$B$12,Paramètres!$A$1:$I$89,3,0)*VLOOKUP('Données projet'!$B$12,Paramètres!$A$1:$I$89,5,0)</f>
        <v>289.41704999999985</v>
      </c>
      <c r="CA60" s="14">
        <f t="shared" si="39"/>
        <v>68.953254747318525</v>
      </c>
      <c r="CB60" s="22">
        <f t="shared" si="10"/>
        <v>624.16161410157952</v>
      </c>
      <c r="CC60" s="62">
        <f t="shared" si="11"/>
        <v>883.68825415225729</v>
      </c>
      <c r="CD60" s="62">
        <f ca="1">AVERAGE(OFFSET($CC$3,0,0,'Données projet'!$E$12+1,1))-AVERAGE(OFFSET($H$3,0,0,'Données projet'!$E$12+1,1))</f>
        <v>405.06394904053946</v>
      </c>
      <c r="CE60" s="62">
        <f t="shared" si="40"/>
        <v>393.75247087518198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11.122341145801343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11.122341145801343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6.125</v>
      </c>
      <c r="CT60" s="13">
        <f>IF('Données projet'!$A$140&gt;35,CT59+CS60-DB59,IF(A60&lt;'Données projet'!$A$140,$CQ$205^A60,IF(A60='Données projet'!$A$140,'Données projet'!$B$140,CT59+CS60-DB59)))</f>
        <v>128.62500000000006</v>
      </c>
      <c r="CU60" s="18">
        <f>CT60*VLOOKUP('Données projet'!$B$13,Paramètres!$A$1:$I$89,3,0)*VLOOKUP('Données projet'!$B$13,Paramètres!$A$1:$I$89,5,0)</f>
        <v>130.42575000000008</v>
      </c>
      <c r="CV60" s="14">
        <f t="shared" si="41"/>
        <v>34.094718928435057</v>
      </c>
      <c r="CW60" s="22">
        <f t="shared" si="13"/>
        <v>286.53981671702451</v>
      </c>
      <c r="CX60" s="62">
        <f t="shared" si="14"/>
        <v>546.06645676770222</v>
      </c>
      <c r="CY60" s="62">
        <f ca="1">AVERAGE(OFFSET($CX$3,0,0,'Données projet'!$E$13+1,1))-AVERAGE(OFFSET($H$3,0,0,'Données projet'!$E$13+1,1))</f>
        <v>474.46836359712393</v>
      </c>
      <c r="CZ60" s="62">
        <f t="shared" si="42"/>
        <v>221.28699636637722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4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6.125</v>
      </c>
      <c r="N61" s="14">
        <f>IF('Données projet'!$A$36&gt;35,N60+M61-V60,IF(A61&lt;'Données projet'!$A$36,$K$205^A61,IF(A61='Données projet'!$A$36,'Données projet'!$B$36,N60+M61-V60)))</f>
        <v>134.75000000000006</v>
      </c>
      <c r="O61" s="14">
        <f>N61*VLOOKUP('Données projet'!$B$9,Paramètres!$A$1:$I$89,3,0)*VLOOKUP('Données projet'!$B$9,Paramètres!$A$1:$I$89,5,0)</f>
        <v>121.92180000000005</v>
      </c>
      <c r="P61" s="14">
        <f t="shared" si="33"/>
        <v>32.122812272066035</v>
      </c>
      <c r="Q61" s="22">
        <f t="shared" si="53"/>
        <v>268.29436637384839</v>
      </c>
      <c r="R61" s="62">
        <f t="shared" si="0"/>
        <v>528.40747697253687</v>
      </c>
      <c r="S61" s="62">
        <f ca="1">AVERAGE(OFFSET($R$3,0,0,'Données projet'!$E$9+1,1))-AVERAGE(OFFSET($H$3,0,0,'Données projet'!$E$9+1,1))</f>
        <v>432.80275651765203</v>
      </c>
      <c r="T61" s="62">
        <f t="shared" si="34"/>
        <v>203.89279893419919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9.375</v>
      </c>
      <c r="AI61" s="14">
        <f>IF('Données projet'!$A$62&gt;35,AI60+AH61-AQ60,IF(A61&lt;'Données projet'!$A$62,$AF$205^A61,IF(A61='Données projet'!$A$62,'Données projet'!$B$62,AI60+AH61-AQ60)))</f>
        <v>278.24999999999989</v>
      </c>
      <c r="AJ61" s="14">
        <f>AI61*VLOOKUP('Données projet'!$B$10,Paramètres!$A$1:$I$89,3,0)*VLOOKUP('Données projet'!$B$10,Paramètres!$A$1:$I$89,5,0)</f>
        <v>186.65009999999992</v>
      </c>
      <c r="AK61" s="14">
        <f t="shared" si="35"/>
        <v>46.798572525002349</v>
      </c>
      <c r="AL61" s="22">
        <f t="shared" si="4"/>
        <v>406.58977131437899</v>
      </c>
      <c r="AM61" s="62">
        <f t="shared" si="5"/>
        <v>666.70288191306736</v>
      </c>
      <c r="AN61" s="62">
        <f ca="1">AVERAGE(OFFSET($AM$3,0,0,'Données projet'!$E$10+1,1))-AVERAGE(OFFSET($H$3,0,0,'Données projet'!$E$10+1,1))</f>
        <v>273.21861937609918</v>
      </c>
      <c r="AO61" s="62">
        <f t="shared" si="36"/>
        <v>268.83004886965318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8.3757196732491614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8.3757196732491614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225.71639999999991</v>
      </c>
      <c r="BF61" s="14">
        <f t="shared" si="37"/>
        <v>55.355456074834237</v>
      </c>
      <c r="BG61" s="22">
        <f t="shared" si="7"/>
        <v>489.53348266366947</v>
      </c>
      <c r="BH61" s="62">
        <f t="shared" si="8"/>
        <v>749.6465932623579</v>
      </c>
      <c r="BI61" s="62">
        <f ca="1">AVERAGE(OFFSET($BH$3,0,0,'Données projet'!$E$11+1,1))-AVERAGE(OFFSET($H$3,0,0,'Données projet'!$E$11+1,1))</f>
        <v>319.01020001288975</v>
      </c>
      <c r="BJ61" s="62">
        <f t="shared" si="38"/>
        <v>312.22190035638084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10.128777279278058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10.128777279278058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278.24999999999989</v>
      </c>
      <c r="BZ61" s="14">
        <f>BY61*VLOOKUP('Données projet'!$B$12,Paramètres!$A$1:$I$89,3,0)*VLOOKUP('Données projet'!$B$12,Paramètres!$A$1:$I$89,5,0)</f>
        <v>299.50829999999985</v>
      </c>
      <c r="CA61" s="14">
        <f t="shared" si="39"/>
        <v>71.073374430575583</v>
      </c>
      <c r="CB61" s="22">
        <f t="shared" si="10"/>
        <v>645.4297496332523</v>
      </c>
      <c r="CC61" s="62">
        <f t="shared" si="11"/>
        <v>905.54286023194072</v>
      </c>
      <c r="CD61" s="62">
        <f ca="1">AVERAGE(OFFSET($CC$3,0,0,'Données projet'!$E$12+1,1))-AVERAGE(OFFSET($H$3,0,0,'Données projet'!$E$12+1,1))</f>
        <v>405.06394904053946</v>
      </c>
      <c r="CE61" s="62">
        <f t="shared" si="40"/>
        <v>393.75247087518198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10.904238819890418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10.904238819890418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6.125</v>
      </c>
      <c r="CT61" s="13">
        <f>IF('Données projet'!$A$140&gt;35,CT60+CS61-DB60,IF(A61&lt;'Données projet'!$A$140,$CQ$205^A61,IF(A61='Données projet'!$A$140,'Données projet'!$B$140,CT60+CS61-DB60)))</f>
        <v>134.75000000000006</v>
      </c>
      <c r="CU61" s="18">
        <f>CT61*VLOOKUP('Données projet'!$B$13,Paramètres!$A$1:$I$89,3,0)*VLOOKUP('Données projet'!$B$13,Paramètres!$A$1:$I$89,5,0)</f>
        <v>136.63650000000007</v>
      </c>
      <c r="CV61" s="14">
        <f t="shared" si="41"/>
        <v>35.525387721745972</v>
      </c>
      <c r="CW61" s="22">
        <f t="shared" si="13"/>
        <v>299.84862111537433</v>
      </c>
      <c r="CX61" s="62">
        <f t="shared" si="14"/>
        <v>559.96173171406281</v>
      </c>
      <c r="CY61" s="62">
        <f ca="1">AVERAGE(OFFSET($CX$3,0,0,'Données projet'!$E$13+1,1))-AVERAGE(OFFSET($H$3,0,0,'Données projet'!$E$13+1,1))</f>
        <v>474.46836359712393</v>
      </c>
      <c r="CZ61" s="62">
        <f t="shared" si="42"/>
        <v>221.28699636637722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4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6.125</v>
      </c>
      <c r="N62" s="14">
        <f>IF('Données projet'!$A$36&gt;35,N61+M62-V61,IF(A62&lt;'Données projet'!$A$36,$K$205^A62,IF(A62='Données projet'!$A$36,'Données projet'!$B$36,N61+M62-V61)))</f>
        <v>140.87500000000006</v>
      </c>
      <c r="O62" s="14">
        <f>N62*VLOOKUP('Données projet'!$B$9,Paramètres!$A$1:$I$89,3,0)*VLOOKUP('Données projet'!$B$9,Paramètres!$A$1:$I$89,5,0)</f>
        <v>127.46370000000005</v>
      </c>
      <c r="P62" s="14">
        <f t="shared" si="33"/>
        <v>33.409624522319149</v>
      </c>
      <c r="Q62" s="22">
        <f t="shared" si="53"/>
        <v>280.1877068763726</v>
      </c>
      <c r="R62" s="62">
        <f t="shared" si="0"/>
        <v>540.87711407021538</v>
      </c>
      <c r="S62" s="62">
        <f ca="1">AVERAGE(OFFSET($R$3,0,0,'Données projet'!$E$9+1,1))-AVERAGE(OFFSET($H$3,0,0,'Données projet'!$E$9+1,1))</f>
        <v>432.80275651765203</v>
      </c>
      <c r="T62" s="62">
        <f t="shared" si="34"/>
        <v>203.89279893419919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9.375</v>
      </c>
      <c r="AI62" s="14">
        <f>IF('Données projet'!$A$62&gt;35,AI61+AH62-AQ61,IF(A62&lt;'Données projet'!$A$62,$AF$205^A62,IF(A62='Données projet'!$A$62,'Données projet'!$B$62,AI61+AH62-AQ61)))</f>
        <v>287.62499999999989</v>
      </c>
      <c r="AJ62" s="14">
        <f>AI62*VLOOKUP('Données projet'!$B$10,Paramètres!$A$1:$I$89,3,0)*VLOOKUP('Données projet'!$B$10,Paramètres!$A$1:$I$89,5,0)</f>
        <v>192.93884999999992</v>
      </c>
      <c r="AK62" s="14">
        <f t="shared" si="35"/>
        <v>48.18910929458665</v>
      </c>
      <c r="AL62" s="22">
        <f t="shared" si="4"/>
        <v>419.96452910473823</v>
      </c>
      <c r="AM62" s="62">
        <f t="shared" si="5"/>
        <v>680.65393629858102</v>
      </c>
      <c r="AN62" s="62">
        <f ca="1">AVERAGE(OFFSET($AM$3,0,0,'Données projet'!$E$10+1,1))-AVERAGE(OFFSET($H$3,0,0,'Données projet'!$E$10+1,1))</f>
        <v>273.21861937609918</v>
      </c>
      <c r="AO62" s="62">
        <f t="shared" si="36"/>
        <v>268.83004886965318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8.2114769191413046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8.2114769191413046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233.32139999999993</v>
      </c>
      <c r="BF62" s="14">
        <f t="shared" si="37"/>
        <v>57.000245497162069</v>
      </c>
      <c r="BG62" s="22">
        <f t="shared" si="7"/>
        <v>505.6435325742238</v>
      </c>
      <c r="BH62" s="62">
        <f t="shared" si="8"/>
        <v>766.33293976806658</v>
      </c>
      <c r="BI62" s="62">
        <f ca="1">AVERAGE(OFFSET($BH$3,0,0,'Données projet'!$E$11+1,1))-AVERAGE(OFFSET($H$3,0,0,'Données projet'!$E$11+1,1))</f>
        <v>319.01020001288975</v>
      </c>
      <c r="BJ62" s="62">
        <f t="shared" si="38"/>
        <v>312.22190035638084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9.9301581347755334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9.9301581347755334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287.62499999999989</v>
      </c>
      <c r="BZ62" s="14">
        <f>BY62*VLOOKUP('Données projet'!$B$12,Paramètres!$A$1:$I$89,3,0)*VLOOKUP('Données projet'!$B$12,Paramètres!$A$1:$I$89,5,0)</f>
        <v>309.59954999999985</v>
      </c>
      <c r="CA62" s="14">
        <f t="shared" si="39"/>
        <v>73.185193983006329</v>
      </c>
      <c r="CB62" s="22">
        <f t="shared" si="10"/>
        <v>666.68342910373576</v>
      </c>
      <c r="CC62" s="62">
        <f t="shared" si="11"/>
        <v>927.37283629757849</v>
      </c>
      <c r="CD62" s="62">
        <f ca="1">AVERAGE(OFFSET($CC$3,0,0,'Données projet'!$E$12+1,1))-AVERAGE(OFFSET($H$3,0,0,'Données projet'!$E$12+1,1))</f>
        <v>405.06394904053946</v>
      </c>
      <c r="CE62" s="62">
        <f t="shared" si="40"/>
        <v>393.75247087518198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10.690413347561323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10.690413347561323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6.125</v>
      </c>
      <c r="CT62" s="13">
        <f>IF('Données projet'!$A$140&gt;35,CT61+CS62-DB61,IF(A62&lt;'Données projet'!$A$140,$CQ$205^A62,IF(A62='Données projet'!$A$140,'Données projet'!$B$140,CT61+CS62-DB61)))</f>
        <v>140.87500000000006</v>
      </c>
      <c r="CU62" s="18">
        <f>CT62*VLOOKUP('Données projet'!$B$13,Paramètres!$A$1:$I$89,3,0)*VLOOKUP('Données projet'!$B$13,Paramètres!$A$1:$I$89,5,0)</f>
        <v>142.84725000000006</v>
      </c>
      <c r="CV62" s="14">
        <f t="shared" si="41"/>
        <v>36.948504220019892</v>
      </c>
      <c r="CW62" s="22">
        <f t="shared" si="13"/>
        <v>313.14427193320137</v>
      </c>
      <c r="CX62" s="62">
        <f t="shared" si="14"/>
        <v>573.83367912704421</v>
      </c>
      <c r="CY62" s="62">
        <f ca="1">AVERAGE(OFFSET($CX$3,0,0,'Données projet'!$E$13+1,1))-AVERAGE(OFFSET($H$3,0,0,'Données projet'!$E$13+1,1))</f>
        <v>474.46836359712393</v>
      </c>
      <c r="CZ62" s="62">
        <f t="shared" si="42"/>
        <v>221.28699636637722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4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147</v>
      </c>
      <c r="L63" s="13">
        <f>VLOOKUP(A63,'Données projet'!$A$35:$I$55,9,0)</f>
        <v>6.125</v>
      </c>
      <c r="M63" s="13">
        <f t="array" ref="M63">INDEX(L:L,MIN(IF(ISNUMBER(L63:L259),ROW(L63:L259),"")))</f>
        <v>6.125</v>
      </c>
      <c r="N63" s="14">
        <f>IF('Données projet'!$A$36&gt;35,N62+M63-V62,IF(A63&lt;'Données projet'!$A$36,$K$205^A63,IF(A63='Données projet'!$A$36,'Données projet'!$B$36,N62+M63-V62)))</f>
        <v>147.00000000000006</v>
      </c>
      <c r="O63" s="14">
        <f>N63*VLOOKUP('Données projet'!$B$9,Paramètres!$A$1:$I$89,3,0)*VLOOKUP('Données projet'!$B$9,Paramètres!$A$1:$I$89,5,0)</f>
        <v>133.00560000000004</v>
      </c>
      <c r="P63" s="14">
        <f t="shared" si="33"/>
        <v>34.689938673073549</v>
      </c>
      <c r="Q63" s="22">
        <f t="shared" si="53"/>
        <v>292.06972985560316</v>
      </c>
      <c r="R63" s="62">
        <f t="shared" si="0"/>
        <v>553.32543618708064</v>
      </c>
      <c r="S63" s="62">
        <f ca="1">AVERAGE(OFFSET($R$3,0,0,'Données projet'!$E$9+1,1))-AVERAGE(OFFSET($H$3,0,0,'Données projet'!$E$9+1,1))</f>
        <v>432.80275651765203</v>
      </c>
      <c r="T63" s="62">
        <f t="shared" si="34"/>
        <v>203.89279893419919</v>
      </c>
      <c r="U63" s="16">
        <f>IF(ISNA(VLOOKUP(A63,'Données projet'!$A$35:$I$55,3,0)),0,VLOOKUP(A63,'Données projet'!$A$35:$I$55,3,0))</f>
        <v>2</v>
      </c>
      <c r="V63" s="16">
        <f>IF(ISNA(VLOOKUP(A63,'Données projet'!$A$35:$I$55,4,0)),0,VLOOKUP(A63,'Données projet'!$A$35:$I$55,4,0))</f>
        <v>30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297</v>
      </c>
      <c r="AG63" s="13">
        <f>VLOOKUP(A63,'Données projet'!$A$61:$I$81,9,0)</f>
        <v>9.375</v>
      </c>
      <c r="AH63" s="13">
        <f t="array" ref="AH63">INDEX(AG:AG,MIN(IF(ISNUMBER(AG63:AG259),ROW(AG63:AG259),"")))</f>
        <v>9.375</v>
      </c>
      <c r="AI63" s="14">
        <f>IF('Données projet'!$A$62&gt;35,AI62+AH63-AQ62,IF(A63&lt;'Données projet'!$A$62,$AF$205^A63,IF(A63='Données projet'!$A$62,'Données projet'!$B$62,AI62+AH63-AQ62)))</f>
        <v>296.99999999999989</v>
      </c>
      <c r="AJ63" s="14">
        <f>AI63*VLOOKUP('Données projet'!$B$10,Paramètres!$A$1:$I$89,3,0)*VLOOKUP('Données projet'!$B$10,Paramètres!$A$1:$I$89,5,0)</f>
        <v>199.22759999999994</v>
      </c>
      <c r="AK63" s="14">
        <f t="shared" si="35"/>
        <v>49.574379374190791</v>
      </c>
      <c r="AL63" s="22">
        <f t="shared" si="4"/>
        <v>433.33011407671552</v>
      </c>
      <c r="AM63" s="62">
        <f t="shared" si="5"/>
        <v>694.58582040819306</v>
      </c>
      <c r="AN63" s="62">
        <f ca="1">AVERAGE(OFFSET($AM$3,0,0,'Données projet'!$E$10+1,1))-AVERAGE(OFFSET($H$3,0,0,'Données projet'!$E$10+1,1))</f>
        <v>273.21861937609918</v>
      </c>
      <c r="AO63" s="62">
        <f t="shared" si="36"/>
        <v>268.83004886965318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47</v>
      </c>
      <c r="AR63" s="17">
        <f>IF(ISNA(VLOOKUP(A63,'Données projet'!$A$61:$I$81,5,0)),0%,VLOOKUP(A63,'Données projet'!$A$61:$I$81,5,0)*VLOOKUP('Données projet'!$B$10,Paramètres!$A$1:$I$89,7,0))</f>
        <v>0.26500000000000001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17.28645426877052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17.28645426877052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240.92639999999992</v>
      </c>
      <c r="BF63" s="14">
        <f t="shared" si="37"/>
        <v>58.638805241742823</v>
      </c>
      <c r="BG63" s="22">
        <f t="shared" si="7"/>
        <v>521.74273246270184</v>
      </c>
      <c r="BH63" s="62">
        <f t="shared" si="8"/>
        <v>782.99843879417926</v>
      </c>
      <c r="BI63" s="62">
        <f ca="1">AVERAGE(OFFSET($BH$3,0,0,'Données projet'!$E$11+1,1))-AVERAGE(OFFSET($H$3,0,0,'Données projet'!$E$11+1,1))</f>
        <v>319.01020001288975</v>
      </c>
      <c r="BJ63" s="62">
        <f t="shared" si="38"/>
        <v>312.22190035638084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0.26500000000000001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20.904549348280632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20.904549348280632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296.99999999999989</v>
      </c>
      <c r="BZ63" s="14">
        <f>BY63*VLOOKUP('Données projet'!$B$12,Paramètres!$A$1:$I$89,3,0)*VLOOKUP('Données projet'!$B$12,Paramètres!$A$1:$I$89,5,0)</f>
        <v>319.69079999999985</v>
      </c>
      <c r="CA63" s="14">
        <f t="shared" si="39"/>
        <v>75.289014970336183</v>
      </c>
      <c r="CB63" s="22">
        <f t="shared" si="10"/>
        <v>687.92317774000196</v>
      </c>
      <c r="CC63" s="62">
        <f t="shared" si="11"/>
        <v>949.17888407147939</v>
      </c>
      <c r="CD63" s="62">
        <f ca="1">AVERAGE(OFFSET($CC$3,0,0,'Données projet'!$E$12+1,1))-AVERAGE(OFFSET($H$3,0,0,'Données projet'!$E$12+1,1))</f>
        <v>405.06394904053946</v>
      </c>
      <c r="CE63" s="62">
        <f t="shared" si="40"/>
        <v>393.75247087518198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0.215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22.505006500852186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22.505006500852186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147</v>
      </c>
      <c r="CR63" s="13">
        <f>VLOOKUP(A63,'Données projet'!$A$139:$I$159,9,0)</f>
        <v>6.125</v>
      </c>
      <c r="CS63" s="13">
        <f t="array" ref="CS63">INDEX(CR:CR,MIN(IF(ISNUMBER(CR63:CR259),ROW(CR63:CR259),"")))</f>
        <v>6.125</v>
      </c>
      <c r="CT63" s="13">
        <f>IF('Données projet'!$A$140&gt;35,CT62+CS63-DB62,IF(A63&lt;'Données projet'!$A$140,$CQ$205^A63,IF(A63='Données projet'!$A$140,'Données projet'!$B$140,CT62+CS63-DB62)))</f>
        <v>147.00000000000006</v>
      </c>
      <c r="CU63" s="18">
        <f>CT63*VLOOKUP('Données projet'!$B$13,Paramètres!$A$1:$I$89,3,0)*VLOOKUP('Données projet'!$B$13,Paramètres!$A$1:$I$89,5,0)</f>
        <v>149.05800000000008</v>
      </c>
      <c r="CV63" s="14">
        <f t="shared" si="41"/>
        <v>38.364434314370335</v>
      </c>
      <c r="CW63" s="22">
        <f t="shared" si="13"/>
        <v>326.42740643086182</v>
      </c>
      <c r="CX63" s="62">
        <f t="shared" si="14"/>
        <v>587.68311276233931</v>
      </c>
      <c r="CY63" s="62">
        <f ca="1">AVERAGE(OFFSET($CX$3,0,0,'Données projet'!$E$13+1,1))-AVERAGE(OFFSET($H$3,0,0,'Données projet'!$E$13+1,1))</f>
        <v>474.46836359712393</v>
      </c>
      <c r="CZ63" s="62">
        <f t="shared" si="42"/>
        <v>221.28699636637722</v>
      </c>
      <c r="DA63" s="16">
        <f>IF(ISNA(VLOOKUP(A63,'Données projet'!$A$139:$I$159,3,0)),0,VLOOKUP(A63,'Données projet'!$A$139:$I$159,3,0))</f>
        <v>2</v>
      </c>
      <c r="DB63" s="16">
        <f>IF(ISNA(VLOOKUP(A63,'Données projet'!$A$139:$I$159,4,0)),0,VLOOKUP(A63,'Données projet'!$A$139:$I$159,4,0))</f>
        <v>30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4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6.125</v>
      </c>
      <c r="N64" s="14">
        <f>IF('Données projet'!$A$36&gt;35,N63+M64-V63,IF(A64&lt;'Données projet'!$A$36,$K$205^A64,IF(A64='Données projet'!$A$36,'Données projet'!$B$36,N63+M64-V63)))</f>
        <v>123.12500000000006</v>
      </c>
      <c r="O64" s="14">
        <f>N64*VLOOKUP('Données projet'!$B$9,Paramètres!$A$1:$I$89,3,0)*VLOOKUP('Données projet'!$B$9,Paramètres!$A$1:$I$89,5,0)</f>
        <v>111.40350000000004</v>
      </c>
      <c r="P64" s="14">
        <f t="shared" si="33"/>
        <v>29.661415724803813</v>
      </c>
      <c r="Q64" s="22">
        <f t="shared" si="53"/>
        <v>245.68806155403334</v>
      </c>
      <c r="R64" s="62">
        <f t="shared" si="0"/>
        <v>507.50024299916265</v>
      </c>
      <c r="S64" s="62">
        <f ca="1">AVERAGE(OFFSET($R$3,0,0,'Données projet'!$E$9+1,1))-AVERAGE(OFFSET($H$3,0,0,'Données projet'!$E$9+1,1))</f>
        <v>432.80275651765203</v>
      </c>
      <c r="T64" s="62">
        <f t="shared" si="34"/>
        <v>203.89279893419919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8.6666666666666661</v>
      </c>
      <c r="AI64" s="14">
        <f>IF('Données projet'!$A$62&gt;35,AI63+AH64-AQ63,IF(A64&lt;'Données projet'!$A$62,$AF$205^A64,IF(A64='Données projet'!$A$62,'Données projet'!$B$62,AI63+AH64-AQ63)))</f>
        <v>258.66666666666657</v>
      </c>
      <c r="AJ64" s="14">
        <f>AI64*VLOOKUP('Données projet'!$B$10,Paramètres!$A$1:$I$89,3,0)*VLOOKUP('Données projet'!$B$10,Paramètres!$A$1:$I$89,5,0)</f>
        <v>173.51359999999994</v>
      </c>
      <c r="AK64" s="14">
        <f t="shared" si="35"/>
        <v>43.876013714412544</v>
      </c>
      <c r="AL64" s="22">
        <f t="shared" si="4"/>
        <v>378.62024388593505</v>
      </c>
      <c r="AM64" s="62">
        <f t="shared" si="5"/>
        <v>640.43242533106445</v>
      </c>
      <c r="AN64" s="62">
        <f ca="1">AVERAGE(OFFSET($AM$3,0,0,'Données projet'!$E$10+1,1))-AVERAGE(OFFSET($H$3,0,0,'Données projet'!$E$10+1,1))</f>
        <v>273.21861937609918</v>
      </c>
      <c r="AO64" s="62">
        <f t="shared" si="36"/>
        <v>268.83004886965318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16.947477444255931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16.947477444255931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258.66666666666657</v>
      </c>
      <c r="BE64" s="14">
        <f>BD64*VLOOKUP('Données projet'!$B$11,Paramètres!$A$1:$I$89,3,0)*VLOOKUP('Données projet'!$B$11,Paramètres!$A$1:$I$89,5,0)</f>
        <v>209.83039999999994</v>
      </c>
      <c r="BF64" s="14">
        <f t="shared" si="37"/>
        <v>51.898522088668521</v>
      </c>
      <c r="BG64" s="22">
        <f t="shared" si="7"/>
        <v>455.84453930443095</v>
      </c>
      <c r="BH64" s="62">
        <f t="shared" si="8"/>
        <v>717.65672074956024</v>
      </c>
      <c r="BI64" s="62">
        <f ca="1">AVERAGE(OFFSET($BH$3,0,0,'Données projet'!$E$11+1,1))-AVERAGE(OFFSET($H$3,0,0,'Données projet'!$E$11+1,1))</f>
        <v>319.01020001288975</v>
      </c>
      <c r="BJ64" s="62">
        <f t="shared" si="38"/>
        <v>312.22190035638084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20.494623886076944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20.494623886076944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258.66666666666657</v>
      </c>
      <c r="BZ64" s="14">
        <f>BY64*VLOOKUP('Données projet'!$B$12,Paramètres!$A$1:$I$89,3,0)*VLOOKUP('Données projet'!$B$12,Paramètres!$A$1:$I$89,5,0)</f>
        <v>278.42879999999991</v>
      </c>
      <c r="CA64" s="14">
        <f t="shared" si="39"/>
        <v>66.634860488094674</v>
      </c>
      <c r="CB64" s="22">
        <f t="shared" si="10"/>
        <v>600.98587535009801</v>
      </c>
      <c r="CC64" s="62">
        <f t="shared" si="11"/>
        <v>862.79805679522735</v>
      </c>
      <c r="CD64" s="62">
        <f ca="1">AVERAGE(OFFSET($CC$3,0,0,'Données projet'!$E$12+1,1))-AVERAGE(OFFSET($H$3,0,0,'Données projet'!$E$12+1,1))</f>
        <v>405.06394904053946</v>
      </c>
      <c r="CE64" s="62">
        <f t="shared" si="40"/>
        <v>393.75247087518198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22.063697050069042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22.063697050069042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6.125</v>
      </c>
      <c r="CT64" s="13">
        <f>IF('Données projet'!$A$140&gt;35,CT63+CS64-DB63,IF(A64&lt;'Données projet'!$A$140,$CQ$205^A64,IF(A64='Données projet'!$A$140,'Données projet'!$B$140,CT63+CS64-DB63)))</f>
        <v>123.12500000000006</v>
      </c>
      <c r="CU64" s="18">
        <f>CT64*VLOOKUP('Données projet'!$B$13,Paramètres!$A$1:$I$89,3,0)*VLOOKUP('Données projet'!$B$13,Paramètres!$A$1:$I$89,5,0)</f>
        <v>124.84875000000007</v>
      </c>
      <c r="CV64" s="14">
        <f t="shared" si="41"/>
        <v>32.803270307558712</v>
      </c>
      <c r="CW64" s="22">
        <f t="shared" si="13"/>
        <v>274.57726870233154</v>
      </c>
      <c r="CX64" s="62">
        <f t="shared" si="14"/>
        <v>536.38945014746082</v>
      </c>
      <c r="CY64" s="62">
        <f ca="1">AVERAGE(OFFSET($CX$3,0,0,'Données projet'!$E$13+1,1))-AVERAGE(OFFSET($H$3,0,0,'Données projet'!$E$13+1,1))</f>
        <v>474.46836359712393</v>
      </c>
      <c r="CZ64" s="62">
        <f t="shared" si="42"/>
        <v>221.28699636637722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4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6.125</v>
      </c>
      <c r="N65" s="14">
        <f>IF('Données projet'!$A$36&gt;35,N64+M65-V64,IF(A65&lt;'Données projet'!$A$36,$K$205^A65,IF(A65='Données projet'!$A$36,'Données projet'!$B$36,N64+M65-V64)))</f>
        <v>129.25000000000006</v>
      </c>
      <c r="O65" s="14">
        <f>N65*VLOOKUP('Données projet'!$B$9,Paramètres!$A$1:$I$89,3,0)*VLOOKUP('Données projet'!$B$9,Paramètres!$A$1:$I$89,5,0)</f>
        <v>116.94540000000005</v>
      </c>
      <c r="P65" s="14">
        <f t="shared" si="33"/>
        <v>30.961498412176052</v>
      </c>
      <c r="Q65" s="22">
        <f t="shared" si="53"/>
        <v>257.60451473454003</v>
      </c>
      <c r="R65" s="62">
        <f t="shared" si="0"/>
        <v>519.9635176941913</v>
      </c>
      <c r="S65" s="62">
        <f ca="1">AVERAGE(OFFSET($R$3,0,0,'Données projet'!$E$9+1,1))-AVERAGE(OFFSET($H$3,0,0,'Données projet'!$E$9+1,1))</f>
        <v>432.80275651765203</v>
      </c>
      <c r="T65" s="62">
        <f t="shared" si="34"/>
        <v>203.89279893419919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8.6666666666666661</v>
      </c>
      <c r="AI65" s="14">
        <f>IF('Données projet'!$A$62&gt;35,AI64+AH65-AQ64,IF(A65&lt;'Données projet'!$A$62,$AF$205^A65,IF(A65='Données projet'!$A$62,'Données projet'!$B$62,AI64+AH65-AQ64)))</f>
        <v>267.33333333333326</v>
      </c>
      <c r="AJ65" s="14">
        <f>AI65*VLOOKUP('Données projet'!$B$10,Paramètres!$A$1:$I$89,3,0)*VLOOKUP('Données projet'!$B$10,Paramètres!$A$1:$I$89,5,0)</f>
        <v>179.32719999999995</v>
      </c>
      <c r="AK65" s="14">
        <f t="shared" si="35"/>
        <v>45.172467954379158</v>
      </c>
      <c r="AL65" s="22">
        <f t="shared" si="4"/>
        <v>391.00358835387692</v>
      </c>
      <c r="AM65" s="62">
        <f t="shared" si="5"/>
        <v>653.36259131352824</v>
      </c>
      <c r="AN65" s="62">
        <f ca="1">AVERAGE(OFFSET($AM$3,0,0,'Données projet'!$E$10+1,1))-AVERAGE(OFFSET($H$3,0,0,'Données projet'!$E$10+1,1))</f>
        <v>273.21861937609918</v>
      </c>
      <c r="AO65" s="62">
        <f t="shared" si="36"/>
        <v>268.83004886965318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16.615147748514627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16.615147748514627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267.33333333333326</v>
      </c>
      <c r="BE65" s="14">
        <f>BD65*VLOOKUP('Données projet'!$B$11,Paramètres!$A$1:$I$89,3,0)*VLOOKUP('Données projet'!$B$11,Paramètres!$A$1:$I$89,5,0)</f>
        <v>216.86079999999995</v>
      </c>
      <c r="BF65" s="14">
        <f t="shared" si="37"/>
        <v>53.432026464152699</v>
      </c>
      <c r="BG65" s="22">
        <f t="shared" si="7"/>
        <v>470.76000609173252</v>
      </c>
      <c r="BH65" s="62">
        <f t="shared" si="8"/>
        <v>733.11900905138384</v>
      </c>
      <c r="BI65" s="62">
        <f ca="1">AVERAGE(OFFSET($BH$3,0,0,'Données projet'!$E$11+1,1))-AVERAGE(OFFSET($H$3,0,0,'Données projet'!$E$11+1,1))</f>
        <v>319.01020001288975</v>
      </c>
      <c r="BJ65" s="62">
        <f t="shared" si="38"/>
        <v>312.22190035638084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20.092736812157224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20.092736812157224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267.33333333333326</v>
      </c>
      <c r="BZ65" s="14">
        <f>BY65*VLOOKUP('Données projet'!$B$12,Paramètres!$A$1:$I$89,3,0)*VLOOKUP('Données projet'!$B$12,Paramètres!$A$1:$I$89,5,0)</f>
        <v>287.75759999999991</v>
      </c>
      <c r="CA65" s="14">
        <f t="shared" si="39"/>
        <v>68.603796134155871</v>
      </c>
      <c r="CB65" s="22">
        <f t="shared" si="10"/>
        <v>620.66276493365456</v>
      </c>
      <c r="CC65" s="62">
        <f t="shared" si="11"/>
        <v>883.02176789330588</v>
      </c>
      <c r="CD65" s="62">
        <f ca="1">AVERAGE(OFFSET($CC$3,0,0,'Données projet'!$E$12+1,1))-AVERAGE(OFFSET($H$3,0,0,'Données projet'!$E$12+1,1))</f>
        <v>405.06394904053946</v>
      </c>
      <c r="CE65" s="62">
        <f t="shared" si="40"/>
        <v>393.75247087518198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21.631041408443568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21.631041408443568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6.125</v>
      </c>
      <c r="CT65" s="13">
        <f>IF('Données projet'!$A$140&gt;35,CT64+CS65-DB64,IF(A65&lt;'Données projet'!$A$140,$CQ$205^A65,IF(A65='Données projet'!$A$140,'Données projet'!$B$140,CT64+CS65-DB64)))</f>
        <v>129.25000000000006</v>
      </c>
      <c r="CU65" s="18">
        <f>CT65*VLOOKUP('Données projet'!$B$13,Paramètres!$A$1:$I$89,3,0)*VLOOKUP('Données projet'!$B$13,Paramètres!$A$1:$I$89,5,0)</f>
        <v>131.05950000000007</v>
      </c>
      <c r="CV65" s="14">
        <f t="shared" si="41"/>
        <v>34.24106290018895</v>
      </c>
      <c r="CW65" s="22">
        <f t="shared" si="13"/>
        <v>287.89848038449583</v>
      </c>
      <c r="CX65" s="62">
        <f t="shared" si="14"/>
        <v>550.2574833441472</v>
      </c>
      <c r="CY65" s="62">
        <f ca="1">AVERAGE(OFFSET($CX$3,0,0,'Données projet'!$E$13+1,1))-AVERAGE(OFFSET($H$3,0,0,'Données projet'!$E$13+1,1))</f>
        <v>474.46836359712393</v>
      </c>
      <c r="CZ65" s="62">
        <f t="shared" si="42"/>
        <v>221.28699636637722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4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6.125</v>
      </c>
      <c r="N66" s="14">
        <f>IF('Données projet'!$A$36&gt;35,N65+M66-V65,IF(A66&lt;'Données projet'!$A$36,$K$205^A66,IF(A66='Données projet'!$A$36,'Données projet'!$B$36,N65+M66-V65)))</f>
        <v>135.37500000000006</v>
      </c>
      <c r="O66" s="14">
        <f>N66*VLOOKUP('Données projet'!$B$9,Paramètres!$A$1:$I$89,3,0)*VLOOKUP('Données projet'!$B$9,Paramètres!$A$1:$I$89,5,0)</f>
        <v>122.48730000000005</v>
      </c>
      <c r="P66" s="14">
        <f t="shared" si="33"/>
        <v>32.254426688079015</v>
      </c>
      <c r="Q66" s="22">
        <f t="shared" si="53"/>
        <v>269.50850731507103</v>
      </c>
      <c r="R66" s="62">
        <f t="shared" si="0"/>
        <v>532.40484565847714</v>
      </c>
      <c r="S66" s="62">
        <f ca="1">AVERAGE(OFFSET($R$3,0,0,'Données projet'!$E$9+1,1))-AVERAGE(OFFSET($H$3,0,0,'Données projet'!$E$9+1,1))</f>
        <v>432.80275651765203</v>
      </c>
      <c r="T66" s="62">
        <f t="shared" si="34"/>
        <v>203.89279893419919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8.6666666666666661</v>
      </c>
      <c r="AI66" s="14">
        <f>IF('Données projet'!$A$62&gt;35,AI65+AH66-AQ65,IF(A66&lt;'Données projet'!$A$62,$AF$205^A66,IF(A66='Données projet'!$A$62,'Données projet'!$B$62,AI65+AH66-AQ65)))</f>
        <v>275.99999999999994</v>
      </c>
      <c r="AJ66" s="14">
        <f>AI66*VLOOKUP('Données projet'!$B$10,Paramètres!$A$1:$I$89,3,0)*VLOOKUP('Données projet'!$B$10,Paramètres!$A$1:$I$89,5,0)</f>
        <v>185.14079999999998</v>
      </c>
      <c r="AK66" s="14">
        <f t="shared" si="35"/>
        <v>46.464038253813506</v>
      </c>
      <c r="AL66" s="22">
        <f t="shared" si="4"/>
        <v>403.3784266253918</v>
      </c>
      <c r="AM66" s="62">
        <f t="shared" si="5"/>
        <v>666.27476496879785</v>
      </c>
      <c r="AN66" s="62">
        <f ca="1">AVERAGE(OFFSET($AM$3,0,0,'Données projet'!$E$10+1,1))-AVERAGE(OFFSET($H$3,0,0,'Données projet'!$E$10+1,1))</f>
        <v>273.21861937609918</v>
      </c>
      <c r="AO66" s="62">
        <f t="shared" si="36"/>
        <v>268.83004886965318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16.289334835405707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16.289334835405707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275.99999999999994</v>
      </c>
      <c r="BE66" s="14">
        <f>BD66*VLOOKUP('Données projet'!$B$11,Paramètres!$A$1:$I$89,3,0)*VLOOKUP('Données projet'!$B$11,Paramètres!$A$1:$I$89,5,0)</f>
        <v>223.89119999999997</v>
      </c>
      <c r="BF66" s="14">
        <f t="shared" si="37"/>
        <v>54.95975389514863</v>
      </c>
      <c r="BG66" s="22">
        <f t="shared" si="7"/>
        <v>485.66541136738391</v>
      </c>
      <c r="BH66" s="62">
        <f t="shared" si="8"/>
        <v>748.56174971079008</v>
      </c>
      <c r="BI66" s="62">
        <f ca="1">AVERAGE(OFFSET($BH$3,0,0,'Données projet'!$E$11+1,1))-AVERAGE(OFFSET($H$3,0,0,'Données projet'!$E$11+1,1))</f>
        <v>319.01020001288975</v>
      </c>
      <c r="BJ66" s="62">
        <f t="shared" si="38"/>
        <v>312.22190035638084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19.698730498630159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19.698730498630159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275.99999999999994</v>
      </c>
      <c r="BZ66" s="14">
        <f>BY66*VLOOKUP('Données projet'!$B$12,Paramètres!$A$1:$I$89,3,0)*VLOOKUP('Données projet'!$B$12,Paramètres!$A$1:$I$89,5,0)</f>
        <v>297.08639999999991</v>
      </c>
      <c r="CA66" s="14">
        <f t="shared" si="39"/>
        <v>70.565314499829583</v>
      </c>
      <c r="CB66" s="22">
        <f t="shared" si="10"/>
        <v>640.32673608720302</v>
      </c>
      <c r="CC66" s="62">
        <f t="shared" si="11"/>
        <v>903.22307443060913</v>
      </c>
      <c r="CD66" s="62">
        <f ca="1">AVERAGE(OFFSET($CC$3,0,0,'Données projet'!$E$12+1,1))-AVERAGE(OFFSET($H$3,0,0,'Données projet'!$E$12+1,1))</f>
        <v>405.06394904053946</v>
      </c>
      <c r="CE66" s="62">
        <f t="shared" si="40"/>
        <v>393.75247087518198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21.206869880056487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21.206869880056487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6.125</v>
      </c>
      <c r="CT66" s="13">
        <f>IF('Données projet'!$A$140&gt;35,CT65+CS66-DB65,IF(A66&lt;'Données projet'!$A$140,$CQ$205^A66,IF(A66='Données projet'!$A$140,'Données projet'!$B$140,CT65+CS66-DB65)))</f>
        <v>135.37500000000006</v>
      </c>
      <c r="CU66" s="18">
        <f>CT66*VLOOKUP('Données projet'!$B$13,Paramètres!$A$1:$I$89,3,0)*VLOOKUP('Données projet'!$B$13,Paramètres!$A$1:$I$89,5,0)</f>
        <v>137.27025000000006</v>
      </c>
      <c r="CV66" s="14">
        <f t="shared" si="41"/>
        <v>35.67094325776285</v>
      </c>
      <c r="CW66" s="22">
        <f t="shared" si="13"/>
        <v>301.20591159060371</v>
      </c>
      <c r="CX66" s="62">
        <f t="shared" si="14"/>
        <v>564.10224993400982</v>
      </c>
      <c r="CY66" s="62">
        <f ca="1">AVERAGE(OFFSET($CX$3,0,0,'Données projet'!$E$13+1,1))-AVERAGE(OFFSET($H$3,0,0,'Données projet'!$E$13+1,1))</f>
        <v>474.46836359712393</v>
      </c>
      <c r="CZ66" s="62">
        <f t="shared" si="42"/>
        <v>221.28699636637722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4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6.125</v>
      </c>
      <c r="N67" s="14">
        <f>IF('Données projet'!$A$36&gt;35,N66+M67-V66,IF(A67&lt;'Données projet'!$A$36,$K$205^A67,IF(A67='Données projet'!$A$36,'Données projet'!$B$36,N66+M67-V66)))</f>
        <v>141.50000000000006</v>
      </c>
      <c r="O67" s="14">
        <f>N67*VLOOKUP('Données projet'!$B$9,Paramètres!$A$1:$I$89,3,0)*VLOOKUP('Données projet'!$B$9,Paramètres!$A$1:$I$89,5,0)</f>
        <v>128.02920000000003</v>
      </c>
      <c r="P67" s="14">
        <f t="shared" si="33"/>
        <v>33.540561231732092</v>
      </c>
      <c r="Q67" s="22">
        <f t="shared" ref="Q67:Q98" si="54">(O67+P67)*0.475*44/12</f>
        <v>281.40066747860004</v>
      </c>
      <c r="R67" s="62">
        <f t="shared" ref="R67:R130" si="55">Q67+(I67+J67)*44/12</f>
        <v>544.8250196381548</v>
      </c>
      <c r="S67" s="62">
        <f ca="1">AVERAGE(OFFSET($R$3,0,0,'Données projet'!$E$9+1,1))-AVERAGE(OFFSET($H$3,0,0,'Données projet'!$E$9+1,1))</f>
        <v>432.80275651765203</v>
      </c>
      <c r="T67" s="62">
        <f t="shared" si="34"/>
        <v>203.89279893419919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8.6666666666666661</v>
      </c>
      <c r="AI67" s="14">
        <f>IF('Données projet'!$A$62&gt;35,AI66+AH67-AQ66,IF(A67&lt;'Données projet'!$A$62,$AF$205^A67,IF(A67='Données projet'!$A$62,'Données projet'!$B$62,AI66+AH67-AQ66)))</f>
        <v>284.66666666666663</v>
      </c>
      <c r="AJ67" s="14">
        <f>AI67*VLOOKUP('Données projet'!$B$10,Paramètres!$A$1:$I$89,3,0)*VLOOKUP('Données projet'!$B$10,Paramètres!$A$1:$I$89,5,0)</f>
        <v>190.95439999999999</v>
      </c>
      <c r="AK67" s="14">
        <f t="shared" si="35"/>
        <v>47.750895568819445</v>
      </c>
      <c r="AL67" s="22">
        <f t="shared" si="4"/>
        <v>415.74505644902712</v>
      </c>
      <c r="AM67" s="62">
        <f t="shared" si="5"/>
        <v>679.16940860858188</v>
      </c>
      <c r="AN67" s="62">
        <f ca="1">AVERAGE(OFFSET($AM$3,0,0,'Données projet'!$E$10+1,1))-AVERAGE(OFFSET($H$3,0,0,'Données projet'!$E$10+1,1))</f>
        <v>273.21861937609918</v>
      </c>
      <c r="AO67" s="62">
        <f t="shared" si="36"/>
        <v>268.83004886965318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15.9699109147966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15.9699109147966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284.66666666666663</v>
      </c>
      <c r="BE67" s="14">
        <f>BD67*VLOOKUP('Données projet'!$B$11,Paramètres!$A$1:$I$89,3,0)*VLOOKUP('Données projet'!$B$11,Paramètres!$A$1:$I$89,5,0)</f>
        <v>230.92159999999998</v>
      </c>
      <c r="BF67" s="14">
        <f t="shared" si="37"/>
        <v>56.481906596223716</v>
      </c>
      <c r="BG67" s="22">
        <f t="shared" si="7"/>
        <v>500.5611073217562</v>
      </c>
      <c r="BH67" s="62">
        <f t="shared" si="8"/>
        <v>763.98545948131095</v>
      </c>
      <c r="BI67" s="62">
        <f ca="1">AVERAGE(OFFSET($BH$3,0,0,'Données projet'!$E$11+1,1))-AVERAGE(OFFSET($H$3,0,0,'Données projet'!$E$11+1,1))</f>
        <v>319.01020001288975</v>
      </c>
      <c r="BJ67" s="62">
        <f t="shared" si="38"/>
        <v>312.22190035638084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19.312450408591239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19.312450408591239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284.66666666666663</v>
      </c>
      <c r="BZ67" s="14">
        <f>BY67*VLOOKUP('Données projet'!$B$12,Paramètres!$A$1:$I$89,3,0)*VLOOKUP('Données projet'!$B$12,Paramètres!$A$1:$I$89,5,0)</f>
        <v>306.41519999999997</v>
      </c>
      <c r="CA67" s="14">
        <f t="shared" si="39"/>
        <v>72.519675217547672</v>
      </c>
      <c r="CB67" s="22">
        <f t="shared" si="10"/>
        <v>659.9782410038955</v>
      </c>
      <c r="CC67" s="62">
        <f t="shared" si="11"/>
        <v>923.40259316345032</v>
      </c>
      <c r="CD67" s="62">
        <f ca="1">AVERAGE(OFFSET($CC$3,0,0,'Données projet'!$E$12+1,1))-AVERAGE(OFFSET($H$3,0,0,'Données projet'!$E$12+1,1))</f>
        <v>405.06394904053946</v>
      </c>
      <c r="CE67" s="62">
        <f t="shared" si="40"/>
        <v>393.75247087518198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20.791016096621991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20.791016096621991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6.125</v>
      </c>
      <c r="CT67" s="13">
        <f>IF('Données projet'!$A$140&gt;35,CT66+CS67-DB66,IF(A67&lt;'Données projet'!$A$140,$CQ$205^A67,IF(A67='Données projet'!$A$140,'Données projet'!$B$140,CT66+CS67-DB66)))</f>
        <v>141.50000000000006</v>
      </c>
      <c r="CU67" s="18">
        <f>CT67*VLOOKUP('Données projet'!$B$13,Paramètres!$A$1:$I$89,3,0)*VLOOKUP('Données projet'!$B$13,Paramètres!$A$1:$I$89,5,0)</f>
        <v>143.48100000000005</v>
      </c>
      <c r="CV67" s="14">
        <f t="shared" si="41"/>
        <v>37.093310264070695</v>
      </c>
      <c r="CW67" s="22">
        <f t="shared" si="13"/>
        <v>314.50025704325651</v>
      </c>
      <c r="CX67" s="62">
        <f t="shared" si="14"/>
        <v>577.92460920281133</v>
      </c>
      <c r="CY67" s="62">
        <f ca="1">AVERAGE(OFFSET($CX$3,0,0,'Données projet'!$E$13+1,1))-AVERAGE(OFFSET($H$3,0,0,'Données projet'!$E$13+1,1))</f>
        <v>474.46836359712393</v>
      </c>
      <c r="CZ67" s="62">
        <f t="shared" si="42"/>
        <v>221.28699636637722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4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6.125</v>
      </c>
      <c r="N68" s="14">
        <f>IF('Données projet'!$A$36&gt;35,N67+M68-V67,IF(A68&lt;'Données projet'!$A$36,$K$205^A68,IF(A68='Données projet'!$A$36,'Données projet'!$B$36,N67+M68-V67)))</f>
        <v>147.62500000000006</v>
      </c>
      <c r="O68" s="14">
        <f>N68*VLOOKUP('Données projet'!$B$9,Paramètres!$A$1:$I$89,3,0)*VLOOKUP('Données projet'!$B$9,Paramètres!$A$1:$I$89,5,0)</f>
        <v>133.57110000000006</v>
      </c>
      <c r="P68" s="14">
        <f t="shared" si="33"/>
        <v>34.820229731627094</v>
      </c>
      <c r="Q68" s="22">
        <f t="shared" si="54"/>
        <v>293.28156594925059</v>
      </c>
      <c r="R68" s="62">
        <f t="shared" si="55"/>
        <v>557.22477206570579</v>
      </c>
      <c r="S68" s="62">
        <f ca="1">AVERAGE(OFFSET($R$3,0,0,'Données projet'!$E$9+1,1))-AVERAGE(OFFSET($H$3,0,0,'Données projet'!$E$9+1,1))</f>
        <v>432.80275651765203</v>
      </c>
      <c r="T68" s="62">
        <f t="shared" si="34"/>
        <v>203.89279893419919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8.6666666666666661</v>
      </c>
      <c r="AI68" s="14">
        <f>IF('Données projet'!$A$62&gt;35,AI67+AH68-AQ67,IF(A68&lt;'Données projet'!$A$62,$AF$205^A68,IF(A68='Données projet'!$A$62,'Données projet'!$B$62,AI67+AH68-AQ67)))</f>
        <v>293.33333333333331</v>
      </c>
      <c r="AJ68" s="14">
        <f>AI68*VLOOKUP('Données projet'!$B$10,Paramètres!$A$1:$I$89,3,0)*VLOOKUP('Données projet'!$B$10,Paramètres!$A$1:$I$89,5,0)</f>
        <v>196.768</v>
      </c>
      <c r="AK68" s="14">
        <f t="shared" si="35"/>
        <v>49.033199854505554</v>
      </c>
      <c r="AL68" s="22">
        <f t="shared" ref="AL68:AL131" si="58">(AJ68+AK68)*0.475*44/12</f>
        <v>428.10375641326391</v>
      </c>
      <c r="AM68" s="62">
        <f t="shared" ref="AM68:AM131" si="59">AL68+(AD68+AE68)*44/12</f>
        <v>692.04696252971917</v>
      </c>
      <c r="AN68" s="62">
        <f ca="1">AVERAGE(OFFSET($AM$3,0,0,'Données projet'!$E$10+1,1))-AVERAGE(OFFSET($H$3,0,0,'Données projet'!$E$10+1,1))</f>
        <v>273.21861937609918</v>
      </c>
      <c r="AO68" s="62">
        <f t="shared" si="36"/>
        <v>268.83004886965318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15.656750702441284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15.656750702441284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293.33333333333331</v>
      </c>
      <c r="BE68" s="14">
        <f>BD68*VLOOKUP('Données projet'!$B$11,Paramètres!$A$1:$I$89,3,0)*VLOOKUP('Données projet'!$B$11,Paramètres!$A$1:$I$89,5,0)</f>
        <v>237.952</v>
      </c>
      <c r="BF68" s="14">
        <f t="shared" si="37"/>
        <v>57.99867376947342</v>
      </c>
      <c r="BG68" s="22">
        <f t="shared" ref="BG68:BG131" si="61">(BE68+BF68)*0.475*44/12</f>
        <v>515.44742348183297</v>
      </c>
      <c r="BH68" s="62">
        <f t="shared" ref="BH68:BH131" si="62">BG68+(AY68+AZ68)*44/12</f>
        <v>779.39062959828811</v>
      </c>
      <c r="BI68" s="62">
        <f ca="1">AVERAGE(OFFSET($BH$3,0,0,'Données projet'!$E$11+1,1))-AVERAGE(OFFSET($H$3,0,0,'Données projet'!$E$11+1,1))</f>
        <v>319.01020001288975</v>
      </c>
      <c r="BJ68" s="62">
        <f t="shared" si="38"/>
        <v>312.22190035638084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18.933745035510391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18.933745035510391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293.33333333333331</v>
      </c>
      <c r="BZ68" s="14">
        <f>BY68*VLOOKUP('Données projet'!$B$12,Paramètres!$A$1:$I$89,3,0)*VLOOKUP('Données projet'!$B$12,Paramètres!$A$1:$I$89,5,0)</f>
        <v>315.74399999999997</v>
      </c>
      <c r="CA68" s="14">
        <f t="shared" si="39"/>
        <v>74.467121212440134</v>
      </c>
      <c r="CB68" s="22">
        <f t="shared" ref="CB68:CB131" si="64">(BZ68+CA68)*0.475*44/12</f>
        <v>679.61770277833318</v>
      </c>
      <c r="CC68" s="62">
        <f t="shared" ref="CC68:CC131" si="65">CB68+(BT68+BU68)*44/12</f>
        <v>943.56090889478833</v>
      </c>
      <c r="CD68" s="62">
        <f ca="1">AVERAGE(OFFSET($CC$3,0,0,'Données projet'!$E$12+1,1))-AVERAGE(OFFSET($H$3,0,0,'Données projet'!$E$12+1,1))</f>
        <v>405.06394904053946</v>
      </c>
      <c r="CE68" s="62">
        <f t="shared" si="40"/>
        <v>393.75247087518198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20.383316952234882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20.383316952234882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6.125</v>
      </c>
      <c r="CT68" s="13">
        <f>IF('Données projet'!$A$140&gt;35,CT67+CS68-DB67,IF(A68&lt;'Données projet'!$A$140,$CQ$205^A68,IF(A68='Données projet'!$A$140,'Données projet'!$B$140,CT67+CS68-DB67)))</f>
        <v>147.62500000000006</v>
      </c>
      <c r="CU68" s="18">
        <f>CT68*VLOOKUP('Données projet'!$B$13,Paramètres!$A$1:$I$89,3,0)*VLOOKUP('Données projet'!$B$13,Paramètres!$A$1:$I$89,5,0)</f>
        <v>149.69175000000007</v>
      </c>
      <c r="CV68" s="14">
        <f t="shared" si="41"/>
        <v>38.508526317666551</v>
      </c>
      <c r="CW68" s="22">
        <f t="shared" ref="CW68:CW131" si="67">(CU68+CV68)*0.475*44/12</f>
        <v>327.78214791993605</v>
      </c>
      <c r="CX68" s="62">
        <f t="shared" ref="CX68:CX131" si="68">CW68+(CO68+CP68)*44/12</f>
        <v>591.72535403639131</v>
      </c>
      <c r="CY68" s="62">
        <f ca="1">AVERAGE(OFFSET($CX$3,0,0,'Données projet'!$E$13+1,1))-AVERAGE(OFFSET($H$3,0,0,'Données projet'!$E$13+1,1))</f>
        <v>474.46836359712393</v>
      </c>
      <c r="CZ68" s="62">
        <f t="shared" si="42"/>
        <v>221.28699636637722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4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6.125</v>
      </c>
      <c r="N69" s="14">
        <f>IF('Données projet'!$A$36&gt;35,N68+M69-V68,IF(A69&lt;'Données projet'!$A$36,$K$205^A69,IF(A69='Données projet'!$A$36,'Données projet'!$B$36,N68+M69-V68)))</f>
        <v>153.75000000000006</v>
      </c>
      <c r="O69" s="14">
        <f>N69*VLOOKUP('Données projet'!$B$9,Paramètres!$A$1:$I$89,3,0)*VLOOKUP('Données projet'!$B$9,Paramètres!$A$1:$I$89,5,0)</f>
        <v>139.11300000000006</v>
      </c>
      <c r="P69" s="14">
        <f t="shared" ref="P69:P132" si="87">EXP(-1.0587+0.8836*LN(O69)+0.284)</f>
        <v>36.093731146019131</v>
      </c>
      <c r="Q69" s="22">
        <f t="shared" si="54"/>
        <v>305.15172341265009</v>
      </c>
      <c r="R69" s="62">
        <f t="shared" si="55"/>
        <v>569.60478252983717</v>
      </c>
      <c r="S69" s="62">
        <f ca="1">AVERAGE(OFFSET($R$3,0,0,'Données projet'!$E$9+1,1))-AVERAGE(OFFSET($H$3,0,0,'Données projet'!$E$9+1,1))</f>
        <v>432.80275651765203</v>
      </c>
      <c r="T69" s="62">
        <f t="shared" ref="T69:T132" si="88">$T$3</f>
        <v>203.89279893419919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8.6666666666666661</v>
      </c>
      <c r="AI69" s="14">
        <f>IF('Données projet'!$A$62&gt;35,AI68+AH69-AQ68,IF(A69&lt;'Données projet'!$A$62,$AF$205^A69,IF(A69='Données projet'!$A$62,'Données projet'!$B$62,AI68+AH69-AQ68)))</f>
        <v>302</v>
      </c>
      <c r="AJ69" s="14">
        <f>AI69*VLOOKUP('Données projet'!$B$10,Paramètres!$A$1:$I$89,3,0)*VLOOKUP('Données projet'!$B$10,Paramètres!$A$1:$I$89,5,0)</f>
        <v>202.58159999999998</v>
      </c>
      <c r="AK69" s="14">
        <f t="shared" ref="AK69:AK132" si="89">EXP(-1.0587+0.8836*LN(AJ69)+0.284)</f>
        <v>50.311101076764672</v>
      </c>
      <c r="AL69" s="22">
        <f t="shared" si="58"/>
        <v>440.4547877086984</v>
      </c>
      <c r="AM69" s="62">
        <f t="shared" si="59"/>
        <v>704.90784682588549</v>
      </c>
      <c r="AN69" s="62">
        <f ca="1">AVERAGE(OFFSET($AM$3,0,0,'Données projet'!$E$10+1,1))-AVERAGE(OFFSET($H$3,0,0,'Données projet'!$E$10+1,1))</f>
        <v>273.21861937609918</v>
      </c>
      <c r="AO69" s="62">
        <f t="shared" ref="AO69:AO132" si="90">$AO$3</f>
        <v>268.83004886965318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15.349731370841388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15.349731370841388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</v>
      </c>
      <c r="BE69" s="14">
        <f>BD69*VLOOKUP('Données projet'!$B$11,Paramètres!$A$1:$I$89,3,0)*VLOOKUP('Données projet'!$B$11,Paramètres!$A$1:$I$89,5,0)</f>
        <v>244.98239999999998</v>
      </c>
      <c r="BF69" s="14">
        <f t="shared" ref="BF69:BF132" si="91">EXP(-1.0587+0.8836*LN(BE69)+0.284)</f>
        <v>59.510232801299644</v>
      </c>
      <c r="BG69" s="22">
        <f t="shared" si="61"/>
        <v>530.32466879559684</v>
      </c>
      <c r="BH69" s="62">
        <f t="shared" si="62"/>
        <v>794.77772791278392</v>
      </c>
      <c r="BI69" s="62">
        <f ca="1">AVERAGE(OFFSET($BH$3,0,0,'Données projet'!$E$11+1,1))-AVERAGE(OFFSET($H$3,0,0,'Données projet'!$E$11+1,1))</f>
        <v>319.01020001288975</v>
      </c>
      <c r="BJ69" s="62">
        <f t="shared" ref="BJ69:BJ132" si="92">$BJ$3</f>
        <v>312.22190035638084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18.562465843808191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18.562465843808191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</v>
      </c>
      <c r="BZ69" s="14">
        <f>BY69*VLOOKUP('Données projet'!$B$12,Paramètres!$A$1:$I$89,3,0)*VLOOKUP('Données projet'!$B$12,Paramètres!$A$1:$I$89,5,0)</f>
        <v>325.07280000000003</v>
      </c>
      <c r="CA69" s="14">
        <f t="shared" ref="CA69:CA132" si="93">EXP(-1.0587+0.8836*LN(BZ69)+0.284)</f>
        <v>76.407880238933785</v>
      </c>
      <c r="CB69" s="22">
        <f t="shared" si="64"/>
        <v>699.24551808280967</v>
      </c>
      <c r="CC69" s="62">
        <f t="shared" si="65"/>
        <v>963.69857719999675</v>
      </c>
      <c r="CD69" s="62">
        <f ca="1">AVERAGE(OFFSET($CC$3,0,0,'Données projet'!$E$12+1,1))-AVERAGE(OFFSET($H$3,0,0,'Données projet'!$E$12+1,1))</f>
        <v>405.06394904053946</v>
      </c>
      <c r="CE69" s="62">
        <f t="shared" ref="CE69:CE132" si="94">$CE$3</f>
        <v>393.75247087518198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19.983612539397281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19.983612539397281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6.125</v>
      </c>
      <c r="CT69" s="13">
        <f>IF('Données projet'!$A$140&gt;35,CT68+CS69-DB68,IF(A69&lt;'Données projet'!$A$140,$CQ$205^A69,IF(A69='Données projet'!$A$140,'Données projet'!$B$140,CT68+CS69-DB68)))</f>
        <v>153.75000000000006</v>
      </c>
      <c r="CU69" s="18">
        <f>CT69*VLOOKUP('Données projet'!$B$13,Paramètres!$A$1:$I$89,3,0)*VLOOKUP('Données projet'!$B$13,Paramètres!$A$1:$I$89,5,0)</f>
        <v>155.90250000000006</v>
      </c>
      <c r="CV69" s="14">
        <f t="shared" ref="CV69:CV132" si="95">EXP(-1.0587+0.8836*LN(CU69)+0.284)</f>
        <v>39.916922043647588</v>
      </c>
      <c r="CW69" s="22">
        <f t="shared" si="67"/>
        <v>341.05216005935296</v>
      </c>
      <c r="CX69" s="62">
        <f t="shared" si="68"/>
        <v>605.50521917654009</v>
      </c>
      <c r="CY69" s="62">
        <f ca="1">AVERAGE(OFFSET($CX$3,0,0,'Données projet'!$E$13+1,1))-AVERAGE(OFFSET($H$3,0,0,'Données projet'!$E$13+1,1))</f>
        <v>474.46836359712393</v>
      </c>
      <c r="CZ69" s="62">
        <f t="shared" ref="CZ69:CZ132" si="96">$CZ$3</f>
        <v>221.28699636637722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4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6.125</v>
      </c>
      <c r="N70" s="14">
        <f>IF('Données projet'!$A$36&gt;35,N69+M70-V69,IF(A70&lt;'Données projet'!$A$36,$K$205^A70,IF(A70='Données projet'!$A$36,'Données projet'!$B$36,N69+M70-V69)))</f>
        <v>159.87500000000006</v>
      </c>
      <c r="O70" s="14">
        <f>N70*VLOOKUP('Données projet'!$B$9,Paramètres!$A$1:$I$89,3,0)*VLOOKUP('Données projet'!$B$9,Paramètres!$A$1:$I$89,5,0)</f>
        <v>144.65490000000003</v>
      </c>
      <c r="P70" s="14">
        <f t="shared" si="87"/>
        <v>37.361339265401291</v>
      </c>
      <c r="Q70" s="22">
        <f t="shared" si="54"/>
        <v>317.01161672057395</v>
      </c>
      <c r="R70" s="62">
        <f t="shared" si="55"/>
        <v>581.96568402879086</v>
      </c>
      <c r="S70" s="62">
        <f ca="1">AVERAGE(OFFSET($R$3,0,0,'Données projet'!$E$9+1,1))-AVERAGE(OFFSET($H$3,0,0,'Données projet'!$E$9+1,1))</f>
        <v>432.80275651765203</v>
      </c>
      <c r="T70" s="62">
        <f t="shared" si="88"/>
        <v>203.89279893419919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8.6666666666666661</v>
      </c>
      <c r="AI70" s="14">
        <f>IF('Données projet'!$A$62&gt;35,AI69+AH70-AQ69,IF(A70&lt;'Données projet'!$A$62,$AF$205^A70,IF(A70='Données projet'!$A$62,'Données projet'!$B$62,AI69+AH70-AQ69)))</f>
        <v>310.66666666666669</v>
      </c>
      <c r="AJ70" s="14">
        <f>AI70*VLOOKUP('Données projet'!$B$10,Paramètres!$A$1:$I$89,3,0)*VLOOKUP('Données projet'!$B$10,Paramètres!$A$1:$I$89,5,0)</f>
        <v>208.39520000000002</v>
      </c>
      <c r="AK70" s="14">
        <f t="shared" si="89"/>
        <v>51.584740104647317</v>
      </c>
      <c r="AL70" s="22">
        <f t="shared" si="58"/>
        <v>452.79839568226072</v>
      </c>
      <c r="AM70" s="62">
        <f t="shared" si="59"/>
        <v>717.75246299047762</v>
      </c>
      <c r="AN70" s="62">
        <f ca="1">AVERAGE(OFFSET($AM$3,0,0,'Données projet'!$E$10+1,1))-AVERAGE(OFFSET($H$3,0,0,'Données projet'!$E$10+1,1))</f>
        <v>273.21861937609918</v>
      </c>
      <c r="AO70" s="62">
        <f t="shared" si="90"/>
        <v>268.83004886965318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15.048732501070864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15.048732501070864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310.66666666666669</v>
      </c>
      <c r="BE70" s="14">
        <f>BD70*VLOOKUP('Données projet'!$B$11,Paramètres!$A$1:$I$89,3,0)*VLOOKUP('Données projet'!$B$11,Paramètres!$A$1:$I$89,5,0)</f>
        <v>252.01280000000003</v>
      </c>
      <c r="BF70" s="14">
        <f t="shared" si="91"/>
        <v>61.016750317950084</v>
      </c>
      <c r="BG70" s="22">
        <f t="shared" si="61"/>
        <v>545.19313347042976</v>
      </c>
      <c r="BH70" s="62">
        <f t="shared" si="62"/>
        <v>810.14720077864672</v>
      </c>
      <c r="BI70" s="62">
        <f ca="1">AVERAGE(OFFSET($BH$3,0,0,'Données projet'!$E$11+1,1))-AVERAGE(OFFSET($H$3,0,0,'Données projet'!$E$11+1,1))</f>
        <v>319.01020001288975</v>
      </c>
      <c r="BJ70" s="62">
        <f t="shared" si="92"/>
        <v>312.22190035638084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18.198467210597325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18.198467210597325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310.66666666666669</v>
      </c>
      <c r="BZ70" s="14">
        <f>BY70*VLOOKUP('Données projet'!$B$12,Paramètres!$A$1:$I$89,3,0)*VLOOKUP('Données projet'!$B$12,Paramètres!$A$1:$I$89,5,0)</f>
        <v>334.40159999999997</v>
      </c>
      <c r="CA70" s="14">
        <f t="shared" si="93"/>
        <v>78.342166236006221</v>
      </c>
      <c r="CB70" s="22">
        <f t="shared" si="64"/>
        <v>718.8620595277107</v>
      </c>
      <c r="CC70" s="62">
        <f t="shared" si="65"/>
        <v>983.81612683592766</v>
      </c>
      <c r="CD70" s="62">
        <f ca="1">AVERAGE(OFFSET($CC$3,0,0,'Données projet'!$E$12+1,1))-AVERAGE(OFFSET($H$3,0,0,'Données projet'!$E$12+1,1))</f>
        <v>405.06394904053946</v>
      </c>
      <c r="CE70" s="62">
        <f t="shared" si="94"/>
        <v>393.75247087518198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19.591746086299807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19.591746086299807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6.125</v>
      </c>
      <c r="CT70" s="13">
        <f>IF('Données projet'!$A$140&gt;35,CT69+CS70-DB69,IF(A70&lt;'Données projet'!$A$140,$CQ$205^A70,IF(A70='Données projet'!$A$140,'Données projet'!$B$140,CT69+CS70-DB69)))</f>
        <v>159.87500000000006</v>
      </c>
      <c r="CU70" s="18">
        <f>CT70*VLOOKUP('Données projet'!$B$13,Paramètres!$A$1:$I$89,3,0)*VLOOKUP('Données projet'!$B$13,Paramètres!$A$1:$I$89,5,0)</f>
        <v>162.11325000000008</v>
      </c>
      <c r="CV70" s="14">
        <f t="shared" si="95"/>
        <v>41.318800233479855</v>
      </c>
      <c r="CW70" s="22">
        <f t="shared" si="67"/>
        <v>354.31082082331091</v>
      </c>
      <c r="CX70" s="62">
        <f t="shared" si="68"/>
        <v>619.26488813152787</v>
      </c>
      <c r="CY70" s="62">
        <f ca="1">AVERAGE(OFFSET($CX$3,0,0,'Données projet'!$E$13+1,1))-AVERAGE(OFFSET($H$3,0,0,'Données projet'!$E$13+1,1))</f>
        <v>474.46836359712393</v>
      </c>
      <c r="CZ70" s="62">
        <f t="shared" si="96"/>
        <v>221.28699636637722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4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>
        <f>VLOOKUP(A71,'Données projet'!$A$35:$I$55,2,0)</f>
        <v>166</v>
      </c>
      <c r="L71" s="13">
        <f>VLOOKUP(A71,'Données projet'!$A$35:$I$55,9,0)</f>
        <v>6.125</v>
      </c>
      <c r="M71" s="13">
        <f t="array" ref="M71">INDEX(L:L,MIN(IF(ISNUMBER(L71:L267),ROW(L71:L267),"")))</f>
        <v>6.125</v>
      </c>
      <c r="N71" s="14">
        <f>IF('Données projet'!$A$36&gt;35,N70+M71-V70,IF(A71&lt;'Données projet'!$A$36,$K$205^A71,IF(A71='Données projet'!$A$36,'Données projet'!$B$36,N70+M71-V70)))</f>
        <v>166.00000000000006</v>
      </c>
      <c r="O71" s="14">
        <f>N71*VLOOKUP('Données projet'!$B$9,Paramètres!$A$1:$I$89,3,0)*VLOOKUP('Données projet'!$B$9,Paramètres!$A$1:$I$89,5,0)</f>
        <v>150.19680000000005</v>
      </c>
      <c r="P71" s="14">
        <f t="shared" si="87"/>
        <v>38.623305713694506</v>
      </c>
      <c r="Q71" s="22">
        <f t="shared" si="54"/>
        <v>328.86168411801799</v>
      </c>
      <c r="R71" s="62">
        <f t="shared" si="55"/>
        <v>594.30806824523688</v>
      </c>
      <c r="S71" s="62">
        <f ca="1">AVERAGE(OFFSET($R$3,0,0,'Données projet'!$E$9+1,1))-AVERAGE(OFFSET($H$3,0,0,'Données projet'!$E$9+1,1))</f>
        <v>432.80275651765203</v>
      </c>
      <c r="T71" s="62">
        <f t="shared" si="88"/>
        <v>203.89279893419919</v>
      </c>
      <c r="U71" s="16">
        <f>IF(ISNA(VLOOKUP(A71,'Données projet'!$A$35:$I$55,3,0)),0,VLOOKUP(A71,'Données projet'!$A$35:$I$55,3,0))</f>
        <v>3</v>
      </c>
      <c r="V71" s="16">
        <f>IF(ISNA(VLOOKUP(A71,'Données projet'!$A$35:$I$55,4,0)),0,VLOOKUP(A71,'Données projet'!$A$35:$I$55,4,0))</f>
        <v>31</v>
      </c>
      <c r="W71" s="17">
        <f>IF(ISNA(VLOOKUP(A71,'Données projet'!$A$35:$I$55,5,0)),0%,VLOOKUP(A71,'Données projet'!$A$35:$I$55,5,0)*VLOOKUP('Données projet'!$B$9,Paramètres!$A$1:$I$89,7,0))</f>
        <v>0.215</v>
      </c>
      <c r="X71" s="17">
        <f>IF(ISNA(VLOOKUP(A71,'Données projet'!$A$35:$I$55,6,0)),0%,VLOOKUP(A71,'Données projet'!$A$35:$I$55,6,0)*VLOOKUP('Données projet'!$B$9,Paramètres!$A$1:$I$89,7,0))</f>
        <v>0.17200000000000001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6.6665302800104191</v>
      </c>
      <c r="AA71" s="23">
        <f>EXP(-LN(2)/25)*AA70+(1-EXP(-LN(2)/25))/(LN(2)/25)*Calculateur!V71*Calculateur!X71*VLOOKUP('Données projet'!$B$9,Paramètres!$A$1:$I$89,3,0)*0.475*44/12</f>
        <v>5.3122252881206702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11.978755568131088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8.6666666666666661</v>
      </c>
      <c r="AI71" s="14">
        <f>IF('Données projet'!$A$62&gt;35,AI70+AH71-AQ70,IF(A71&lt;'Données projet'!$A$62,$AF$205^A71,IF(A71='Données projet'!$A$62,'Données projet'!$B$62,AI70+AH71-AQ70)))</f>
        <v>319.33333333333337</v>
      </c>
      <c r="AJ71" s="14">
        <f>AI71*VLOOKUP('Données projet'!$B$10,Paramètres!$A$1:$I$89,3,0)*VLOOKUP('Données projet'!$B$10,Paramètres!$A$1:$I$89,5,0)</f>
        <v>214.20880000000005</v>
      </c>
      <c r="AK71" s="14">
        <f t="shared" si="89"/>
        <v>52.854249500357014</v>
      </c>
      <c r="AL71" s="22">
        <f t="shared" si="58"/>
        <v>465.13481121312185</v>
      </c>
      <c r="AM71" s="62">
        <f t="shared" si="59"/>
        <v>730.58119534034063</v>
      </c>
      <c r="AN71" s="62">
        <f ca="1">AVERAGE(OFFSET($AM$3,0,0,'Données projet'!$E$10+1,1))-AVERAGE(OFFSET($H$3,0,0,'Données projet'!$E$10+1,1))</f>
        <v>273.21861937609918</v>
      </c>
      <c r="AO71" s="62">
        <f t="shared" si="90"/>
        <v>268.83004886965318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14.753636035545357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14.753636035545357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319.33333333333337</v>
      </c>
      <c r="BE71" s="14">
        <f>BD71*VLOOKUP('Données projet'!$B$11,Paramètres!$A$1:$I$89,3,0)*VLOOKUP('Données projet'!$B$11,Paramètres!$A$1:$I$89,5,0)</f>
        <v>259.04320000000007</v>
      </c>
      <c r="BF71" s="14">
        <f t="shared" si="91"/>
        <v>62.518383119960305</v>
      </c>
      <c r="BG71" s="22">
        <f t="shared" si="61"/>
        <v>560.05309060059756</v>
      </c>
      <c r="BH71" s="62">
        <f t="shared" si="62"/>
        <v>825.49947472781639</v>
      </c>
      <c r="BI71" s="62">
        <f ca="1">AVERAGE(OFFSET($BH$3,0,0,'Données projet'!$E$11+1,1))-AVERAGE(OFFSET($H$3,0,0,'Données projet'!$E$11+1,1))</f>
        <v>319.01020001288975</v>
      </c>
      <c r="BJ71" s="62">
        <f t="shared" si="92"/>
        <v>312.22190035638084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17.841606368566481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17.841606368566481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319.33333333333337</v>
      </c>
      <c r="BZ71" s="14">
        <f>BY71*VLOOKUP('Données projet'!$B$12,Paramètres!$A$1:$I$89,3,0)*VLOOKUP('Données projet'!$B$12,Paramètres!$A$1:$I$89,5,0)</f>
        <v>343.73040000000003</v>
      </c>
      <c r="CA71" s="14">
        <f t="shared" si="93"/>
        <v>80.270180526959379</v>
      </c>
      <c r="CB71" s="22">
        <f t="shared" si="64"/>
        <v>738.46767775112096</v>
      </c>
      <c r="CC71" s="62">
        <f t="shared" si="65"/>
        <v>1003.9140618783398</v>
      </c>
      <c r="CD71" s="62">
        <f ca="1">AVERAGE(OFFSET($CC$3,0,0,'Données projet'!$E$12+1,1))-AVERAGE(OFFSET($H$3,0,0,'Données projet'!$E$12+1,1))</f>
        <v>405.06394904053946</v>
      </c>
      <c r="CE71" s="62">
        <f t="shared" si="94"/>
        <v>393.75247087518198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19.207563895332637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19.207563895332637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>
        <f>VLOOKUP(A71,'Données projet'!$A$139:$I$159,2,0)</f>
        <v>166</v>
      </c>
      <c r="CR71" s="13">
        <f>VLOOKUP(A71,'Données projet'!$A$139:$I$159,9,0)</f>
        <v>6.125</v>
      </c>
      <c r="CS71" s="13">
        <f t="array" ref="CS71">INDEX(CR:CR,MIN(IF(ISNUMBER(CR71:CR267),ROW(CR71:CR267),"")))</f>
        <v>6.125</v>
      </c>
      <c r="CT71" s="13">
        <f>IF('Données projet'!$A$140&gt;35,CT70+CS71-DB70,IF(A71&lt;'Données projet'!$A$140,$CQ$205^A71,IF(A71='Données projet'!$A$140,'Données projet'!$B$140,CT70+CS71-DB70)))</f>
        <v>166.00000000000006</v>
      </c>
      <c r="CU71" s="18">
        <f>CT71*VLOOKUP('Données projet'!$B$13,Paramètres!$A$1:$I$89,3,0)*VLOOKUP('Données projet'!$B$13,Paramètres!$A$1:$I$89,5,0)</f>
        <v>168.32400000000007</v>
      </c>
      <c r="CV71" s="14">
        <f t="shared" si="95"/>
        <v>42.71443916408608</v>
      </c>
      <c r="CW71" s="22">
        <f t="shared" si="67"/>
        <v>367.55861487745005</v>
      </c>
      <c r="CX71" s="62">
        <f t="shared" si="68"/>
        <v>633.00499900466889</v>
      </c>
      <c r="CY71" s="62">
        <f ca="1">AVERAGE(OFFSET($CX$3,0,0,'Données projet'!$E$13+1,1))-AVERAGE(OFFSET($H$3,0,0,'Données projet'!$E$13+1,1))</f>
        <v>474.46836359712393</v>
      </c>
      <c r="CZ71" s="62">
        <f t="shared" si="96"/>
        <v>221.28699636637722</v>
      </c>
      <c r="DA71" s="16">
        <f>IF(ISNA(VLOOKUP(A71,'Données projet'!$A$139:$I$159,3,0)),0,VLOOKUP(A71,'Données projet'!$A$139:$I$159,3,0))</f>
        <v>3</v>
      </c>
      <c r="DB71" s="16">
        <f>IF(ISNA(VLOOKUP(A71,'Données projet'!$A$139:$I$159,4,0)),0,VLOOKUP(A71,'Données projet'!$A$139:$I$159,4,0))</f>
        <v>31</v>
      </c>
      <c r="DC71" s="17">
        <f>IF(ISNA(VLOOKUP(A71,'Données projet'!$A$139:$I$159,5,0)),0%,VLOOKUP(A71,'Données projet'!$A$139:$I$159,5,0)*VLOOKUP('Données projet'!$B$13,Paramètres!$A$1:$I$89,7,0))</f>
        <v>0.215</v>
      </c>
      <c r="DD71" s="17">
        <f>IF(ISNA(VLOOKUP(A71,'Données projet'!$A$139:$I$159,6,0)),0%,VLOOKUP(A71,'Données projet'!$A$139:$I$159,6,0)*VLOOKUP('Données projet'!$B$13,Paramètres!$A$1:$I$89,7,0))</f>
        <v>0.17200000000000001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7.4711115207013314</v>
      </c>
      <c r="DG71" s="23">
        <f>EXP(-LN(2)/25)*DG70+(1-EXP(-LN(2)/25))/(LN(2)/25)*Calculateur!DB71*Calculateur!DD71*VLOOKUP('Données projet'!$B$13,Paramètres!$A$1:$I$89,3,0)*0.475*44/12</f>
        <v>5.9533559263421303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13.424467447043462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4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5.9</v>
      </c>
      <c r="N72" s="14">
        <f>IF('Données projet'!$A$36&gt;35,N71+M72-V71,IF(A72&lt;'Données projet'!$A$36,$K$205^A72,IF(A72='Données projet'!$A$36,'Données projet'!$B$36,N71+M72-V71)))</f>
        <v>140.90000000000006</v>
      </c>
      <c r="O72" s="14">
        <f>N72*VLOOKUP('Données projet'!$B$9,Paramètres!$A$1:$I$89,3,0)*VLOOKUP('Données projet'!$B$9,Paramètres!$A$1:$I$89,5,0)</f>
        <v>127.48632000000006</v>
      </c>
      <c r="P72" s="14">
        <f t="shared" si="87"/>
        <v>33.414863287066048</v>
      </c>
      <c r="Q72" s="22">
        <f t="shared" si="54"/>
        <v>280.23622755830678</v>
      </c>
      <c r="R72" s="62">
        <f t="shared" si="55"/>
        <v>546.16638790837328</v>
      </c>
      <c r="S72" s="62">
        <f ca="1">AVERAGE(OFFSET($R$3,0,0,'Données projet'!$E$9+1,1))-AVERAGE(OFFSET($H$3,0,0,'Données projet'!$E$9+1,1))</f>
        <v>432.80275651765203</v>
      </c>
      <c r="T72" s="62">
        <f t="shared" si="88"/>
        <v>203.89279893419919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6.5358036874013834</v>
      </c>
      <c r="AA72" s="23">
        <f>EXP(-LN(2)/25)*AA71+(1-EXP(-LN(2)/25))/(LN(2)/25)*Calculateur!V72*Calculateur!X72*VLOOKUP('Données projet'!$B$9,Paramètres!$A$1:$I$89,3,0)*0.475*44/12</f>
        <v>5.1669622082592239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11.702765895660608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328</v>
      </c>
      <c r="AG72" s="13">
        <f>VLOOKUP(A72,'Données projet'!$A$61:$I$81,9,0)</f>
        <v>8.6666666666666661</v>
      </c>
      <c r="AH72" s="13">
        <f t="array" ref="AH72">INDEX(AG:AG,MIN(IF(ISNUMBER(AG72:AG268),ROW(AG72:AG268),"")))</f>
        <v>8.6666666666666661</v>
      </c>
      <c r="AI72" s="14">
        <f>IF('Données projet'!$A$62&gt;35,AI71+AH72-AQ71,IF(A72&lt;'Données projet'!$A$62,$AF$205^A72,IF(A72='Données projet'!$A$62,'Données projet'!$B$62,AI71+AH72-AQ71)))</f>
        <v>328.00000000000006</v>
      </c>
      <c r="AJ72" s="14">
        <f>AI72*VLOOKUP('Données projet'!$B$10,Paramètres!$A$1:$I$89,3,0)*VLOOKUP('Données projet'!$B$10,Paramètres!$A$1:$I$89,5,0)</f>
        <v>220.02240000000003</v>
      </c>
      <c r="AK72" s="14">
        <f t="shared" si="89"/>
        <v>54.11975422107303</v>
      </c>
      <c r="AL72" s="22">
        <f t="shared" si="58"/>
        <v>477.46425193503552</v>
      </c>
      <c r="AM72" s="62">
        <f t="shared" si="59"/>
        <v>743.39441228510213</v>
      </c>
      <c r="AN72" s="62">
        <f ca="1">AVERAGE(OFFSET($AM$3,0,0,'Données projet'!$E$10+1,1))-AVERAGE(OFFSET($H$3,0,0,'Données projet'!$E$10+1,1))</f>
        <v>273.21861937609918</v>
      </c>
      <c r="AO72" s="62">
        <f t="shared" si="90"/>
        <v>268.83004886965318</v>
      </c>
      <c r="AP72" s="16" t="str">
        <f>IF(ISNA(VLOOKUP(A72,'Données projet'!$A$61:$I$81,3,0)),0,VLOOKUP(A72,'Données projet'!$A$61:$I$81,3,0))</f>
        <v>CR</v>
      </c>
      <c r="AQ72" s="16">
        <f>IF(ISNA(VLOOKUP(A72,'Données projet'!$A$61:$I$81,4,0)),0,VLOOKUP(A72,'Données projet'!$A$61:$I$81,4,0))</f>
        <v>328</v>
      </c>
      <c r="AR72" s="17">
        <f>IF(ISNA(VLOOKUP(A72,'Données projet'!$A$61:$I$81,5,0)),0%,VLOOKUP(A72,'Données projet'!$A$61:$I$81,5,0)*VLOOKUP('Données projet'!$B$10,Paramètres!$A$1:$I$89,7,0))</f>
        <v>0.53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143.37529662960557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143.37529662960557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328.00000000000006</v>
      </c>
      <c r="BE72" s="14">
        <f>BD72*VLOOKUP('Données projet'!$B$11,Paramètres!$A$1:$I$89,3,0)*VLOOKUP('Données projet'!$B$11,Paramètres!$A$1:$I$89,5,0)</f>
        <v>266.07360000000006</v>
      </c>
      <c r="BF72" s="14">
        <f t="shared" si="91"/>
        <v>64.015279012301136</v>
      </c>
      <c r="BG72" s="22">
        <f t="shared" si="61"/>
        <v>574.90479761309109</v>
      </c>
      <c r="BH72" s="62">
        <f t="shared" si="62"/>
        <v>840.83495796315765</v>
      </c>
      <c r="BI72" s="62">
        <f ca="1">AVERAGE(OFFSET($BH$3,0,0,'Données projet'!$E$11+1,1))-AVERAGE(OFFSET($H$3,0,0,'Données projet'!$E$11+1,1))</f>
        <v>319.01020001288975</v>
      </c>
      <c r="BJ72" s="62">
        <f t="shared" si="92"/>
        <v>312.22190035638084</v>
      </c>
      <c r="BK72" s="16" t="str">
        <f>IF(ISNA(VLOOKUP(A72,'Données projet'!$A$87:$I$107,3,0)),0,VLOOKUP(A72,'Données projet'!$A$87:$I$107,3,0))</f>
        <v>CR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0.53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173.38407964510438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173.38407964510438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328.00000000000006</v>
      </c>
      <c r="BZ72" s="14">
        <f>BY72*VLOOKUP('Données projet'!$B$12,Paramètres!$A$1:$I$89,3,0)*VLOOKUP('Données projet'!$B$12,Paramètres!$A$1:$I$89,5,0)</f>
        <v>353.05920000000003</v>
      </c>
      <c r="CA72" s="14">
        <f t="shared" si="93"/>
        <v>82.192112885281944</v>
      </c>
      <c r="CB72" s="22">
        <f t="shared" si="64"/>
        <v>758.06270327519951</v>
      </c>
      <c r="CC72" s="62">
        <f t="shared" si="65"/>
        <v>1023.9928636252661</v>
      </c>
      <c r="CD72" s="62">
        <f ca="1">AVERAGE(OFFSET($CC$3,0,0,'Données projet'!$E$12+1,1))-AVERAGE(OFFSET($H$3,0,0,'Données projet'!$E$12+1,1))</f>
        <v>405.06394904053946</v>
      </c>
      <c r="CE72" s="62">
        <f t="shared" si="94"/>
        <v>393.75247087518198</v>
      </c>
      <c r="CF72" s="16" t="str">
        <f>IF(ISNA(VLOOKUP(A72,'Données projet'!$A$113:$I$133,3,0)),0,VLOOKUP(A72,'Données projet'!$A$113:$I$133,3,0))</f>
        <v>CR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0.43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186.65840504609019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186.65840504609019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5.9</v>
      </c>
      <c r="CT72" s="13">
        <f>IF('Données projet'!$A$140&gt;35,CT71+CS72-DB71,IF(A72&lt;'Données projet'!$A$140,$CQ$205^A72,IF(A72='Données projet'!$A$140,'Données projet'!$B$140,CT71+CS72-DB71)))</f>
        <v>140.90000000000006</v>
      </c>
      <c r="CU72" s="18">
        <f>CT72*VLOOKUP('Données projet'!$B$13,Paramètres!$A$1:$I$89,3,0)*VLOOKUP('Données projet'!$B$13,Paramètres!$A$1:$I$89,5,0)</f>
        <v>142.87260000000009</v>
      </c>
      <c r="CV72" s="14">
        <f t="shared" si="95"/>
        <v>36.95429789546899</v>
      </c>
      <c r="CW72" s="22">
        <f t="shared" si="67"/>
        <v>313.19851383460866</v>
      </c>
      <c r="CX72" s="62">
        <f t="shared" si="68"/>
        <v>579.12867418467522</v>
      </c>
      <c r="CY72" s="62">
        <f ca="1">AVERAGE(OFFSET($CX$3,0,0,'Données projet'!$E$13+1,1))-AVERAGE(OFFSET($H$3,0,0,'Données projet'!$E$13+1,1))</f>
        <v>474.46836359712393</v>
      </c>
      <c r="CZ72" s="62">
        <f t="shared" si="96"/>
        <v>221.28699636637722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7.324607580708447</v>
      </c>
      <c r="DG72" s="23">
        <f>EXP(-LN(2)/25)*DG71+(1-EXP(-LN(2)/25))/(LN(2)/25)*Calculateur!DB72*Calculateur!DD72*VLOOKUP('Données projet'!$B$13,Paramètres!$A$1:$I$89,3,0)*0.475*44/12</f>
        <v>5.7905610954629232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13.11516867617137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4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5.9</v>
      </c>
      <c r="N73" s="14">
        <f>IF('Données projet'!$A$36&gt;35,N72+M73-V72,IF(A73&lt;'Données projet'!$A$36,$K$205^A73,IF(A73='Données projet'!$A$36,'Données projet'!$B$36,N72+M73-V72)))</f>
        <v>146.80000000000007</v>
      </c>
      <c r="O73" s="14">
        <f>N73*VLOOKUP('Données projet'!$B$9,Paramètres!$A$1:$I$89,3,0)*VLOOKUP('Données projet'!$B$9,Paramètres!$A$1:$I$89,5,0)</f>
        <v>132.82464000000004</v>
      </c>
      <c r="P73" s="14">
        <f t="shared" si="87"/>
        <v>34.648231927248233</v>
      </c>
      <c r="Q73" s="22">
        <f t="shared" si="54"/>
        <v>291.68191860662404</v>
      </c>
      <c r="R73" s="62">
        <f t="shared" si="55"/>
        <v>558.08746274363352</v>
      </c>
      <c r="S73" s="62">
        <f ca="1">AVERAGE(OFFSET($R$3,0,0,'Données projet'!$E$9+1,1))-AVERAGE(OFFSET($H$3,0,0,'Données projet'!$E$9+1,1))</f>
        <v>432.80275651765203</v>
      </c>
      <c r="T73" s="62">
        <f t="shared" si="88"/>
        <v>203.89279893419919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6.4076405635380631</v>
      </c>
      <c r="AA73" s="23">
        <f>EXP(-LN(2)/25)*AA72+(1-EXP(-LN(2)/25))/(LN(2)/25)*Calculateur!V73*Calculateur!X73*VLOOKUP('Données projet'!$B$9,Paramètres!$A$1:$I$89,3,0)*0.475*44/12</f>
        <v>5.0256713549556418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11.433311918493704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3.813056537183002E-14</v>
      </c>
      <c r="AK73" s="14">
        <f t="shared" si="89"/>
        <v>6.4086286045526829E-13</v>
      </c>
      <c r="AL73" s="22">
        <f t="shared" si="58"/>
        <v>1.1825802166488628E-12</v>
      </c>
      <c r="AM73" s="62">
        <f t="shared" si="59"/>
        <v>266.40554413701068</v>
      </c>
      <c r="AN73" s="62">
        <f ca="1">AVERAGE(OFFSET($AM$3,0,0,'Données projet'!$E$10+1,1))-AVERAGE(OFFSET($H$3,0,0,'Données projet'!$E$10+1,1))</f>
        <v>273.21861937609918</v>
      </c>
      <c r="AO73" s="62">
        <f t="shared" si="90"/>
        <v>268.83004886965318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140.56379451299495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140.56379451299495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4.6111381379887463E-14</v>
      </c>
      <c r="BF73" s="14">
        <f t="shared" si="91"/>
        <v>7.5804141040779151E-13</v>
      </c>
      <c r="BG73" s="22">
        <f t="shared" si="61"/>
        <v>1.4005661123635408E-12</v>
      </c>
      <c r="BH73" s="62">
        <f t="shared" si="62"/>
        <v>266.40554413701091</v>
      </c>
      <c r="BI73" s="62">
        <f ca="1">AVERAGE(OFFSET($BH$3,0,0,'Données projet'!$E$11+1,1))-AVERAGE(OFFSET($H$3,0,0,'Données projet'!$E$11+1,1))</f>
        <v>319.01020001288975</v>
      </c>
      <c r="BJ73" s="62">
        <f t="shared" si="92"/>
        <v>312.22190035638084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169.98412359711014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169.98412359711014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6.1186256061773749E-14</v>
      </c>
      <c r="CA73" s="14">
        <f t="shared" si="93"/>
        <v>9.7328366192051127E-13</v>
      </c>
      <c r="CB73" s="22">
        <f t="shared" si="64"/>
        <v>1.8017017738191463E-12</v>
      </c>
      <c r="CC73" s="62">
        <f t="shared" si="65"/>
        <v>266.4055441370113</v>
      </c>
      <c r="CD73" s="62">
        <f ca="1">AVERAGE(OFFSET($CC$3,0,0,'Données projet'!$E$12+1,1))-AVERAGE(OFFSET($H$3,0,0,'Données projet'!$E$12+1,1))</f>
        <v>405.06394904053946</v>
      </c>
      <c r="CE73" s="62">
        <f t="shared" si="94"/>
        <v>393.75247087518198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182.99814757352166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182.99814757352166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5.9</v>
      </c>
      <c r="CT73" s="13">
        <f>IF('Données projet'!$A$140&gt;35,CT72+CS73-DB72,IF(A73&lt;'Données projet'!$A$140,$CQ$205^A73,IF(A73='Données projet'!$A$140,'Données projet'!$B$140,CT72+CS73-DB72)))</f>
        <v>146.80000000000007</v>
      </c>
      <c r="CU73" s="18">
        <f>CT73*VLOOKUP('Données projet'!$B$13,Paramètres!$A$1:$I$89,3,0)*VLOOKUP('Données projet'!$B$13,Paramètres!$A$1:$I$89,5,0)</f>
        <v>148.85520000000008</v>
      </c>
      <c r="CV73" s="14">
        <f t="shared" si="95"/>
        <v>38.318309824910699</v>
      </c>
      <c r="CW73" s="22">
        <f t="shared" si="67"/>
        <v>325.99386294505291</v>
      </c>
      <c r="CX73" s="62">
        <f t="shared" si="68"/>
        <v>592.39940708206245</v>
      </c>
      <c r="CY73" s="62">
        <f ca="1">AVERAGE(OFFSET($CX$3,0,0,'Données projet'!$E$13+1,1))-AVERAGE(OFFSET($H$3,0,0,'Données projet'!$E$13+1,1))</f>
        <v>474.46836359712393</v>
      </c>
      <c r="CZ73" s="62">
        <f t="shared" si="96"/>
        <v>221.28699636637722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7.1809764936202427</v>
      </c>
      <c r="DG73" s="23">
        <f>EXP(-LN(2)/25)*DG72+(1-EXP(-LN(2)/25))/(LN(2)/25)*Calculateur!DB73*Calculateur!DD73*VLOOKUP('Données projet'!$B$13,Paramètres!$A$1:$I$89,3,0)*0.475*44/12</f>
        <v>5.6322178977951163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12.813194391415358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4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5.9</v>
      </c>
      <c r="N74" s="14">
        <f>IF('Données projet'!$A$36&gt;35,N73+M74-V73,IF(A74&lt;'Données projet'!$A$36,$K$205^A74,IF(A74='Données projet'!$A$36,'Données projet'!$B$36,N73+M74-V73)))</f>
        <v>152.70000000000007</v>
      </c>
      <c r="O74" s="14">
        <f>N74*VLOOKUP('Données projet'!$B$9,Paramètres!$A$1:$I$89,3,0)*VLOOKUP('Données projet'!$B$9,Paramètres!$A$1:$I$89,5,0)</f>
        <v>138.16296000000006</v>
      </c>
      <c r="P74" s="14">
        <f t="shared" si="87"/>
        <v>35.87584245850627</v>
      </c>
      <c r="Q74" s="22">
        <f t="shared" si="54"/>
        <v>303.11758094856515</v>
      </c>
      <c r="R74" s="62">
        <f t="shared" si="55"/>
        <v>569.9902620266131</v>
      </c>
      <c r="S74" s="62">
        <f ca="1">AVERAGE(OFFSET($R$3,0,0,'Données projet'!$E$9+1,1))-AVERAGE(OFFSET($H$3,0,0,'Données projet'!$E$9+1,1))</f>
        <v>432.80275651765203</v>
      </c>
      <c r="T74" s="62">
        <f t="shared" si="88"/>
        <v>203.89279893419919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6.281990640361915</v>
      </c>
      <c r="AA74" s="23">
        <f>EXP(-LN(2)/25)*AA73+(1-EXP(-LN(2)/25))/(LN(2)/25)*Calculateur!V74*Calculateur!X74*VLOOKUP('Données projet'!$B$9,Paramètres!$A$1:$I$89,3,0)*0.475*44/12</f>
        <v>4.8882441074658098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11.170234747827724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3.813056537183002E-14</v>
      </c>
      <c r="AK74" s="14">
        <f t="shared" si="89"/>
        <v>6.4086286045526829E-13</v>
      </c>
      <c r="AL74" s="22">
        <f t="shared" si="58"/>
        <v>1.1825802166488628E-12</v>
      </c>
      <c r="AM74" s="62">
        <f t="shared" si="59"/>
        <v>266.87268107804914</v>
      </c>
      <c r="AN74" s="62">
        <f ca="1">AVERAGE(OFFSET($AM$3,0,0,'Données projet'!$E$10+1,1))-AVERAGE(OFFSET($H$3,0,0,'Données projet'!$E$10+1,1))</f>
        <v>273.21861937609918</v>
      </c>
      <c r="AO74" s="62">
        <f t="shared" si="90"/>
        <v>268.83004886965318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137.80742423804409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137.80742423804409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4.6111381379887463E-14</v>
      </c>
      <c r="BF74" s="14">
        <f t="shared" si="91"/>
        <v>7.5804141040779151E-13</v>
      </c>
      <c r="BG74" s="22">
        <f t="shared" si="61"/>
        <v>1.4005661123635408E-12</v>
      </c>
      <c r="BH74" s="62">
        <f t="shared" si="62"/>
        <v>266.87268107804937</v>
      </c>
      <c r="BI74" s="62">
        <f ca="1">AVERAGE(OFFSET($BH$3,0,0,'Données projet'!$E$11+1,1))-AVERAGE(OFFSET($H$3,0,0,'Données projet'!$E$11+1,1))</f>
        <v>319.01020001288975</v>
      </c>
      <c r="BJ74" s="62">
        <f t="shared" si="92"/>
        <v>312.22190035638084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166.65083861344866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166.65083861344866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6.1186256061773749E-14</v>
      </c>
      <c r="CA74" s="14">
        <f t="shared" si="93"/>
        <v>9.7328366192051127E-13</v>
      </c>
      <c r="CB74" s="22">
        <f t="shared" si="64"/>
        <v>1.8017017738191463E-12</v>
      </c>
      <c r="CC74" s="62">
        <f t="shared" si="65"/>
        <v>266.87268107804977</v>
      </c>
      <c r="CD74" s="62">
        <f ca="1">AVERAGE(OFFSET($CC$3,0,0,'Données projet'!$E$12+1,1))-AVERAGE(OFFSET($H$3,0,0,'Données projet'!$E$12+1,1))</f>
        <v>405.06394904053946</v>
      </c>
      <c r="CE74" s="62">
        <f t="shared" si="94"/>
        <v>393.75247087518198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179.40966551745359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179.40966551745359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5.9</v>
      </c>
      <c r="CT74" s="13">
        <f>IF('Données projet'!$A$140&gt;35,CT73+CS74-DB73,IF(A74&lt;'Données projet'!$A$140,$CQ$205^A74,IF(A74='Données projet'!$A$140,'Données projet'!$B$140,CT73+CS74-DB73)))</f>
        <v>152.70000000000007</v>
      </c>
      <c r="CU74" s="18">
        <f>CT74*VLOOKUP('Données projet'!$B$13,Paramètres!$A$1:$I$89,3,0)*VLOOKUP('Données projet'!$B$13,Paramètres!$A$1:$I$89,5,0)</f>
        <v>154.8378000000001</v>
      </c>
      <c r="CV74" s="14">
        <f t="shared" si="95"/>
        <v>39.6759537237347</v>
      </c>
      <c r="CW74" s="22">
        <f t="shared" si="67"/>
        <v>338.77812106883806</v>
      </c>
      <c r="CX74" s="62">
        <f t="shared" si="68"/>
        <v>605.65080214688601</v>
      </c>
      <c r="CY74" s="62">
        <f ca="1">AVERAGE(OFFSET($CX$3,0,0,'Données projet'!$E$13+1,1))-AVERAGE(OFFSET($H$3,0,0,'Données projet'!$E$13+1,1))</f>
        <v>474.46836359712393</v>
      </c>
      <c r="CZ74" s="62">
        <f t="shared" si="96"/>
        <v>221.28699636637722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7.0401619245435256</v>
      </c>
      <c r="DG74" s="23">
        <f>EXP(-LN(2)/25)*DG73+(1-EXP(-LN(2)/25))/(LN(2)/25)*Calculateur!DB74*Calculateur!DD74*VLOOKUP('Données projet'!$B$13,Paramètres!$A$1:$I$89,3,0)*0.475*44/12</f>
        <v>5.4782046031944418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12.518366527737967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4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5.9</v>
      </c>
      <c r="N75" s="14">
        <f>IF('Données projet'!$A$36&gt;35,N74+M75-V74,IF(A75&lt;'Données projet'!$A$36,$K$205^A75,IF(A75='Données projet'!$A$36,'Données projet'!$B$36,N74+M75-V74)))</f>
        <v>158.60000000000008</v>
      </c>
      <c r="O75" s="14">
        <f>N75*VLOOKUP('Données projet'!$B$9,Paramètres!$A$1:$I$89,3,0)*VLOOKUP('Données projet'!$B$9,Paramètres!$A$1:$I$89,5,0)</f>
        <v>143.50128000000007</v>
      </c>
      <c r="P75" s="14">
        <f t="shared" si="87"/>
        <v>37.097942826522427</v>
      </c>
      <c r="Q75" s="22">
        <f t="shared" si="54"/>
        <v>314.54364642285998</v>
      </c>
      <c r="R75" s="62">
        <f t="shared" si="55"/>
        <v>581.87536066038115</v>
      </c>
      <c r="S75" s="62">
        <f ca="1">AVERAGE(OFFSET($R$3,0,0,'Données projet'!$E$9+1,1))-AVERAGE(OFFSET($H$3,0,0,'Données projet'!$E$9+1,1))</f>
        <v>432.80275651765203</v>
      </c>
      <c r="T75" s="62">
        <f t="shared" si="88"/>
        <v>203.89279893419919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6.1588046355403661</v>
      </c>
      <c r="AA75" s="23">
        <f>EXP(-LN(2)/25)*AA74+(1-EXP(-LN(2)/25))/(LN(2)/25)*Calculateur!V75*Calculateur!X75*VLOOKUP('Données projet'!$B$9,Paramètres!$A$1:$I$89,3,0)*0.475*44/12</f>
        <v>4.7545748152855722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10.913379450825939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3.813056537183002E-14</v>
      </c>
      <c r="AK75" s="14">
        <f t="shared" si="89"/>
        <v>6.4086286045526829E-13</v>
      </c>
      <c r="AL75" s="22">
        <f t="shared" si="58"/>
        <v>1.1825802166488628E-12</v>
      </c>
      <c r="AM75" s="62">
        <f t="shared" si="59"/>
        <v>267.33171423752231</v>
      </c>
      <c r="AN75" s="62">
        <f ca="1">AVERAGE(OFFSET($AM$3,0,0,'Données projet'!$E$10+1,1))-AVERAGE(OFFSET($H$3,0,0,'Données projet'!$E$10+1,1))</f>
        <v>273.21861937609918</v>
      </c>
      <c r="AO75" s="62">
        <f t="shared" si="90"/>
        <v>268.83004886965318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135.10510470296518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135.10510470296518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4.6111381379887463E-14</v>
      </c>
      <c r="BF75" s="14">
        <f t="shared" si="91"/>
        <v>7.5804141040779151E-13</v>
      </c>
      <c r="BG75" s="22">
        <f t="shared" si="61"/>
        <v>1.4005661123635408E-12</v>
      </c>
      <c r="BH75" s="62">
        <f t="shared" si="62"/>
        <v>267.33171423752253</v>
      </c>
      <c r="BI75" s="62">
        <f ca="1">AVERAGE(OFFSET($BH$3,0,0,'Données projet'!$E$11+1,1))-AVERAGE(OFFSET($H$3,0,0,'Données projet'!$E$11+1,1))</f>
        <v>319.01020001288975</v>
      </c>
      <c r="BJ75" s="62">
        <f t="shared" si="92"/>
        <v>312.22190035638084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163.38291731521369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163.38291731521369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6.1186256061773749E-14</v>
      </c>
      <c r="CA75" s="14">
        <f t="shared" si="93"/>
        <v>9.7328366192051127E-13</v>
      </c>
      <c r="CB75" s="22">
        <f t="shared" si="64"/>
        <v>1.8017017738191463E-12</v>
      </c>
      <c r="CC75" s="62">
        <f t="shared" si="65"/>
        <v>267.33171423752293</v>
      </c>
      <c r="CD75" s="62">
        <f ca="1">AVERAGE(OFFSET($CC$3,0,0,'Données projet'!$E$12+1,1))-AVERAGE(OFFSET($H$3,0,0,'Données projet'!$E$12+1,1))</f>
        <v>405.06394904053946</v>
      </c>
      <c r="CE75" s="62">
        <f t="shared" si="94"/>
        <v>393.75247087518198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175.89155140574707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175.89155140574707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5.9</v>
      </c>
      <c r="CT75" s="13">
        <f>IF('Données projet'!$A$140&gt;35,CT74+CS75-DB74,IF(A75&lt;'Données projet'!$A$140,$CQ$205^A75,IF(A75='Données projet'!$A$140,'Données projet'!$B$140,CT74+CS75-DB74)))</f>
        <v>158.60000000000008</v>
      </c>
      <c r="CU75" s="18">
        <f>CT75*VLOOKUP('Données projet'!$B$13,Paramètres!$A$1:$I$89,3,0)*VLOOKUP('Données projet'!$B$13,Paramètres!$A$1:$I$89,5,0)</f>
        <v>160.82040000000009</v>
      </c>
      <c r="CV75" s="14">
        <f t="shared" si="95"/>
        <v>41.027503801011612</v>
      </c>
      <c r="CW75" s="22">
        <f t="shared" si="67"/>
        <v>351.55176578676202</v>
      </c>
      <c r="CX75" s="62">
        <f t="shared" si="68"/>
        <v>618.88348002428313</v>
      </c>
      <c r="CY75" s="62">
        <f ca="1">AVERAGE(OFFSET($CX$3,0,0,'Données projet'!$E$13+1,1))-AVERAGE(OFFSET($H$3,0,0,'Données projet'!$E$13+1,1))</f>
        <v>474.46836359712393</v>
      </c>
      <c r="CZ75" s="62">
        <f t="shared" si="96"/>
        <v>221.28699636637722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6.9021086432779963</v>
      </c>
      <c r="DG75" s="23">
        <f>EXP(-LN(2)/25)*DG74+(1-EXP(-LN(2)/25))/(LN(2)/25)*Calculateur!DB75*Calculateur!DD75*VLOOKUP('Données projet'!$B$13,Paramètres!$A$1:$I$89,3,0)*0.475*44/12</f>
        <v>5.3284028102338299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12.230511453511827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4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5.9</v>
      </c>
      <c r="N76" s="14">
        <f>IF('Données projet'!$A$36&gt;35,N75+M76-V75,IF(A76&lt;'Données projet'!$A$36,$K$205^A76,IF(A76='Données projet'!$A$36,'Données projet'!$B$36,N75+M76-V75)))</f>
        <v>164.50000000000009</v>
      </c>
      <c r="O76" s="14">
        <f>N76*VLOOKUP('Données projet'!$B$9,Paramètres!$A$1:$I$89,3,0)*VLOOKUP('Données projet'!$B$9,Paramètres!$A$1:$I$89,5,0)</f>
        <v>148.83960000000008</v>
      </c>
      <c r="P76" s="14">
        <f t="shared" si="87"/>
        <v>38.314761484407519</v>
      </c>
      <c r="Q76" s="22">
        <f t="shared" si="54"/>
        <v>325.9605129186765</v>
      </c>
      <c r="R76" s="62">
        <f t="shared" si="55"/>
        <v>593.74329711659834</v>
      </c>
      <c r="S76" s="62">
        <f ca="1">AVERAGE(OFFSET($R$3,0,0,'Données projet'!$E$9+1,1))-AVERAGE(OFFSET($H$3,0,0,'Données projet'!$E$9+1,1))</f>
        <v>432.80275651765203</v>
      </c>
      <c r="T76" s="62">
        <f t="shared" si="88"/>
        <v>203.89279893419919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6.0380342331373233</v>
      </c>
      <c r="AA76" s="23">
        <f>EXP(-LN(2)/25)*AA75+(1-EXP(-LN(2)/25))/(LN(2)/25)*Calculateur!V76*Calculateur!X76*VLOOKUP('Données projet'!$B$9,Paramètres!$A$1:$I$89,3,0)*0.475*44/12</f>
        <v>4.6245607169293654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10.662594950066689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3.813056537183002E-14</v>
      </c>
      <c r="AK76" s="14">
        <f t="shared" si="89"/>
        <v>6.4086286045526829E-13</v>
      </c>
      <c r="AL76" s="22">
        <f t="shared" si="58"/>
        <v>1.1825802166488628E-12</v>
      </c>
      <c r="AM76" s="62">
        <f t="shared" si="59"/>
        <v>267.78278419792298</v>
      </c>
      <c r="AN76" s="62">
        <f ca="1">AVERAGE(OFFSET($AM$3,0,0,'Données projet'!$E$10+1,1))-AVERAGE(OFFSET($H$3,0,0,'Données projet'!$E$10+1,1))</f>
        <v>273.21861937609918</v>
      </c>
      <c r="AO76" s="62">
        <f t="shared" si="90"/>
        <v>268.83004886965318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132.45577600571698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132.45577600571698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4.6111381379887463E-14</v>
      </c>
      <c r="BF76" s="14">
        <f t="shared" si="91"/>
        <v>7.5804141040779151E-13</v>
      </c>
      <c r="BG76" s="22">
        <f t="shared" si="61"/>
        <v>1.4005661123635408E-12</v>
      </c>
      <c r="BH76" s="62">
        <f t="shared" si="62"/>
        <v>267.78278419792321</v>
      </c>
      <c r="BI76" s="62">
        <f ca="1">AVERAGE(OFFSET($BH$3,0,0,'Données projet'!$E$11+1,1))-AVERAGE(OFFSET($H$3,0,0,'Données projet'!$E$11+1,1))</f>
        <v>319.01020001288975</v>
      </c>
      <c r="BJ76" s="62">
        <f t="shared" si="92"/>
        <v>312.22190035638084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160.17907796040191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160.17907796040191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6.1186256061773749E-14</v>
      </c>
      <c r="CA76" s="14">
        <f t="shared" si="93"/>
        <v>9.7328366192051127E-13</v>
      </c>
      <c r="CB76" s="22">
        <f t="shared" si="64"/>
        <v>1.8017017738191463E-12</v>
      </c>
      <c r="CC76" s="62">
        <f t="shared" si="65"/>
        <v>267.7827841979236</v>
      </c>
      <c r="CD76" s="62">
        <f ca="1">AVERAGE(OFFSET($CC$3,0,0,'Données projet'!$E$12+1,1))-AVERAGE(OFFSET($H$3,0,0,'Données projet'!$E$12+1,1))</f>
        <v>405.06394904053946</v>
      </c>
      <c r="CE76" s="62">
        <f t="shared" si="94"/>
        <v>393.75247087518198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172.44242536593339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172.44242536593339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5.9</v>
      </c>
      <c r="CT76" s="13">
        <f>IF('Données projet'!$A$140&gt;35,CT75+CS76-DB75,IF(A76&lt;'Données projet'!$A$140,$CQ$205^A76,IF(A76='Données projet'!$A$140,'Données projet'!$B$140,CT75+CS76-DB75)))</f>
        <v>164.50000000000009</v>
      </c>
      <c r="CU76" s="18">
        <f>CT76*VLOOKUP('Données projet'!$B$13,Paramètres!$A$1:$I$89,3,0)*VLOOKUP('Données projet'!$B$13,Paramètres!$A$1:$I$89,5,0)</f>
        <v>166.80300000000008</v>
      </c>
      <c r="CV76" s="14">
        <f t="shared" si="95"/>
        <v>42.373212708510138</v>
      </c>
      <c r="CW76" s="22">
        <f t="shared" si="67"/>
        <v>364.3152371339886</v>
      </c>
      <c r="CX76" s="62">
        <f t="shared" si="68"/>
        <v>632.09802133191033</v>
      </c>
      <c r="CY76" s="62">
        <f ca="1">AVERAGE(OFFSET($CX$3,0,0,'Données projet'!$E$13+1,1))-AVERAGE(OFFSET($H$3,0,0,'Données projet'!$E$13+1,1))</f>
        <v>474.46836359712393</v>
      </c>
      <c r="CZ76" s="62">
        <f t="shared" si="96"/>
        <v>221.28699636637722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6.7667625026538971</v>
      </c>
      <c r="DG76" s="23">
        <f>EXP(-LN(2)/25)*DG75+(1-EXP(-LN(2)/25))/(LN(2)/25)*Calculateur!DB76*Calculateur!DD76*VLOOKUP('Données projet'!$B$13,Paramètres!$A$1:$I$89,3,0)*0.475*44/12</f>
        <v>5.1826973551794602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11.949459857833357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4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5.9</v>
      </c>
      <c r="N77" s="14">
        <f>IF('Données projet'!$A$36&gt;35,N76+M77-V76,IF(A77&lt;'Données projet'!$A$36,$K$205^A77,IF(A77='Données projet'!$A$36,'Données projet'!$B$36,N76+M77-V76)))</f>
        <v>170.40000000000009</v>
      </c>
      <c r="O77" s="14">
        <f>N77*VLOOKUP('Données projet'!$B$9,Paramètres!$A$1:$I$89,3,0)*VLOOKUP('Données projet'!$B$9,Paramètres!$A$1:$I$89,5,0)</f>
        <v>154.17792000000009</v>
      </c>
      <c r="P77" s="14">
        <f t="shared" si="87"/>
        <v>39.526509568829269</v>
      </c>
      <c r="Q77" s="22">
        <f t="shared" si="54"/>
        <v>337.3685481657111</v>
      </c>
      <c r="R77" s="62">
        <f t="shared" si="55"/>
        <v>605.59457726866196</v>
      </c>
      <c r="S77" s="62">
        <f ca="1">AVERAGE(OFFSET($R$3,0,0,'Données projet'!$E$9+1,1))-AVERAGE(OFFSET($H$3,0,0,'Données projet'!$E$9+1,1))</f>
        <v>432.80275651765203</v>
      </c>
      <c r="T77" s="62">
        <f t="shared" si="88"/>
        <v>203.89279893419919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5.919632064662733</v>
      </c>
      <c r="AA77" s="23">
        <f>EXP(-LN(2)/25)*AA76+(1-EXP(-LN(2)/25))/(LN(2)/25)*Calculateur!V77*Calculateur!X77*VLOOKUP('Données projet'!$B$9,Paramètres!$A$1:$I$89,3,0)*0.475*44/12</f>
        <v>4.4981018609298538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10.417733925592586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3.813056537183002E-14</v>
      </c>
      <c r="AK77" s="14">
        <f t="shared" si="89"/>
        <v>6.4086286045526829E-13</v>
      </c>
      <c r="AL77" s="22">
        <f t="shared" si="58"/>
        <v>1.1825802166488628E-12</v>
      </c>
      <c r="AM77" s="62">
        <f t="shared" si="59"/>
        <v>268.22602910295205</v>
      </c>
      <c r="AN77" s="62">
        <f ca="1">AVERAGE(OFFSET($AM$3,0,0,'Données projet'!$E$10+1,1))-AVERAGE(OFFSET($H$3,0,0,'Données projet'!$E$10+1,1))</f>
        <v>273.21861937609918</v>
      </c>
      <c r="AO77" s="62">
        <f t="shared" si="90"/>
        <v>268.83004886965318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129.85839902829088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129.85839902829088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4.6111381379887463E-14</v>
      </c>
      <c r="BF77" s="14">
        <f t="shared" si="91"/>
        <v>7.5804141040779151E-13</v>
      </c>
      <c r="BG77" s="22">
        <f t="shared" si="61"/>
        <v>1.4005661123635408E-12</v>
      </c>
      <c r="BH77" s="62">
        <f t="shared" si="62"/>
        <v>268.22602910295228</v>
      </c>
      <c r="BI77" s="62">
        <f ca="1">AVERAGE(OFFSET($BH$3,0,0,'Données projet'!$E$11+1,1))-AVERAGE(OFFSET($H$3,0,0,'Données projet'!$E$11+1,1))</f>
        <v>319.01020001288975</v>
      </c>
      <c r="BJ77" s="62">
        <f t="shared" si="92"/>
        <v>312.22190035638084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157.03806394118897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157.03806394118897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6.1186256061773749E-14</v>
      </c>
      <c r="CA77" s="14">
        <f t="shared" si="93"/>
        <v>9.7328366192051127E-13</v>
      </c>
      <c r="CB77" s="22">
        <f t="shared" si="64"/>
        <v>1.8017017738191463E-12</v>
      </c>
      <c r="CC77" s="62">
        <f t="shared" si="65"/>
        <v>268.22602910295268</v>
      </c>
      <c r="CD77" s="62">
        <f ca="1">AVERAGE(OFFSET($CC$3,0,0,'Données projet'!$E$12+1,1))-AVERAGE(OFFSET($H$3,0,0,'Données projet'!$E$12+1,1))</f>
        <v>405.06394904053946</v>
      </c>
      <c r="CE77" s="62">
        <f t="shared" si="94"/>
        <v>393.75247087518198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169.0609345840013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169.0609345840013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5.9</v>
      </c>
      <c r="CT77" s="13">
        <f>IF('Données projet'!$A$140&gt;35,CT76+CS77-DB76,IF(A77&lt;'Données projet'!$A$140,$CQ$205^A77,IF(A77='Données projet'!$A$140,'Données projet'!$B$140,CT76+CS77-DB76)))</f>
        <v>170.40000000000009</v>
      </c>
      <c r="CU77" s="18">
        <f>CT77*VLOOKUP('Données projet'!$B$13,Paramètres!$A$1:$I$89,3,0)*VLOOKUP('Données projet'!$B$13,Paramètres!$A$1:$I$89,5,0)</f>
        <v>172.7856000000001</v>
      </c>
      <c r="CV77" s="14">
        <f t="shared" si="95"/>
        <v>43.713313947329745</v>
      </c>
      <c r="CW77" s="22">
        <f t="shared" si="67"/>
        <v>377.06894179159946</v>
      </c>
      <c r="CX77" s="62">
        <f t="shared" si="68"/>
        <v>645.29497089455026</v>
      </c>
      <c r="CY77" s="62">
        <f ca="1">AVERAGE(OFFSET($CX$3,0,0,'Données projet'!$E$13+1,1))-AVERAGE(OFFSET($H$3,0,0,'Données projet'!$E$13+1,1))</f>
        <v>474.46836359712393</v>
      </c>
      <c r="CZ77" s="62">
        <f t="shared" si="96"/>
        <v>221.28699636637722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6.634070417294442</v>
      </c>
      <c r="DG77" s="23">
        <f>EXP(-LN(2)/25)*DG76+(1-EXP(-LN(2)/25))/(LN(2)/25)*Calculateur!DB77*Calculateur!DD77*VLOOKUP('Données projet'!$B$13,Paramètres!$A$1:$I$89,3,0)*0.475*44/12</f>
        <v>5.0409762234558695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11.675046640750312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4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5.9</v>
      </c>
      <c r="N78" s="14">
        <f>IF('Données projet'!$A$36&gt;35,N77+M78-V77,IF(A78&lt;'Données projet'!$A$36,$K$205^A78,IF(A78='Données projet'!$A$36,'Données projet'!$B$36,N77+M78-V77)))</f>
        <v>176.3000000000001</v>
      </c>
      <c r="O78" s="14">
        <f>N78*VLOOKUP('Données projet'!$B$9,Paramètres!$A$1:$I$89,3,0)*VLOOKUP('Données projet'!$B$9,Paramètres!$A$1:$I$89,5,0)</f>
        <v>159.51624000000007</v>
      </c>
      <c r="P78" s="14">
        <f t="shared" si="87"/>
        <v>40.733382766285203</v>
      </c>
      <c r="Q78" s="22">
        <f t="shared" si="54"/>
        <v>348.76809298461347</v>
      </c>
      <c r="R78" s="62">
        <f t="shared" si="55"/>
        <v>617.42967768443827</v>
      </c>
      <c r="S78" s="62">
        <f ca="1">AVERAGE(OFFSET($R$3,0,0,'Données projet'!$E$9+1,1))-AVERAGE(OFFSET($H$3,0,0,'Données projet'!$E$9+1,1))</f>
        <v>432.80275651765203</v>
      </c>
      <c r="T78" s="62">
        <f t="shared" si="88"/>
        <v>203.89279893419919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5.8035516904937374</v>
      </c>
      <c r="AA78" s="23">
        <f>EXP(-LN(2)/25)*AA77+(1-EXP(-LN(2)/25))/(LN(2)/25)*Calculateur!V78*Calculateur!X78*VLOOKUP('Données projet'!$B$9,Paramètres!$A$1:$I$89,3,0)*0.475*44/12</f>
        <v>4.3751010289978307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10.178652719491568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3.813056537183002E-14</v>
      </c>
      <c r="AK78" s="14">
        <f t="shared" si="89"/>
        <v>6.4086286045526829E-13</v>
      </c>
      <c r="AL78" s="22">
        <f t="shared" si="58"/>
        <v>1.1825802166488628E-12</v>
      </c>
      <c r="AM78" s="62">
        <f t="shared" si="59"/>
        <v>268.66158469982599</v>
      </c>
      <c r="AN78" s="62">
        <f ca="1">AVERAGE(OFFSET($AM$3,0,0,'Données projet'!$E$10+1,1))-AVERAGE(OFFSET($H$3,0,0,'Données projet'!$E$10+1,1))</f>
        <v>273.21861937609918</v>
      </c>
      <c r="AO78" s="62">
        <f t="shared" si="90"/>
        <v>268.83004886965318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127.31195502914858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127.31195502914858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4.6111381379887463E-14</v>
      </c>
      <c r="BF78" s="14">
        <f t="shared" si="91"/>
        <v>7.5804141040779151E-13</v>
      </c>
      <c r="BG78" s="22">
        <f t="shared" si="61"/>
        <v>1.4005661123635408E-12</v>
      </c>
      <c r="BH78" s="62">
        <f t="shared" si="62"/>
        <v>268.66158469982622</v>
      </c>
      <c r="BI78" s="62">
        <f ca="1">AVERAGE(OFFSET($BH$3,0,0,'Données projet'!$E$11+1,1))-AVERAGE(OFFSET($H$3,0,0,'Données projet'!$E$11+1,1))</f>
        <v>319.01020001288975</v>
      </c>
      <c r="BJ78" s="62">
        <f t="shared" si="92"/>
        <v>312.22190035638084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153.9586432910634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153.9586432910634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6.1186256061773749E-14</v>
      </c>
      <c r="CA78" s="14">
        <f t="shared" si="93"/>
        <v>9.7328366192051127E-13</v>
      </c>
      <c r="CB78" s="22">
        <f t="shared" si="64"/>
        <v>1.8017017738191463E-12</v>
      </c>
      <c r="CC78" s="62">
        <f t="shared" si="65"/>
        <v>268.66158469982662</v>
      </c>
      <c r="CD78" s="62">
        <f ca="1">AVERAGE(OFFSET($CC$3,0,0,'Données projet'!$E$12+1,1))-AVERAGE(OFFSET($H$3,0,0,'Données projet'!$E$12+1,1))</f>
        <v>405.06394904053946</v>
      </c>
      <c r="CE78" s="62">
        <f t="shared" si="94"/>
        <v>393.75247087518198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165.74575277379716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165.74575277379716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5.9</v>
      </c>
      <c r="CT78" s="13">
        <f>IF('Données projet'!$A$140&gt;35,CT77+CS78-DB77,IF(A78&lt;'Données projet'!$A$140,$CQ$205^A78,IF(A78='Données projet'!$A$140,'Données projet'!$B$140,CT77+CS78-DB77)))</f>
        <v>176.3000000000001</v>
      </c>
      <c r="CU78" s="18">
        <f>CT78*VLOOKUP('Données projet'!$B$13,Paramètres!$A$1:$I$89,3,0)*VLOOKUP('Données projet'!$B$13,Paramètres!$A$1:$I$89,5,0)</f>
        <v>178.76820000000012</v>
      </c>
      <c r="CV78" s="14">
        <f t="shared" si="95"/>
        <v>45.048023931856548</v>
      </c>
      <c r="CW78" s="22">
        <f t="shared" si="67"/>
        <v>389.81325668131694</v>
      </c>
      <c r="CX78" s="62">
        <f t="shared" si="68"/>
        <v>658.47484138114169</v>
      </c>
      <c r="CY78" s="62">
        <f ca="1">AVERAGE(OFFSET($CX$3,0,0,'Données projet'!$E$13+1,1))-AVERAGE(OFFSET($H$3,0,0,'Données projet'!$E$13+1,1))</f>
        <v>474.46836359712393</v>
      </c>
      <c r="CZ78" s="62">
        <f t="shared" si="96"/>
        <v>221.28699636637722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6.5039803427947058</v>
      </c>
      <c r="DG78" s="23">
        <f>EXP(-LN(2)/25)*DG77+(1-EXP(-LN(2)/25))/(LN(2)/25)*Calculateur!DB78*Calculateur!DD78*VLOOKUP('Données projet'!$B$13,Paramètres!$A$1:$I$89,3,0)*0.475*44/12</f>
        <v>4.9031304635320501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11.407110806326756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4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182.2000000000001</v>
      </c>
      <c r="O79" s="14">
        <f>N79*VLOOKUP('Données projet'!$B$9,Paramètres!$A$1:$I$89,3,0)*VLOOKUP('Données projet'!$B$9,Paramètres!$A$1:$I$89,5,0)</f>
        <v>164.85456000000011</v>
      </c>
      <c r="P79" s="14">
        <f t="shared" si="87"/>
        <v>41.935562922532533</v>
      </c>
      <c r="Q79" s="22">
        <f t="shared" si="54"/>
        <v>360.15946409007773</v>
      </c>
      <c r="R79" s="62">
        <f t="shared" si="55"/>
        <v>629.24904847092716</v>
      </c>
      <c r="S79" s="62">
        <f ca="1">AVERAGE(OFFSET($R$3,0,0,'Données projet'!$E$9+1,1))-AVERAGE(OFFSET($H$3,0,0,'Données projet'!$E$9+1,1))</f>
        <v>432.80275651765203</v>
      </c>
      <c r="T79" s="62">
        <f t="shared" si="88"/>
        <v>203.89279893419919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5.6897475816601588</v>
      </c>
      <c r="AA79" s="23">
        <f>EXP(-LN(2)/25)*AA78+(1-EXP(-LN(2)/25))/(LN(2)/25)*Calculateur!V79*Calculateur!X79*VLOOKUP('Données projet'!$B$9,Paramètres!$A$1:$I$89,3,0)*0.475*44/12</f>
        <v>4.2554636612833212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9.9452112429434791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3.813056537183002E-14</v>
      </c>
      <c r="AK79" s="14">
        <f t="shared" si="89"/>
        <v>6.4086286045526829E-13</v>
      </c>
      <c r="AL79" s="22">
        <f t="shared" si="58"/>
        <v>1.1825802166488628E-12</v>
      </c>
      <c r="AM79" s="62">
        <f t="shared" si="59"/>
        <v>269.08958438085062</v>
      </c>
      <c r="AN79" s="62">
        <f ca="1">AVERAGE(OFFSET($AM$3,0,0,'Données projet'!$E$10+1,1))-AVERAGE(OFFSET($H$3,0,0,'Données projet'!$E$10+1,1))</f>
        <v>273.21861937609918</v>
      </c>
      <c r="AO79" s="62">
        <f t="shared" si="90"/>
        <v>268.83004886965318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124.81544524365198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124.81544524365198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4.6111381379887463E-14</v>
      </c>
      <c r="BF79" s="14">
        <f t="shared" si="91"/>
        <v>7.5804141040779151E-13</v>
      </c>
      <c r="BG79" s="22">
        <f t="shared" si="61"/>
        <v>1.4005661123635408E-12</v>
      </c>
      <c r="BH79" s="62">
        <f t="shared" si="62"/>
        <v>269.08958438085085</v>
      </c>
      <c r="BI79" s="62">
        <f ca="1">AVERAGE(OFFSET($BH$3,0,0,'Données projet'!$E$11+1,1))-AVERAGE(OFFSET($H$3,0,0,'Données projet'!$E$11+1,1))</f>
        <v>319.01020001288975</v>
      </c>
      <c r="BJ79" s="62">
        <f t="shared" si="92"/>
        <v>312.22190035638084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150.93960820162565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150.93960820162565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6.1186256061773749E-14</v>
      </c>
      <c r="CA79" s="14">
        <f t="shared" si="93"/>
        <v>9.7328366192051127E-13</v>
      </c>
      <c r="CB79" s="22">
        <f t="shared" si="64"/>
        <v>1.8017017738191463E-12</v>
      </c>
      <c r="CC79" s="62">
        <f t="shared" si="65"/>
        <v>269.08958438085125</v>
      </c>
      <c r="CD79" s="62">
        <f ca="1">AVERAGE(OFFSET($CC$3,0,0,'Données projet'!$E$12+1,1))-AVERAGE(OFFSET($H$3,0,0,'Données projet'!$E$12+1,1))</f>
        <v>405.06394904053946</v>
      </c>
      <c r="CE79" s="62">
        <f t="shared" si="94"/>
        <v>393.75247087518198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162.4955796568299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162.4955796568299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5.9</v>
      </c>
      <c r="CT79" s="13">
        <f>IF('Données projet'!$A$140&gt;35,CT78+CS79-DB78,IF(A79&lt;'Données projet'!$A$140,$CQ$205^A79,IF(A79='Données projet'!$A$140,'Données projet'!$B$140,CT78+CS79-DB78)))</f>
        <v>182.2000000000001</v>
      </c>
      <c r="CU79" s="18">
        <f>CT79*VLOOKUP('Données projet'!$B$13,Paramètres!$A$1:$I$89,3,0)*VLOOKUP('Données projet'!$B$13,Paramètres!$A$1:$I$89,5,0)</f>
        <v>184.75080000000011</v>
      </c>
      <c r="CV79" s="14">
        <f t="shared" si="95"/>
        <v>46.377543769670162</v>
      </c>
      <c r="CW79" s="22">
        <f t="shared" si="67"/>
        <v>402.54853206550905</v>
      </c>
      <c r="CX79" s="62">
        <f t="shared" si="68"/>
        <v>671.63811644635848</v>
      </c>
      <c r="CY79" s="62">
        <f ca="1">AVERAGE(OFFSET($CX$3,0,0,'Données projet'!$E$13+1,1))-AVERAGE(OFFSET($H$3,0,0,'Données projet'!$E$13+1,1))</f>
        <v>474.46836359712393</v>
      </c>
      <c r="CZ79" s="62">
        <f t="shared" si="96"/>
        <v>221.28699636637722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6.3764412553087988</v>
      </c>
      <c r="DG79" s="23">
        <f>EXP(-LN(2)/25)*DG78+(1-EXP(-LN(2)/25))/(LN(2)/25)*Calculateur!DB79*Calculateur!DD79*VLOOKUP('Données projet'!$B$13,Paramètres!$A$1:$I$89,3,0)*0.475*44/12</f>
        <v>4.7690541031623415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11.145495358471141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4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188.10000000000011</v>
      </c>
      <c r="O80" s="14">
        <f>N80*VLOOKUP('Données projet'!$B$9,Paramètres!$A$1:$I$89,3,0)*VLOOKUP('Données projet'!$B$9,Paramètres!$A$1:$I$89,5,0)</f>
        <v>170.19288000000009</v>
      </c>
      <c r="P80" s="14">
        <f t="shared" si="87"/>
        <v>43.133219437696241</v>
      </c>
      <c r="Q80" s="22">
        <f t="shared" si="54"/>
        <v>371.5429565206544</v>
      </c>
      <c r="R80" s="62">
        <f t="shared" si="55"/>
        <v>641.05311574492669</v>
      </c>
      <c r="S80" s="62">
        <f ca="1">AVERAGE(OFFSET($R$3,0,0,'Données projet'!$E$9+1,1))-AVERAGE(OFFSET($H$3,0,0,'Données projet'!$E$9+1,1))</f>
        <v>432.80275651765203</v>
      </c>
      <c r="T80" s="62">
        <f t="shared" si="88"/>
        <v>203.89279893419919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5.5781751019871537</v>
      </c>
      <c r="AA80" s="23">
        <f>EXP(-LN(2)/25)*AA79+(1-EXP(-LN(2)/25))/(LN(2)/25)*Calculateur!V80*Calculateur!X80*VLOOKUP('Données projet'!$B$9,Paramètres!$A$1:$I$89,3,0)*0.475*44/12</f>
        <v>4.1390977836804206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9.7172728856675743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3.813056537183002E-14</v>
      </c>
      <c r="AK80" s="14">
        <f t="shared" si="89"/>
        <v>6.4086286045526829E-13</v>
      </c>
      <c r="AL80" s="22">
        <f t="shared" si="58"/>
        <v>1.1825802166488628E-12</v>
      </c>
      <c r="AM80" s="62">
        <f t="shared" si="59"/>
        <v>269.51015922427348</v>
      </c>
      <c r="AN80" s="62">
        <f ca="1">AVERAGE(OFFSET($AM$3,0,0,'Données projet'!$E$10+1,1))-AVERAGE(OFFSET($H$3,0,0,'Données projet'!$E$10+1,1))</f>
        <v>273.21861937609918</v>
      </c>
      <c r="AO80" s="62">
        <f t="shared" si="90"/>
        <v>268.83004886965318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122.36789049232836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122.36789049232836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4.6111381379887463E-14</v>
      </c>
      <c r="BF80" s="14">
        <f t="shared" si="91"/>
        <v>7.5804141040779151E-13</v>
      </c>
      <c r="BG80" s="22">
        <f t="shared" si="61"/>
        <v>1.4005661123635408E-12</v>
      </c>
      <c r="BH80" s="62">
        <f t="shared" si="62"/>
        <v>269.51015922427371</v>
      </c>
      <c r="BI80" s="62">
        <f ca="1">AVERAGE(OFFSET($BH$3,0,0,'Données projet'!$E$11+1,1))-AVERAGE(OFFSET($H$3,0,0,'Données projet'!$E$11+1,1))</f>
        <v>319.01020001288975</v>
      </c>
      <c r="BJ80" s="62">
        <f t="shared" si="92"/>
        <v>312.22190035638084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147.9797745488622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147.9797745488622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6.1186256061773749E-14</v>
      </c>
      <c r="CA80" s="14">
        <f t="shared" si="93"/>
        <v>9.7328366192051127E-13</v>
      </c>
      <c r="CB80" s="22">
        <f t="shared" si="64"/>
        <v>1.8017017738191463E-12</v>
      </c>
      <c r="CC80" s="62">
        <f t="shared" si="65"/>
        <v>269.5101592242741</v>
      </c>
      <c r="CD80" s="62">
        <f ca="1">AVERAGE(OFFSET($CC$3,0,0,'Données projet'!$E$12+1,1))-AVERAGE(OFFSET($H$3,0,0,'Données projet'!$E$12+1,1))</f>
        <v>405.06394904053946</v>
      </c>
      <c r="CE80" s="62">
        <f t="shared" si="94"/>
        <v>393.75247087518198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159.30914045227652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159.30914045227652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5.9</v>
      </c>
      <c r="CT80" s="13">
        <f>IF('Données projet'!$A$140&gt;35,CT79+CS80-DB79,IF(A80&lt;'Données projet'!$A$140,$CQ$205^A80,IF(A80='Données projet'!$A$140,'Données projet'!$B$140,CT79+CS80-DB79)))</f>
        <v>188.10000000000011</v>
      </c>
      <c r="CU80" s="18">
        <f>CT80*VLOOKUP('Données projet'!$B$13,Paramètres!$A$1:$I$89,3,0)*VLOOKUP('Données projet'!$B$13,Paramètres!$A$1:$I$89,5,0)</f>
        <v>190.73340000000013</v>
      </c>
      <c r="CV80" s="14">
        <f t="shared" si="95"/>
        <v>47.702060804427603</v>
      </c>
      <c r="CW80" s="22">
        <f t="shared" si="67"/>
        <v>415.27509423437829</v>
      </c>
      <c r="CX80" s="62">
        <f t="shared" si="68"/>
        <v>684.78525345865057</v>
      </c>
      <c r="CY80" s="62">
        <f ca="1">AVERAGE(OFFSET($CX$3,0,0,'Données projet'!$E$13+1,1))-AVERAGE(OFFSET($H$3,0,0,'Données projet'!$E$13+1,1))</f>
        <v>474.46836359712393</v>
      </c>
      <c r="CZ80" s="62">
        <f t="shared" si="96"/>
        <v>221.28699636637722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6.2514031315373275</v>
      </c>
      <c r="DG80" s="23">
        <f>EXP(-LN(2)/25)*DG79+(1-EXP(-LN(2)/25))/(LN(2)/25)*Calculateur!DB80*Calculateur!DD80*VLOOKUP('Données projet'!$B$13,Paramètres!$A$1:$I$89,3,0)*0.475*44/12</f>
        <v>4.6386440679177117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10.89004719945504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4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194</v>
      </c>
      <c r="L81" s="13">
        <f>VLOOKUP(A81,'Données projet'!$A$35:$I$55,9,0)</f>
        <v>5.9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194.00000000000011</v>
      </c>
      <c r="O81" s="14">
        <f>N81*VLOOKUP('Données projet'!$B$9,Paramètres!$A$1:$I$89,3,0)*VLOOKUP('Données projet'!$B$9,Paramètres!$A$1:$I$89,5,0)</f>
        <v>175.5312000000001</v>
      </c>
      <c r="P81" s="14">
        <f t="shared" si="87"/>
        <v>44.326510481422531</v>
      </c>
      <c r="Q81" s="22">
        <f t="shared" si="54"/>
        <v>382.91884575514445</v>
      </c>
      <c r="R81" s="62">
        <f t="shared" si="55"/>
        <v>652.84228378957073</v>
      </c>
      <c r="S81" s="62">
        <f ca="1">AVERAGE(OFFSET($R$3,0,0,'Données projet'!$E$9+1,1))-AVERAGE(OFFSET($H$3,0,0,'Données projet'!$E$9+1,1))</f>
        <v>432.80275651765203</v>
      </c>
      <c r="T81" s="62">
        <f t="shared" si="88"/>
        <v>203.89279893419919</v>
      </c>
      <c r="U81" s="16">
        <f>IF(ISNA(VLOOKUP(A81,'Données projet'!$A$35:$I$55,3,0)),0,VLOOKUP(A81,'Données projet'!$A$35:$I$55,3,0))</f>
        <v>4</v>
      </c>
      <c r="V81" s="16">
        <f>IF(ISNA(VLOOKUP(A81,'Données projet'!$A$35:$I$55,4,0)),0,VLOOKUP(A81,'Données projet'!$A$35:$I$55,4,0))</f>
        <v>32</v>
      </c>
      <c r="W81" s="17">
        <f>IF(ISNA(VLOOKUP(A81,'Données projet'!$A$35:$I$55,5,0)),0%,VLOOKUP(A81,'Données projet'!$A$35:$I$55,5,0)*VLOOKUP('Données projet'!$B$9,Paramètres!$A$1:$I$89,7,0))</f>
        <v>0.215</v>
      </c>
      <c r="X81" s="17">
        <f>IF(ISNA(VLOOKUP(A81,'Données projet'!$A$35:$I$55,6,0)),0%,VLOOKUP(A81,'Données projet'!$A$35:$I$55,6,0)*VLOOKUP('Données projet'!$B$9,Paramètres!$A$1:$I$89,7,0))</f>
        <v>0.17200000000000001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12.350370134469767</v>
      </c>
      <c r="AA81" s="23">
        <f>EXP(-LN(2)/25)*AA80+(1-EXP(-LN(2)/25))/(LN(2)/25)*Calculateur!V81*Calculateur!X81*VLOOKUP('Données projet'!$B$9,Paramètres!$A$1:$I$89,3,0)*0.475*44/12</f>
        <v>9.5095013313090675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21.859871465778834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3.813056537183002E-14</v>
      </c>
      <c r="AK81" s="14">
        <f t="shared" si="89"/>
        <v>6.4086286045526829E-13</v>
      </c>
      <c r="AL81" s="22">
        <f t="shared" si="58"/>
        <v>1.1825802166488628E-12</v>
      </c>
      <c r="AM81" s="62">
        <f t="shared" si="59"/>
        <v>269.92343803442742</v>
      </c>
      <c r="AN81" s="62">
        <f ca="1">AVERAGE(OFFSET($AM$3,0,0,'Données projet'!$E$10+1,1))-AVERAGE(OFFSET($H$3,0,0,'Données projet'!$E$10+1,1))</f>
        <v>273.21861937609918</v>
      </c>
      <c r="AO81" s="62">
        <f t="shared" si="90"/>
        <v>268.83004886965318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119.9683307968172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119.9683307968172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4.6111381379887463E-14</v>
      </c>
      <c r="BF81" s="14">
        <f t="shared" si="91"/>
        <v>7.5804141040779151E-13</v>
      </c>
      <c r="BG81" s="22">
        <f t="shared" si="61"/>
        <v>1.4005661123635408E-12</v>
      </c>
      <c r="BH81" s="62">
        <f t="shared" si="62"/>
        <v>269.92343803442765</v>
      </c>
      <c r="BI81" s="62">
        <f ca="1">AVERAGE(OFFSET($BH$3,0,0,'Données projet'!$E$11+1,1))-AVERAGE(OFFSET($H$3,0,0,'Données projet'!$E$11+1,1))</f>
        <v>319.01020001288975</v>
      </c>
      <c r="BJ81" s="62">
        <f t="shared" si="92"/>
        <v>312.22190035638084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145.07798142870917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145.07798142870917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6.1186256061773749E-14</v>
      </c>
      <c r="CA81" s="14">
        <f t="shared" si="93"/>
        <v>9.7328366192051127E-13</v>
      </c>
      <c r="CB81" s="22">
        <f t="shared" si="64"/>
        <v>1.8017017738191463E-12</v>
      </c>
      <c r="CC81" s="62">
        <f t="shared" si="65"/>
        <v>269.92343803442805</v>
      </c>
      <c r="CD81" s="62">
        <f ca="1">AVERAGE(OFFSET($CC$3,0,0,'Données projet'!$E$12+1,1))-AVERAGE(OFFSET($H$3,0,0,'Données projet'!$E$12+1,1))</f>
        <v>405.06394904053946</v>
      </c>
      <c r="CE81" s="62">
        <f t="shared" si="94"/>
        <v>393.75247087518198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156.18518537698841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156.18518537698841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>
        <f>VLOOKUP(A81,'Données projet'!$A$139:$I$159,2,0)</f>
        <v>194</v>
      </c>
      <c r="CR81" s="13">
        <f>VLOOKUP(A81,'Données projet'!$A$139:$I$159,9,0)</f>
        <v>5.9</v>
      </c>
      <c r="CS81" s="13">
        <f t="array" ref="CS81">INDEX(CR:CR,MIN(IF(ISNUMBER(CR81:CR277),ROW(CR81:CR277),"")))</f>
        <v>5.9</v>
      </c>
      <c r="CT81" s="13">
        <f>IF('Données projet'!$A$140&gt;35,CT80+CS81-DB80,IF(A81&lt;'Données projet'!$A$140,$CQ$205^A81,IF(A81='Données projet'!$A$140,'Données projet'!$B$140,CT80+CS81-DB80)))</f>
        <v>194.00000000000011</v>
      </c>
      <c r="CU81" s="18">
        <f>CT81*VLOOKUP('Données projet'!$B$13,Paramètres!$A$1:$I$89,3,0)*VLOOKUP('Données projet'!$B$13,Paramètres!$A$1:$I$89,5,0)</f>
        <v>196.71600000000012</v>
      </c>
      <c r="CV81" s="14">
        <f t="shared" si="95"/>
        <v>49.021749959730052</v>
      </c>
      <c r="CW81" s="22">
        <f t="shared" si="67"/>
        <v>427.99324784653004</v>
      </c>
      <c r="CX81" s="62">
        <f t="shared" si="68"/>
        <v>697.91668588095627</v>
      </c>
      <c r="CY81" s="62">
        <f ca="1">AVERAGE(OFFSET($CX$3,0,0,'Données projet'!$E$13+1,1))-AVERAGE(OFFSET($H$3,0,0,'Données projet'!$E$13+1,1))</f>
        <v>474.46836359712393</v>
      </c>
      <c r="CZ81" s="62">
        <f t="shared" si="96"/>
        <v>221.28699636637722</v>
      </c>
      <c r="DA81" s="16">
        <f>IF(ISNA(VLOOKUP(A81,'Données projet'!$A$139:$I$159,3,0)),0,VLOOKUP(A81,'Données projet'!$A$139:$I$159,3,0))</f>
        <v>4</v>
      </c>
      <c r="DB81" s="16">
        <f>IF(ISNA(VLOOKUP(A81,'Données projet'!$A$139:$I$159,4,0)),0,VLOOKUP(A81,'Données projet'!$A$139:$I$159,4,0))</f>
        <v>32</v>
      </c>
      <c r="DC81" s="17">
        <f>IF(ISNA(VLOOKUP(A81,'Données projet'!$A$139:$I$159,5,0)),0%,VLOOKUP(A81,'Données projet'!$A$139:$I$159,5,0)*VLOOKUP('Données projet'!$B$13,Paramètres!$A$1:$I$89,7,0))</f>
        <v>0.215</v>
      </c>
      <c r="DD81" s="17">
        <f>IF(ISNA(VLOOKUP(A81,'Données projet'!$A$139:$I$159,6,0)),0%,VLOOKUP(A81,'Données projet'!$A$139:$I$159,6,0)*VLOOKUP('Données projet'!$B$13,Paramètres!$A$1:$I$89,7,0))</f>
        <v>0.17200000000000001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13.8409320472506</v>
      </c>
      <c r="DG81" s="23">
        <f>EXP(-LN(2)/25)*DG80+(1-EXP(-LN(2)/25))/(LN(2)/25)*Calculateur!DB81*Calculateur!DD81*VLOOKUP('Données projet'!$B$13,Paramètres!$A$1:$I$89,3,0)*0.475*44/12</f>
        <v>10.657199767846365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24.498131815096965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4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5.7</v>
      </c>
      <c r="N82" s="14">
        <f>IF('Données projet'!$A$36&gt;35,N81+M82-V81,IF(A82&lt;'Données projet'!$A$36,$K$205^A82,IF(A82='Données projet'!$A$36,'Données projet'!$B$36,N81+M82-V81)))</f>
        <v>167.7000000000001</v>
      </c>
      <c r="O82" s="14">
        <f>N82*VLOOKUP('Données projet'!$B$9,Paramètres!$A$1:$I$89,3,0)*VLOOKUP('Données projet'!$B$9,Paramètres!$A$1:$I$89,5,0)</f>
        <v>151.73496000000009</v>
      </c>
      <c r="P82" s="14">
        <f t="shared" si="87"/>
        <v>38.972597229458756</v>
      </c>
      <c r="Q82" s="22">
        <f t="shared" si="54"/>
        <v>332.14899550797418</v>
      </c>
      <c r="R82" s="62">
        <f t="shared" si="55"/>
        <v>602.47854288915119</v>
      </c>
      <c r="S82" s="62">
        <f ca="1">AVERAGE(OFFSET($R$3,0,0,'Données projet'!$E$9+1,1))-AVERAGE(OFFSET($H$3,0,0,'Données projet'!$E$9+1,1))</f>
        <v>432.80275651765203</v>
      </c>
      <c r="T82" s="62">
        <f t="shared" si="88"/>
        <v>203.89279893419919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12.108186909114776</v>
      </c>
      <c r="AA82" s="23">
        <f>EXP(-LN(2)/25)*AA81+(1-EXP(-LN(2)/25))/(LN(2)/25)*Calculateur!V82*Calculateur!X82*VLOOKUP('Données projet'!$B$9,Paramètres!$A$1:$I$89,3,0)*0.475*44/12</f>
        <v>9.2494635173214803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21.357650426436258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3.813056537183002E-14</v>
      </c>
      <c r="AK82" s="14">
        <f t="shared" si="89"/>
        <v>6.4086286045526829E-13</v>
      </c>
      <c r="AL82" s="22">
        <f t="shared" si="58"/>
        <v>1.1825802166488628E-12</v>
      </c>
      <c r="AM82" s="62">
        <f t="shared" si="59"/>
        <v>270.32954738117814</v>
      </c>
      <c r="AN82" s="62">
        <f ca="1">AVERAGE(OFFSET($AM$3,0,0,'Données projet'!$E$10+1,1))-AVERAGE(OFFSET($H$3,0,0,'Données projet'!$E$10+1,1))</f>
        <v>273.21861937609918</v>
      </c>
      <c r="AO82" s="62">
        <f t="shared" si="90"/>
        <v>268.83004886965318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117.61582500334812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117.61582500334812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4.6111381379887463E-14</v>
      </c>
      <c r="BF82" s="14">
        <f t="shared" si="91"/>
        <v>7.5804141040779151E-13</v>
      </c>
      <c r="BG82" s="22">
        <f t="shared" si="61"/>
        <v>1.4005661123635408E-12</v>
      </c>
      <c r="BH82" s="62">
        <f t="shared" si="62"/>
        <v>270.32954738117837</v>
      </c>
      <c r="BI82" s="62">
        <f ca="1">AVERAGE(OFFSET($BH$3,0,0,'Données projet'!$E$11+1,1))-AVERAGE(OFFSET($H$3,0,0,'Données projet'!$E$11+1,1))</f>
        <v>319.01020001288975</v>
      </c>
      <c r="BJ82" s="62">
        <f t="shared" si="92"/>
        <v>312.22190035638084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142.23309070172331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142.23309070172331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6.1186256061773749E-14</v>
      </c>
      <c r="CA82" s="14">
        <f t="shared" si="93"/>
        <v>9.7328366192051127E-13</v>
      </c>
      <c r="CB82" s="22">
        <f t="shared" si="64"/>
        <v>1.8017017738191463E-12</v>
      </c>
      <c r="CC82" s="62">
        <f t="shared" si="65"/>
        <v>270.32954738117877</v>
      </c>
      <c r="CD82" s="62">
        <f ca="1">AVERAGE(OFFSET($CC$3,0,0,'Données projet'!$E$12+1,1))-AVERAGE(OFFSET($H$3,0,0,'Données projet'!$E$12+1,1))</f>
        <v>405.06394904053946</v>
      </c>
      <c r="CE82" s="62">
        <f t="shared" si="94"/>
        <v>393.75247087518198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153.12248915530225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153.12248915530225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5.7</v>
      </c>
      <c r="CT82" s="13">
        <f>IF('Données projet'!$A$140&gt;35,CT81+CS82-DB81,IF(A82&lt;'Données projet'!$A$140,$CQ$205^A82,IF(A82='Données projet'!$A$140,'Données projet'!$B$140,CT81+CS82-DB81)))</f>
        <v>167.7000000000001</v>
      </c>
      <c r="CU82" s="18">
        <f>CT82*VLOOKUP('Données projet'!$B$13,Paramètres!$A$1:$I$89,3,0)*VLOOKUP('Données projet'!$B$13,Paramètres!$A$1:$I$89,5,0)</f>
        <v>170.04780000000011</v>
      </c>
      <c r="CV82" s="14">
        <f t="shared" si="95"/>
        <v>43.100729020040909</v>
      </c>
      <c r="CW82" s="22">
        <f t="shared" si="67"/>
        <v>371.23368804323809</v>
      </c>
      <c r="CX82" s="62">
        <f t="shared" si="68"/>
        <v>641.5632354244151</v>
      </c>
      <c r="CY82" s="62">
        <f ca="1">AVERAGE(OFFSET($CX$3,0,0,'Données projet'!$E$13+1,1))-AVERAGE(OFFSET($H$3,0,0,'Données projet'!$E$13+1,1))</f>
        <v>474.46836359712393</v>
      </c>
      <c r="CZ82" s="62">
        <f t="shared" si="96"/>
        <v>221.28699636637722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13.569519811938973</v>
      </c>
      <c r="DG82" s="23">
        <f>EXP(-LN(2)/25)*DG81+(1-EXP(-LN(2)/25))/(LN(2)/25)*Calculateur!DB82*Calculateur!DD82*VLOOKUP('Données projet'!$B$13,Paramètres!$A$1:$I$89,3,0)*0.475*44/12</f>
        <v>10.365778079756828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23.9352978916958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4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5.7</v>
      </c>
      <c r="N83" s="14">
        <f>IF('Données projet'!$A$36&gt;35,N82+M83-V82,IF(A83&lt;'Données projet'!$A$36,$K$205^A83,IF(A83='Données projet'!$A$36,'Données projet'!$B$36,N82+M83-V82)))</f>
        <v>173.40000000000009</v>
      </c>
      <c r="O83" s="14">
        <f>N83*VLOOKUP('Données projet'!$B$9,Paramètres!$A$1:$I$89,3,0)*VLOOKUP('Données projet'!$B$9,Paramètres!$A$1:$I$89,5,0)</f>
        <v>156.89232000000007</v>
      </c>
      <c r="P83" s="14">
        <f t="shared" si="87"/>
        <v>40.140771359113288</v>
      </c>
      <c r="Q83" s="22">
        <f t="shared" si="54"/>
        <v>343.16596745045581</v>
      </c>
      <c r="R83" s="62">
        <f t="shared" si="55"/>
        <v>613.89457908914187</v>
      </c>
      <c r="S83" s="62">
        <f ca="1">AVERAGE(OFFSET($R$3,0,0,'Données projet'!$E$9+1,1))-AVERAGE(OFFSET($H$3,0,0,'Données projet'!$E$9+1,1))</f>
        <v>432.80275651765203</v>
      </c>
      <c r="T83" s="62">
        <f t="shared" si="88"/>
        <v>203.89279893419919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11.870752749091816</v>
      </c>
      <c r="AA83" s="23">
        <f>EXP(-LN(2)/25)*AA82+(1-EXP(-LN(2)/25))/(LN(2)/25)*Calculateur!V83*Calculateur!X83*VLOOKUP('Données projet'!$B$9,Paramètres!$A$1:$I$89,3,0)*0.475*44/12</f>
        <v>8.9965364510321777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20.867289200123992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3.813056537183002E-14</v>
      </c>
      <c r="AK83" s="14">
        <f t="shared" si="89"/>
        <v>6.4086286045526829E-13</v>
      </c>
      <c r="AL83" s="22">
        <f t="shared" si="58"/>
        <v>1.1825802166488628E-12</v>
      </c>
      <c r="AM83" s="62">
        <f t="shared" si="59"/>
        <v>270.72861163868731</v>
      </c>
      <c r="AN83" s="62">
        <f ca="1">AVERAGE(OFFSET($AM$3,0,0,'Données projet'!$E$10+1,1))-AVERAGE(OFFSET($H$3,0,0,'Données projet'!$E$10+1,1))</f>
        <v>273.21861937609918</v>
      </c>
      <c r="AO83" s="62">
        <f t="shared" si="90"/>
        <v>268.83004886965318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115.30945041360212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115.30945041360212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4.6111381379887463E-14</v>
      </c>
      <c r="BF83" s="14">
        <f t="shared" si="91"/>
        <v>7.5804141040779151E-13</v>
      </c>
      <c r="BG83" s="22">
        <f t="shared" si="61"/>
        <v>1.4005661123635408E-12</v>
      </c>
      <c r="BH83" s="62">
        <f t="shared" si="62"/>
        <v>270.72861163868754</v>
      </c>
      <c r="BI83" s="62">
        <f ca="1">AVERAGE(OFFSET($BH$3,0,0,'Données projet'!$E$11+1,1))-AVERAGE(OFFSET($H$3,0,0,'Données projet'!$E$11+1,1))</f>
        <v>319.01020001288975</v>
      </c>
      <c r="BJ83" s="62">
        <f t="shared" si="92"/>
        <v>312.22190035638084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139.44398654668163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139.44398654668163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6.1186256061773749E-14</v>
      </c>
      <c r="CA83" s="14">
        <f t="shared" si="93"/>
        <v>9.7328366192051127E-13</v>
      </c>
      <c r="CB83" s="22">
        <f t="shared" si="64"/>
        <v>1.8017017738191463E-12</v>
      </c>
      <c r="CC83" s="62">
        <f t="shared" si="65"/>
        <v>270.72861163868794</v>
      </c>
      <c r="CD83" s="62">
        <f ca="1">AVERAGE(OFFSET($CC$3,0,0,'Données projet'!$E$12+1,1))-AVERAGE(OFFSET($H$3,0,0,'Données projet'!$E$12+1,1))</f>
        <v>405.06394904053946</v>
      </c>
      <c r="CE83" s="62">
        <f t="shared" si="94"/>
        <v>393.75247087518198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150.11985053846311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150.11985053846311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5.7</v>
      </c>
      <c r="CT83" s="13">
        <f>IF('Données projet'!$A$140&gt;35,CT82+CS83-DB82,IF(A83&lt;'Données projet'!$A$140,$CQ$205^A83,IF(A83='Données projet'!$A$140,'Données projet'!$B$140,CT82+CS83-DB82)))</f>
        <v>173.40000000000009</v>
      </c>
      <c r="CU83" s="18">
        <f>CT83*VLOOKUP('Données projet'!$B$13,Paramètres!$A$1:$I$89,3,0)*VLOOKUP('Données projet'!$B$13,Paramètres!$A$1:$I$89,5,0)</f>
        <v>175.8276000000001</v>
      </c>
      <c r="CV83" s="14">
        <f t="shared" si="95"/>
        <v>44.392640778295643</v>
      </c>
      <c r="CW83" s="22">
        <f t="shared" si="67"/>
        <v>383.5502526888651</v>
      </c>
      <c r="CX83" s="62">
        <f t="shared" si="68"/>
        <v>654.27886432755122</v>
      </c>
      <c r="CY83" s="62">
        <f ca="1">AVERAGE(OFFSET($CX$3,0,0,'Données projet'!$E$13+1,1))-AVERAGE(OFFSET($H$3,0,0,'Données projet'!$E$13+1,1))</f>
        <v>474.46836359712393</v>
      </c>
      <c r="CZ83" s="62">
        <f t="shared" si="96"/>
        <v>221.28699636637722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13.303429805016689</v>
      </c>
      <c r="DG83" s="23">
        <f>EXP(-LN(2)/25)*DG82+(1-EXP(-LN(2)/25))/(LN(2)/25)*Calculateur!DB83*Calculateur!DD83*VLOOKUP('Données projet'!$B$13,Paramètres!$A$1:$I$89,3,0)*0.475*44/12</f>
        <v>10.0823253330533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23.385755138069989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4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5.7</v>
      </c>
      <c r="N84" s="14">
        <f>IF('Données projet'!$A$36&gt;35,N83+M84-V83,IF(A84&lt;'Données projet'!$A$36,$K$205^A84,IF(A84='Données projet'!$A$36,'Données projet'!$B$36,N83+M84-V83)))</f>
        <v>179.10000000000008</v>
      </c>
      <c r="O84" s="14">
        <f>N84*VLOOKUP('Données projet'!$B$9,Paramètres!$A$1:$I$89,3,0)*VLOOKUP('Données projet'!$B$9,Paramètres!$A$1:$I$89,5,0)</f>
        <v>162.04968000000008</v>
      </c>
      <c r="P84" s="14">
        <f t="shared" si="87"/>
        <v>41.304483398422938</v>
      </c>
      <c r="Q84" s="22">
        <f t="shared" si="54"/>
        <v>354.17516791892012</v>
      </c>
      <c r="R84" s="62">
        <f t="shared" si="55"/>
        <v>625.29592094242162</v>
      </c>
      <c r="S84" s="62">
        <f ca="1">AVERAGE(OFFSET($R$3,0,0,'Données projet'!$E$9+1,1))-AVERAGE(OFFSET($H$3,0,0,'Données projet'!$E$9+1,1))</f>
        <v>432.80275651765203</v>
      </c>
      <c r="T84" s="62">
        <f t="shared" si="88"/>
        <v>203.89279893419919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11.637974528126367</v>
      </c>
      <c r="AA84" s="23">
        <f>EXP(-LN(2)/25)*AA83+(1-EXP(-LN(2)/25))/(LN(2)/25)*Calculateur!V84*Calculateur!X84*VLOOKUP('Données projet'!$B$9,Paramètres!$A$1:$I$89,3,0)*0.475*44/12</f>
        <v>8.7505256886714129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20.38850021679778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3.813056537183002E-14</v>
      </c>
      <c r="AK84" s="14">
        <f t="shared" si="89"/>
        <v>6.4086286045526829E-13</v>
      </c>
      <c r="AL84" s="22">
        <f t="shared" si="58"/>
        <v>1.1825802166488628E-12</v>
      </c>
      <c r="AM84" s="62">
        <f t="shared" si="59"/>
        <v>271.12075302350263</v>
      </c>
      <c r="AN84" s="62">
        <f ca="1">AVERAGE(OFFSET($AM$3,0,0,'Données projet'!$E$10+1,1))-AVERAGE(OFFSET($H$3,0,0,'Données projet'!$E$10+1,1))</f>
        <v>273.21861937609918</v>
      </c>
      <c r="AO84" s="62">
        <f t="shared" si="90"/>
        <v>268.83004886965318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113.04830242281145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113.04830242281145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4.6111381379887463E-14</v>
      </c>
      <c r="BF84" s="14">
        <f t="shared" si="91"/>
        <v>7.5804141040779151E-13</v>
      </c>
      <c r="BG84" s="22">
        <f t="shared" si="61"/>
        <v>1.4005661123635408E-12</v>
      </c>
      <c r="BH84" s="62">
        <f t="shared" si="62"/>
        <v>271.12075302350286</v>
      </c>
      <c r="BI84" s="62">
        <f ca="1">AVERAGE(OFFSET($BH$3,0,0,'Données projet'!$E$11+1,1))-AVERAGE(OFFSET($H$3,0,0,'Données projet'!$E$11+1,1))</f>
        <v>319.01020001288975</v>
      </c>
      <c r="BJ84" s="62">
        <f t="shared" si="92"/>
        <v>312.22190035638084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136.70957502293476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136.70957502293476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6.1186256061773749E-14</v>
      </c>
      <c r="CA84" s="14">
        <f t="shared" si="93"/>
        <v>9.7328366192051127E-13</v>
      </c>
      <c r="CB84" s="22">
        <f t="shared" si="64"/>
        <v>1.8017017738191463E-12</v>
      </c>
      <c r="CC84" s="62">
        <f t="shared" si="65"/>
        <v>271.12075302350326</v>
      </c>
      <c r="CD84" s="62">
        <f ca="1">AVERAGE(OFFSET($CC$3,0,0,'Données projet'!$E$12+1,1))-AVERAGE(OFFSET($H$3,0,0,'Données projet'!$E$12+1,1))</f>
        <v>405.06394904053946</v>
      </c>
      <c r="CE84" s="62">
        <f t="shared" si="94"/>
        <v>393.75247087518198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147.17609183347147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147.17609183347147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5.7</v>
      </c>
      <c r="CT84" s="13">
        <f>IF('Données projet'!$A$140&gt;35,CT83+CS84-DB83,IF(A84&lt;'Données projet'!$A$140,$CQ$205^A84,IF(A84='Données projet'!$A$140,'Données projet'!$B$140,CT83+CS84-DB83)))</f>
        <v>179.10000000000008</v>
      </c>
      <c r="CU84" s="18">
        <f>CT84*VLOOKUP('Données projet'!$B$13,Paramètres!$A$1:$I$89,3,0)*VLOOKUP('Données projet'!$B$13,Paramètres!$A$1:$I$89,5,0)</f>
        <v>181.60740000000007</v>
      </c>
      <c r="CV84" s="14">
        <f t="shared" si="95"/>
        <v>45.679617803930718</v>
      </c>
      <c r="CW84" s="22">
        <f t="shared" si="67"/>
        <v>395.85822267517938</v>
      </c>
      <c r="CX84" s="62">
        <f t="shared" si="68"/>
        <v>666.97897569868087</v>
      </c>
      <c r="CY84" s="62">
        <f ca="1">AVERAGE(OFFSET($CX$3,0,0,'Données projet'!$E$13+1,1))-AVERAGE(OFFSET($H$3,0,0,'Données projet'!$E$13+1,1))</f>
        <v>474.46836359712393</v>
      </c>
      <c r="CZ84" s="62">
        <f t="shared" si="96"/>
        <v>221.28699636637722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13.042557660831273</v>
      </c>
      <c r="DG84" s="23">
        <f>EXP(-LN(2)/25)*DG83+(1-EXP(-LN(2)/25))/(LN(2)/25)*Calculateur!DB84*Calculateur!DD84*VLOOKUP('Données projet'!$B$13,Paramètres!$A$1:$I$89,3,0)*0.475*44/12</f>
        <v>9.8066236166145107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22.849181277445783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4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5.7</v>
      </c>
      <c r="N85" s="14">
        <f>IF('Données projet'!$A$36&gt;35,N84+M85-V84,IF(A85&lt;'Données projet'!$A$36,$K$205^A85,IF(A85='Données projet'!$A$36,'Données projet'!$B$36,N84+M85-V84)))</f>
        <v>184.80000000000007</v>
      </c>
      <c r="O85" s="14">
        <f>N85*VLOOKUP('Données projet'!$B$9,Paramètres!$A$1:$I$89,3,0)*VLOOKUP('Données projet'!$B$9,Paramètres!$A$1:$I$89,5,0)</f>
        <v>167.20704000000003</v>
      </c>
      <c r="P85" s="14">
        <f t="shared" si="87"/>
        <v>42.463891647822834</v>
      </c>
      <c r="Q85" s="22">
        <f t="shared" si="54"/>
        <v>365.17687261995815</v>
      </c>
      <c r="R85" s="62">
        <f t="shared" si="55"/>
        <v>636.68296425194512</v>
      </c>
      <c r="S85" s="62">
        <f ca="1">AVERAGE(OFFSET($R$3,0,0,'Données projet'!$E$9+1,1))-AVERAGE(OFFSET($H$3,0,0,'Données projet'!$E$9+1,1))</f>
        <v>432.80275651765203</v>
      </c>
      <c r="T85" s="62">
        <f t="shared" si="88"/>
        <v>203.89279893419919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11.409760946093357</v>
      </c>
      <c r="AA85" s="23">
        <f>EXP(-LN(2)/25)*AA84+(1-EXP(-LN(2)/25))/(LN(2)/25)*Calculateur!V85*Calculateur!X85*VLOOKUP('Données projet'!$B$9,Paramètres!$A$1:$I$89,3,0)*0.475*44/12</f>
        <v>8.5112421035445465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19.921003049637903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3.813056537183002E-14</v>
      </c>
      <c r="AK85" s="14">
        <f t="shared" si="89"/>
        <v>6.4086286045526829E-13</v>
      </c>
      <c r="AL85" s="22">
        <f t="shared" si="58"/>
        <v>1.1825802166488628E-12</v>
      </c>
      <c r="AM85" s="62">
        <f t="shared" si="59"/>
        <v>271.50609163198823</v>
      </c>
      <c r="AN85" s="62">
        <f ca="1">AVERAGE(OFFSET($AM$3,0,0,'Données projet'!$E$10+1,1))-AVERAGE(OFFSET($H$3,0,0,'Données projet'!$E$10+1,1))</f>
        <v>273.21861937609918</v>
      </c>
      <c r="AO85" s="62">
        <f t="shared" si="90"/>
        <v>268.83004886965318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110.83149416495608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110.83149416495608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4.6111381379887463E-14</v>
      </c>
      <c r="BF85" s="14">
        <f t="shared" si="91"/>
        <v>7.5804141040779151E-13</v>
      </c>
      <c r="BG85" s="22">
        <f t="shared" si="61"/>
        <v>1.4005661123635408E-12</v>
      </c>
      <c r="BH85" s="62">
        <f t="shared" si="62"/>
        <v>271.50609163198845</v>
      </c>
      <c r="BI85" s="62">
        <f ca="1">AVERAGE(OFFSET($BH$3,0,0,'Données projet'!$E$11+1,1))-AVERAGE(OFFSET($H$3,0,0,'Données projet'!$E$11+1,1))</f>
        <v>319.01020001288975</v>
      </c>
      <c r="BJ85" s="62">
        <f t="shared" si="92"/>
        <v>312.22190035638084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134.02878364134222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134.02878364134222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6.1186256061773749E-14</v>
      </c>
      <c r="CA85" s="14">
        <f t="shared" si="93"/>
        <v>9.7328366192051127E-13</v>
      </c>
      <c r="CB85" s="22">
        <f t="shared" si="64"/>
        <v>1.8017017738191463E-12</v>
      </c>
      <c r="CC85" s="62">
        <f t="shared" si="65"/>
        <v>271.50609163198885</v>
      </c>
      <c r="CD85" s="62">
        <f ca="1">AVERAGE(OFFSET($CC$3,0,0,'Données projet'!$E$12+1,1))-AVERAGE(OFFSET($H$3,0,0,'Données projet'!$E$12+1,1))</f>
        <v>405.06394904053946</v>
      </c>
      <c r="CE85" s="62">
        <f t="shared" si="94"/>
        <v>393.75247087518198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144.29005844116921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144.29005844116921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5.7</v>
      </c>
      <c r="CT85" s="13">
        <f>IF('Données projet'!$A$140&gt;35,CT84+CS85-DB84,IF(A85&lt;'Données projet'!$A$140,$CQ$205^A85,IF(A85='Données projet'!$A$140,'Données projet'!$B$140,CT84+CS85-DB84)))</f>
        <v>184.80000000000007</v>
      </c>
      <c r="CU85" s="18">
        <f>CT85*VLOOKUP('Données projet'!$B$13,Paramètres!$A$1:$I$89,3,0)*VLOOKUP('Données projet'!$B$13,Paramètres!$A$1:$I$89,5,0)</f>
        <v>187.38720000000009</v>
      </c>
      <c r="CV85" s="14">
        <f t="shared" si="95"/>
        <v>46.961835165190195</v>
      </c>
      <c r="CW85" s="22">
        <f t="shared" si="67"/>
        <v>408.15790291270633</v>
      </c>
      <c r="CX85" s="62">
        <f t="shared" si="68"/>
        <v>679.66399454469342</v>
      </c>
      <c r="CY85" s="62">
        <f ca="1">AVERAGE(OFFSET($CX$3,0,0,'Données projet'!$E$13+1,1))-AVERAGE(OFFSET($H$3,0,0,'Données projet'!$E$13+1,1))</f>
        <v>474.46836359712393</v>
      </c>
      <c r="CZ85" s="62">
        <f t="shared" si="96"/>
        <v>221.28699636637722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12.786801060277037</v>
      </c>
      <c r="DG85" s="23">
        <f>EXP(-LN(2)/25)*DG84+(1-EXP(-LN(2)/25))/(LN(2)/25)*Calculateur!DB85*Calculateur!DD85*VLOOKUP('Données projet'!$B$13,Paramètres!$A$1:$I$89,3,0)*0.475*44/12</f>
        <v>9.5384609781102636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22.325262038387301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4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5.7</v>
      </c>
      <c r="N86" s="14">
        <f>IF('Données projet'!$A$36&gt;35,N85+M86-V85,IF(A86&lt;'Données projet'!$A$36,$K$205^A86,IF(A86='Données projet'!$A$36,'Données projet'!$B$36,N85+M86-V85)))</f>
        <v>190.50000000000006</v>
      </c>
      <c r="O86" s="14">
        <f>N86*VLOOKUP('Données projet'!$B$9,Paramètres!$A$1:$I$89,3,0)*VLOOKUP('Données projet'!$B$9,Paramètres!$A$1:$I$89,5,0)</f>
        <v>172.36440000000005</v>
      </c>
      <c r="P86" s="14">
        <f t="shared" si="87"/>
        <v>43.619144087686877</v>
      </c>
      <c r="Q86" s="22">
        <f t="shared" si="54"/>
        <v>376.17133928605472</v>
      </c>
      <c r="R86" s="62">
        <f t="shared" si="55"/>
        <v>648.0560847631582</v>
      </c>
      <c r="S86" s="62">
        <f ca="1">AVERAGE(OFFSET($R$3,0,0,'Données projet'!$E$9+1,1))-AVERAGE(OFFSET($H$3,0,0,'Données projet'!$E$9+1,1))</f>
        <v>432.80275651765203</v>
      </c>
      <c r="T86" s="62">
        <f t="shared" si="88"/>
        <v>203.89279893419919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11.186022493207473</v>
      </c>
      <c r="AA86" s="23">
        <f>EXP(-LN(2)/25)*AA85+(1-EXP(-LN(2)/25))/(LN(2)/25)*Calculateur!V86*Calculateur!X86*VLOOKUP('Données projet'!$B$9,Paramètres!$A$1:$I$89,3,0)*0.475*44/12</f>
        <v>8.2785017406363508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19.464524233843825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3.813056537183002E-14</v>
      </c>
      <c r="AK86" s="14">
        <f t="shared" si="89"/>
        <v>6.4086286045526829E-13</v>
      </c>
      <c r="AL86" s="22">
        <f t="shared" si="58"/>
        <v>1.1825802166488628E-12</v>
      </c>
      <c r="AM86" s="62">
        <f t="shared" si="59"/>
        <v>271.88474547710467</v>
      </c>
      <c r="AN86" s="62">
        <f ca="1">AVERAGE(OFFSET($AM$3,0,0,'Données projet'!$E$10+1,1))-AVERAGE(OFFSET($H$3,0,0,'Données projet'!$E$10+1,1))</f>
        <v>273.21861937609918</v>
      </c>
      <c r="AO86" s="62">
        <f t="shared" si="90"/>
        <v>268.83004886965318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108.65815616491774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108.65815616491774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4.6111381379887463E-14</v>
      </c>
      <c r="BF86" s="14">
        <f t="shared" si="91"/>
        <v>7.5804141040779151E-13</v>
      </c>
      <c r="BG86" s="22">
        <f t="shared" si="61"/>
        <v>1.4005661123635408E-12</v>
      </c>
      <c r="BH86" s="62">
        <f t="shared" si="62"/>
        <v>271.8847454771049</v>
      </c>
      <c r="BI86" s="62">
        <f ca="1">AVERAGE(OFFSET($BH$3,0,0,'Données projet'!$E$11+1,1))-AVERAGE(OFFSET($H$3,0,0,'Données projet'!$E$11+1,1))</f>
        <v>319.01020001288975</v>
      </c>
      <c r="BJ86" s="62">
        <f t="shared" si="92"/>
        <v>312.22190035638084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131.40056094362143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131.40056094362143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6.1186256061773749E-14</v>
      </c>
      <c r="CA86" s="14">
        <f t="shared" si="93"/>
        <v>9.7328366192051127E-13</v>
      </c>
      <c r="CB86" s="22">
        <f t="shared" si="64"/>
        <v>1.8017017738191463E-12</v>
      </c>
      <c r="CC86" s="62">
        <f t="shared" si="65"/>
        <v>271.8847454771053</v>
      </c>
      <c r="CD86" s="62">
        <f ca="1">AVERAGE(OFFSET($CC$3,0,0,'Données projet'!$E$12+1,1))-AVERAGE(OFFSET($H$3,0,0,'Données projet'!$E$12+1,1))</f>
        <v>405.06394904053946</v>
      </c>
      <c r="CE86" s="62">
        <f t="shared" si="94"/>
        <v>393.75247087518198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141.46061840338345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141.46061840338345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5.7</v>
      </c>
      <c r="CT86" s="13">
        <f>IF('Données projet'!$A$140&gt;35,CT85+CS86-DB85,IF(A86&lt;'Données projet'!$A$140,$CQ$205^A86,IF(A86='Données projet'!$A$140,'Données projet'!$B$140,CT85+CS86-DB85)))</f>
        <v>190.50000000000006</v>
      </c>
      <c r="CU86" s="18">
        <f>CT86*VLOOKUP('Données projet'!$B$13,Paramètres!$A$1:$I$89,3,0)*VLOOKUP('Données projet'!$B$13,Paramètres!$A$1:$I$89,5,0)</f>
        <v>193.16700000000009</v>
      </c>
      <c r="CV86" s="14">
        <f t="shared" si="95"/>
        <v>48.239456517115023</v>
      </c>
      <c r="CW86" s="22">
        <f t="shared" si="67"/>
        <v>420.44957843397555</v>
      </c>
      <c r="CX86" s="62">
        <f t="shared" si="68"/>
        <v>692.33432391107908</v>
      </c>
      <c r="CY86" s="62">
        <f ca="1">AVERAGE(OFFSET($CX$3,0,0,'Données projet'!$E$13+1,1))-AVERAGE(OFFSET($H$3,0,0,'Données projet'!$E$13+1,1))</f>
        <v>474.46836359712393</v>
      </c>
      <c r="CZ86" s="62">
        <f t="shared" si="96"/>
        <v>221.28699636637722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12.536059690663546</v>
      </c>
      <c r="DG86" s="23">
        <f>EXP(-LN(2)/25)*DG85+(1-EXP(-LN(2)/25))/(LN(2)/25)*Calculateur!DB86*Calculateur!DD86*VLOOKUP('Données projet'!$B$13,Paramètres!$A$1:$I$89,3,0)*0.475*44/12</f>
        <v>9.2776312610579765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21.813690951721522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4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5.7</v>
      </c>
      <c r="N87" s="14">
        <f>IF('Données projet'!$A$36&gt;35,N86+M87-V86,IF(A87&lt;'Données projet'!$A$36,$K$205^A87,IF(A87='Données projet'!$A$36,'Données projet'!$B$36,N86+M87-V86)))</f>
        <v>196.20000000000005</v>
      </c>
      <c r="O87" s="14">
        <f>N87*VLOOKUP('Données projet'!$B$9,Paramètres!$A$1:$I$89,3,0)*VLOOKUP('Données projet'!$B$9,Paramètres!$A$1:$I$89,5,0)</f>
        <v>177.52176000000003</v>
      </c>
      <c r="P87" s="14">
        <f t="shared" si="87"/>
        <v>44.770379339547972</v>
      </c>
      <c r="Q87" s="22">
        <f t="shared" si="54"/>
        <v>387.15880934971273</v>
      </c>
      <c r="R87" s="62">
        <f t="shared" si="55"/>
        <v>659.41563987426298</v>
      </c>
      <c r="S87" s="62">
        <f ca="1">AVERAGE(OFFSET($R$3,0,0,'Données projet'!$E$9+1,1))-AVERAGE(OFFSET($H$3,0,0,'Données projet'!$E$9+1,1))</f>
        <v>432.80275651765203</v>
      </c>
      <c r="T87" s="62">
        <f t="shared" si="88"/>
        <v>203.89279893419919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10.9666714149157</v>
      </c>
      <c r="AA87" s="23">
        <f>EXP(-LN(2)/25)*AA86+(1-EXP(-LN(2)/25))/(LN(2)/25)*Calculateur!V87*Calculateur!X87*VLOOKUP('Données projet'!$B$9,Paramètres!$A$1:$I$89,3,0)*0.475*44/12</f>
        <v>8.0521256751911636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19.018797090106865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3.813056537183002E-14</v>
      </c>
      <c r="AK87" s="14">
        <f t="shared" si="89"/>
        <v>6.4086286045526829E-13</v>
      </c>
      <c r="AL87" s="22">
        <f t="shared" si="58"/>
        <v>1.1825802166488628E-12</v>
      </c>
      <c r="AM87" s="62">
        <f t="shared" si="59"/>
        <v>272.2568305245515</v>
      </c>
      <c r="AN87" s="62">
        <f ca="1">AVERAGE(OFFSET($AM$3,0,0,'Données projet'!$E$10+1,1))-AVERAGE(OFFSET($H$3,0,0,'Données projet'!$E$10+1,1))</f>
        <v>273.21861937609918</v>
      </c>
      <c r="AO87" s="62">
        <f t="shared" si="90"/>
        <v>268.83004886965318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106.52743599745486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106.52743599745486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4.6111381379887463E-14</v>
      </c>
      <c r="BF87" s="14">
        <f t="shared" si="91"/>
        <v>7.5804141040779151E-13</v>
      </c>
      <c r="BG87" s="22">
        <f t="shared" si="61"/>
        <v>1.4005661123635408E-12</v>
      </c>
      <c r="BH87" s="62">
        <f t="shared" si="62"/>
        <v>272.25683052455173</v>
      </c>
      <c r="BI87" s="62">
        <f ca="1">AVERAGE(OFFSET($BH$3,0,0,'Données projet'!$E$11+1,1))-AVERAGE(OFFSET($H$3,0,0,'Données projet'!$E$11+1,1))</f>
        <v>319.01020001288975</v>
      </c>
      <c r="BJ87" s="62">
        <f t="shared" si="92"/>
        <v>312.22190035638084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128.82387608994537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128.82387608994537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6.1186256061773749E-14</v>
      </c>
      <c r="CA87" s="14">
        <f t="shared" si="93"/>
        <v>9.7328366192051127E-13</v>
      </c>
      <c r="CB87" s="22">
        <f t="shared" si="64"/>
        <v>1.8017017738191463E-12</v>
      </c>
      <c r="CC87" s="62">
        <f t="shared" si="65"/>
        <v>272.25683052455213</v>
      </c>
      <c r="CD87" s="62">
        <f ca="1">AVERAGE(OFFSET($CC$3,0,0,'Données projet'!$E$12+1,1))-AVERAGE(OFFSET($H$3,0,0,'Données projet'!$E$12+1,1))</f>
        <v>405.06394904053946</v>
      </c>
      <c r="CE87" s="62">
        <f t="shared" si="94"/>
        <v>393.75247087518198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138.68666195895065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138.68666195895065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5.7</v>
      </c>
      <c r="CT87" s="13">
        <f>IF('Données projet'!$A$140&gt;35,CT86+CS87-DB86,IF(A87&lt;'Données projet'!$A$140,$CQ$205^A87,IF(A87='Données projet'!$A$140,'Données projet'!$B$140,CT86+CS87-DB86)))</f>
        <v>196.20000000000005</v>
      </c>
      <c r="CU87" s="18">
        <f>CT87*VLOOKUP('Données projet'!$B$13,Paramètres!$A$1:$I$89,3,0)*VLOOKUP('Données projet'!$B$13,Paramètres!$A$1:$I$89,5,0)</f>
        <v>198.94680000000005</v>
      </c>
      <c r="CV87" s="14">
        <f t="shared" si="95"/>
        <v>49.512635164579549</v>
      </c>
      <c r="CW87" s="22">
        <f t="shared" si="67"/>
        <v>432.7335162449761</v>
      </c>
      <c r="CX87" s="62">
        <f t="shared" si="68"/>
        <v>704.99034676952647</v>
      </c>
      <c r="CY87" s="62">
        <f ca="1">AVERAGE(OFFSET($CX$3,0,0,'Données projet'!$E$13+1,1))-AVERAGE(OFFSET($H$3,0,0,'Données projet'!$E$13+1,1))</f>
        <v>474.46836359712393</v>
      </c>
      <c r="CZ87" s="62">
        <f t="shared" si="96"/>
        <v>221.28699636637722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12.290235206371042</v>
      </c>
      <c r="DG87" s="23">
        <f>EXP(-LN(2)/25)*DG86+(1-EXP(-LN(2)/25))/(LN(2)/25)*Calculateur!DB87*Calculateur!DD87*VLOOKUP('Données projet'!$B$13,Paramètres!$A$1:$I$89,3,0)*0.475*44/12</f>
        <v>9.0239339463349229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21.314169152705965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4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5.7</v>
      </c>
      <c r="N88" s="14">
        <f>IF('Données projet'!$A$36&gt;35,N87+M88-V87,IF(A88&lt;'Données projet'!$A$36,$K$205^A88,IF(A88='Données projet'!$A$36,'Données projet'!$B$36,N87+M88-V87)))</f>
        <v>201.90000000000003</v>
      </c>
      <c r="O88" s="14">
        <f>N88*VLOOKUP('Données projet'!$B$9,Paramètres!$A$1:$I$89,3,0)*VLOOKUP('Données projet'!$B$9,Paramètres!$A$1:$I$89,5,0)</f>
        <v>182.67912000000004</v>
      </c>
      <c r="P88" s="14">
        <f t="shared" si="87"/>
        <v>45.917727512477072</v>
      </c>
      <c r="Q88" s="22">
        <f t="shared" si="54"/>
        <v>398.13950941756428</v>
      </c>
      <c r="R88" s="62">
        <f t="shared" si="55"/>
        <v>670.76197014584579</v>
      </c>
      <c r="S88" s="62">
        <f ca="1">AVERAGE(OFFSET($R$3,0,0,'Données projet'!$E$9+1,1))-AVERAGE(OFFSET($H$3,0,0,'Données projet'!$E$9+1,1))</f>
        <v>432.80275651765203</v>
      </c>
      <c r="T88" s="62">
        <f t="shared" si="88"/>
        <v>203.89279893419919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10.751621677478282</v>
      </c>
      <c r="AA88" s="23">
        <f>EXP(-LN(2)/25)*AA87+(1-EXP(-LN(2)/25))/(LN(2)/25)*Calculateur!V88*Calculateur!X88*VLOOKUP('Données projet'!$B$9,Paramètres!$A$1:$I$89,3,0)*0.475*44/12</f>
        <v>7.8319398751601756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18.583561552638457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3.813056537183002E-14</v>
      </c>
      <c r="AK88" s="14">
        <f t="shared" si="89"/>
        <v>6.4086286045526829E-13</v>
      </c>
      <c r="AL88" s="22">
        <f t="shared" si="58"/>
        <v>1.1825802166488628E-12</v>
      </c>
      <c r="AM88" s="62">
        <f t="shared" si="59"/>
        <v>272.6224607282827</v>
      </c>
      <c r="AN88" s="62">
        <f ca="1">AVERAGE(OFFSET($AM$3,0,0,'Données projet'!$E$10+1,1))-AVERAGE(OFFSET($H$3,0,0,'Données projet'!$E$10+1,1))</f>
        <v>273.21861937609918</v>
      </c>
      <c r="AO88" s="62">
        <f t="shared" si="90"/>
        <v>268.83004886965318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104.43849795286495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104.43849795286495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4.6111381379887463E-14</v>
      </c>
      <c r="BF88" s="14">
        <f t="shared" si="91"/>
        <v>7.5804141040779151E-13</v>
      </c>
      <c r="BG88" s="22">
        <f t="shared" si="61"/>
        <v>1.4005661123635408E-12</v>
      </c>
      <c r="BH88" s="62">
        <f t="shared" si="62"/>
        <v>272.62246072828293</v>
      </c>
      <c r="BI88" s="62">
        <f ca="1">AVERAGE(OFFSET($BH$3,0,0,'Données projet'!$E$11+1,1))-AVERAGE(OFFSET($H$3,0,0,'Données projet'!$E$11+1,1))</f>
        <v>319.01020001288975</v>
      </c>
      <c r="BJ88" s="62">
        <f t="shared" si="92"/>
        <v>312.22190035638084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126.29771845462734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126.29771845462734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6.1186256061773749E-14</v>
      </c>
      <c r="CA88" s="14">
        <f t="shared" si="93"/>
        <v>9.7328366192051127E-13</v>
      </c>
      <c r="CB88" s="22">
        <f t="shared" si="64"/>
        <v>1.8017017738191463E-12</v>
      </c>
      <c r="CC88" s="62">
        <f t="shared" si="65"/>
        <v>272.62246072828333</v>
      </c>
      <c r="CD88" s="62">
        <f ca="1">AVERAGE(OFFSET($CC$3,0,0,'Données projet'!$E$12+1,1))-AVERAGE(OFFSET($H$3,0,0,'Données projet'!$E$12+1,1))</f>
        <v>405.06394904053946</v>
      </c>
      <c r="CE88" s="62">
        <f t="shared" si="94"/>
        <v>393.75247087518198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135.9671011084468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135.9671011084468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5.7</v>
      </c>
      <c r="CT88" s="13">
        <f>IF('Données projet'!$A$140&gt;35,CT87+CS88-DB87,IF(A88&lt;'Données projet'!$A$140,$CQ$205^A88,IF(A88='Données projet'!$A$140,'Données projet'!$B$140,CT87+CS88-DB87)))</f>
        <v>201.90000000000003</v>
      </c>
      <c r="CU88" s="18">
        <f>CT88*VLOOKUP('Données projet'!$B$13,Paramètres!$A$1:$I$89,3,0)*VLOOKUP('Données projet'!$B$13,Paramètres!$A$1:$I$89,5,0)</f>
        <v>204.72660000000002</v>
      </c>
      <c r="CV88" s="14">
        <f t="shared" si="95"/>
        <v>50.781514998322791</v>
      </c>
      <c r="CW88" s="22">
        <f t="shared" si="67"/>
        <v>445.00996695541221</v>
      </c>
      <c r="CX88" s="62">
        <f t="shared" si="68"/>
        <v>717.63242768369378</v>
      </c>
      <c r="CY88" s="62">
        <f ca="1">AVERAGE(OFFSET($CX$3,0,0,'Données projet'!$E$13+1,1))-AVERAGE(OFFSET($H$3,0,0,'Données projet'!$E$13+1,1))</f>
        <v>474.46836359712393</v>
      </c>
      <c r="CZ88" s="62">
        <f t="shared" si="96"/>
        <v>221.28699636637722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12.049231190277384</v>
      </c>
      <c r="DG88" s="23">
        <f>EXP(-LN(2)/25)*DG87+(1-EXP(-LN(2)/25))/(LN(2)/25)*Calculateur!DB88*Calculateur!DD88*VLOOKUP('Données projet'!$B$13,Paramètres!$A$1:$I$89,3,0)*0.475*44/12</f>
        <v>8.7771739980243328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20.826405188301717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4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5.7</v>
      </c>
      <c r="N89" s="14">
        <f>IF('Données projet'!$A$36&gt;35,N88+M89-V88,IF(A89&lt;'Données projet'!$A$36,$K$205^A89,IF(A89='Données projet'!$A$36,'Données projet'!$B$36,N88+M89-V88)))</f>
        <v>207.60000000000002</v>
      </c>
      <c r="O89" s="14">
        <f>N89*VLOOKUP('Données projet'!$B$9,Paramètres!$A$1:$I$89,3,0)*VLOOKUP('Données projet'!$B$9,Paramètres!$A$1:$I$89,5,0)</f>
        <v>187.83647999999999</v>
      </c>
      <c r="P89" s="14">
        <f t="shared" si="87"/>
        <v>47.06131095119698</v>
      </c>
      <c r="Q89" s="22">
        <f t="shared" si="54"/>
        <v>409.11365257333472</v>
      </c>
      <c r="R89" s="62">
        <f t="shared" si="55"/>
        <v>682.09540063873942</v>
      </c>
      <c r="S89" s="62">
        <f ca="1">AVERAGE(OFFSET($R$3,0,0,'Données projet'!$E$9+1,1))-AVERAGE(OFFSET($H$3,0,0,'Données projet'!$E$9+1,1))</f>
        <v>432.80275651765203</v>
      </c>
      <c r="T89" s="62">
        <f t="shared" si="88"/>
        <v>203.89279893419919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10.540788934224622</v>
      </c>
      <c r="AA89" s="23">
        <f>EXP(-LN(2)/25)*AA88+(1-EXP(-LN(2)/25))/(LN(2)/25)*Calculateur!V89*Calculateur!X89*VLOOKUP('Données projet'!$B$9,Paramètres!$A$1:$I$89,3,0)*0.475*44/12</f>
        <v>7.6177750674101024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18.158564001634723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3.813056537183002E-14</v>
      </c>
      <c r="AK89" s="14">
        <f t="shared" si="89"/>
        <v>6.4086286045526829E-13</v>
      </c>
      <c r="AL89" s="22">
        <f t="shared" si="58"/>
        <v>1.1825802166488628E-12</v>
      </c>
      <c r="AM89" s="62">
        <f t="shared" si="59"/>
        <v>272.9817480654059</v>
      </c>
      <c r="AN89" s="62">
        <f ca="1">AVERAGE(OFFSET($AM$3,0,0,'Données projet'!$E$10+1,1))-AVERAGE(OFFSET($H$3,0,0,'Données projet'!$E$10+1,1))</f>
        <v>273.21861937609918</v>
      </c>
      <c r="AO89" s="62">
        <f t="shared" si="90"/>
        <v>268.83004886965318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102.39052270920305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102.39052270920305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4.6111381379887463E-14</v>
      </c>
      <c r="BF89" s="14">
        <f t="shared" si="91"/>
        <v>7.5804141040779151E-13</v>
      </c>
      <c r="BG89" s="22">
        <f t="shared" si="61"/>
        <v>1.4005661123635408E-12</v>
      </c>
      <c r="BH89" s="62">
        <f t="shared" si="62"/>
        <v>272.98174806540612</v>
      </c>
      <c r="BI89" s="62">
        <f ca="1">AVERAGE(OFFSET($BH$3,0,0,'Données projet'!$E$11+1,1))-AVERAGE(OFFSET($H$3,0,0,'Données projet'!$E$11+1,1))</f>
        <v>319.01020001288975</v>
      </c>
      <c r="BJ89" s="62">
        <f t="shared" si="92"/>
        <v>312.22190035638084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123.82109722973388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123.82109722973388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6.1186256061773749E-14</v>
      </c>
      <c r="CA89" s="14">
        <f t="shared" si="93"/>
        <v>9.7328366192051127E-13</v>
      </c>
      <c r="CB89" s="22">
        <f t="shared" si="64"/>
        <v>1.8017017738191463E-12</v>
      </c>
      <c r="CC89" s="62">
        <f t="shared" si="65"/>
        <v>272.98174806540652</v>
      </c>
      <c r="CD89" s="62">
        <f ca="1">AVERAGE(OFFSET($CC$3,0,0,'Données projet'!$E$12+1,1))-AVERAGE(OFFSET($H$3,0,0,'Données projet'!$E$12+1,1))</f>
        <v>405.06394904053946</v>
      </c>
      <c r="CE89" s="62">
        <f t="shared" si="94"/>
        <v>393.75247087518198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133.300869187453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133.300869187453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5.7</v>
      </c>
      <c r="CT89" s="13">
        <f>IF('Données projet'!$A$140&gt;35,CT88+CS89-DB88,IF(A89&lt;'Données projet'!$A$140,$CQ$205^A89,IF(A89='Données projet'!$A$140,'Données projet'!$B$140,CT88+CS89-DB88)))</f>
        <v>207.60000000000002</v>
      </c>
      <c r="CU89" s="18">
        <f>CT89*VLOOKUP('Données projet'!$B$13,Paramètres!$A$1:$I$89,3,0)*VLOOKUP('Données projet'!$B$13,Paramètres!$A$1:$I$89,5,0)</f>
        <v>210.50640000000004</v>
      </c>
      <c r="CV89" s="14">
        <f t="shared" si="95"/>
        <v>52.04623132230482</v>
      </c>
      <c r="CW89" s="22">
        <f t="shared" si="67"/>
        <v>457.27916621968097</v>
      </c>
      <c r="CX89" s="62">
        <f t="shared" si="68"/>
        <v>730.26091428508562</v>
      </c>
      <c r="CY89" s="62">
        <f ca="1">AVERAGE(OFFSET($CX$3,0,0,'Données projet'!$E$13+1,1))-AVERAGE(OFFSET($H$3,0,0,'Données projet'!$E$13+1,1))</f>
        <v>474.46836359712393</v>
      </c>
      <c r="CZ89" s="62">
        <f t="shared" si="96"/>
        <v>221.28699636637722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11.812953115941387</v>
      </c>
      <c r="DG89" s="23">
        <f>EXP(-LN(2)/25)*DG88+(1-EXP(-LN(2)/25))/(LN(2)/25)*Calculateur!DB89*Calculateur!DD89*VLOOKUP('Données projet'!$B$13,Paramètres!$A$1:$I$89,3,0)*0.475*44/12</f>
        <v>8.5371617134768378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20.350114829418224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4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5.7</v>
      </c>
      <c r="N90" s="14">
        <f>IF('Données projet'!$A$36&gt;35,N89+M90-V89,IF(A90&lt;'Données projet'!$A$36,$K$205^A90,IF(A90='Données projet'!$A$36,'Données projet'!$B$36,N89+M90-V89)))</f>
        <v>213.3</v>
      </c>
      <c r="O90" s="14">
        <f>N90*VLOOKUP('Données projet'!$B$9,Paramètres!$A$1:$I$89,3,0)*VLOOKUP('Données projet'!$B$9,Paramètres!$A$1:$I$89,5,0)</f>
        <v>192.99384000000001</v>
      </c>
      <c r="P90" s="14">
        <f t="shared" si="87"/>
        <v>48.20124489972266</v>
      </c>
      <c r="Q90" s="22">
        <f t="shared" si="54"/>
        <v>420.08143953368364</v>
      </c>
      <c r="R90" s="62">
        <f t="shared" si="55"/>
        <v>693.41624210415853</v>
      </c>
      <c r="S90" s="62">
        <f ca="1">AVERAGE(OFFSET($R$3,0,0,'Données projet'!$E$9+1,1))-AVERAGE(OFFSET($H$3,0,0,'Données projet'!$E$9+1,1))</f>
        <v>432.80275651765203</v>
      </c>
      <c r="T90" s="62">
        <f t="shared" si="88"/>
        <v>203.89279893419919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10.334090492470892</v>
      </c>
      <c r="AA90" s="23">
        <f>EXP(-LN(2)/25)*AA89+(1-EXP(-LN(2)/25))/(LN(2)/25)*Calculateur!V90*Calculateur!X90*VLOOKUP('Données projet'!$B$9,Paramètres!$A$1:$I$89,3,0)*0.475*44/12</f>
        <v>7.4094666075903932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17.743557100061285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3.813056537183002E-14</v>
      </c>
      <c r="AK90" s="14">
        <f t="shared" si="89"/>
        <v>6.4086286045526829E-13</v>
      </c>
      <c r="AL90" s="22">
        <f t="shared" si="58"/>
        <v>1.1825802166488628E-12</v>
      </c>
      <c r="AM90" s="62">
        <f t="shared" si="59"/>
        <v>273.33480257047603</v>
      </c>
      <c r="AN90" s="62">
        <f ca="1">AVERAGE(OFFSET($AM$3,0,0,'Données projet'!$E$10+1,1))-AVERAGE(OFFSET($H$3,0,0,'Données projet'!$E$10+1,1))</f>
        <v>273.21861937609918</v>
      </c>
      <c r="AO90" s="62">
        <f t="shared" si="90"/>
        <v>268.83004886965318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100.3827070109278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100.3827070109278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4.6111381379887463E-14</v>
      </c>
      <c r="BF90" s="14">
        <f t="shared" si="91"/>
        <v>7.5804141040779151E-13</v>
      </c>
      <c r="BG90" s="22">
        <f t="shared" si="61"/>
        <v>1.4005661123635408E-12</v>
      </c>
      <c r="BH90" s="62">
        <f t="shared" si="62"/>
        <v>273.33480257047626</v>
      </c>
      <c r="BI90" s="62">
        <f ca="1">AVERAGE(OFFSET($BH$3,0,0,'Données projet'!$E$11+1,1))-AVERAGE(OFFSET($H$3,0,0,'Données projet'!$E$11+1,1))</f>
        <v>319.01020001288975</v>
      </c>
      <c r="BJ90" s="62">
        <f t="shared" si="92"/>
        <v>312.22190035638084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121.39304103647079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121.39304103647079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6.1186256061773749E-14</v>
      </c>
      <c r="CA90" s="14">
        <f t="shared" si="93"/>
        <v>9.7328366192051127E-13</v>
      </c>
      <c r="CB90" s="22">
        <f t="shared" si="64"/>
        <v>1.8017017738191463E-12</v>
      </c>
      <c r="CC90" s="62">
        <f t="shared" si="65"/>
        <v>273.33480257047665</v>
      </c>
      <c r="CD90" s="62">
        <f ca="1">AVERAGE(OFFSET($CC$3,0,0,'Données projet'!$E$12+1,1))-AVERAGE(OFFSET($H$3,0,0,'Données projet'!$E$12+1,1))</f>
        <v>405.06394904053946</v>
      </c>
      <c r="CE90" s="62">
        <f t="shared" si="94"/>
        <v>393.75247087518198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130.686920448189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130.686920448189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5.7</v>
      </c>
      <c r="CT90" s="13">
        <f>IF('Données projet'!$A$140&gt;35,CT89+CS90-DB89,IF(A90&lt;'Données projet'!$A$140,$CQ$205^A90,IF(A90='Données projet'!$A$140,'Données projet'!$B$140,CT89+CS90-DB89)))</f>
        <v>213.3</v>
      </c>
      <c r="CU90" s="18">
        <f>CT90*VLOOKUP('Données projet'!$B$13,Paramètres!$A$1:$I$89,3,0)*VLOOKUP('Données projet'!$B$13,Paramètres!$A$1:$I$89,5,0)</f>
        <v>216.28620000000004</v>
      </c>
      <c r="CV90" s="14">
        <f t="shared" si="95"/>
        <v>53.306911587642965</v>
      </c>
      <c r="CW90" s="22">
        <f t="shared" si="67"/>
        <v>469.54133601514491</v>
      </c>
      <c r="CX90" s="62">
        <f t="shared" si="68"/>
        <v>742.87613858561974</v>
      </c>
      <c r="CY90" s="62">
        <f ca="1">AVERAGE(OFFSET($CX$3,0,0,'Données projet'!$E$13+1,1))-AVERAGE(OFFSET($H$3,0,0,'Données projet'!$E$13+1,1))</f>
        <v>474.46836359712393</v>
      </c>
      <c r="CZ90" s="62">
        <f t="shared" si="96"/>
        <v>221.28699636637722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11.581308310527723</v>
      </c>
      <c r="DG90" s="23">
        <f>EXP(-LN(2)/25)*DG89+(1-EXP(-LN(2)/25))/(LN(2)/25)*Calculateur!DB90*Calculateur!DD90*VLOOKUP('Données projet'!$B$13,Paramètres!$A$1:$I$89,3,0)*0.475*44/12</f>
        <v>8.3037125774719911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19.885020887999715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4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219</v>
      </c>
      <c r="L91" s="13">
        <f>VLOOKUP(A91,'Données projet'!$A$35:$I$55,9,0)</f>
        <v>5.7</v>
      </c>
      <c r="M91" s="13">
        <f t="array" ref="M91">INDEX(L:L,MIN(IF(ISNUMBER(L91:L287),ROW(L91:L287),"")))</f>
        <v>5.7</v>
      </c>
      <c r="N91" s="14">
        <f>IF('Données projet'!$A$36&gt;35,N90+M91-V90,IF(A91&lt;'Données projet'!$A$36,$K$205^A91,IF(A91='Données projet'!$A$36,'Données projet'!$B$36,N90+M91-V90)))</f>
        <v>219</v>
      </c>
      <c r="O91" s="14">
        <f>N91*VLOOKUP('Données projet'!$B$9,Paramètres!$A$1:$I$89,3,0)*VLOOKUP('Données projet'!$B$9,Paramètres!$A$1:$I$89,5,0)</f>
        <v>198.15119999999999</v>
      </c>
      <c r="P91" s="14">
        <f t="shared" si="87"/>
        <v>49.337638092068957</v>
      </c>
      <c r="Q91" s="22">
        <f t="shared" si="54"/>
        <v>431.04305967702004</v>
      </c>
      <c r="R91" s="62">
        <f t="shared" si="55"/>
        <v>704.72479204621368</v>
      </c>
      <c r="S91" s="62">
        <f ca="1">AVERAGE(OFFSET($R$3,0,0,'Données projet'!$E$9+1,1))-AVERAGE(OFFSET($H$3,0,0,'Données projet'!$E$9+1,1))</f>
        <v>432.80275651765203</v>
      </c>
      <c r="T91" s="62">
        <f t="shared" si="88"/>
        <v>203.89279893419919</v>
      </c>
      <c r="U91" s="16">
        <f>IF(ISNA(VLOOKUP(A91,'Données projet'!$A$35:$I$55,3,0)),0,VLOOKUP(A91,'Données projet'!$A$35:$I$55,3,0))</f>
        <v>5</v>
      </c>
      <c r="V91" s="16">
        <f>IF(ISNA(VLOOKUP(A91,'Données projet'!$A$35:$I$55,4,0)),0,VLOOKUP(A91,'Données projet'!$A$35:$I$55,4,0))</f>
        <v>35</v>
      </c>
      <c r="W91" s="17">
        <f>IF(ISNA(VLOOKUP(A91,'Données projet'!$A$35:$I$55,5,0)),0%,VLOOKUP(A91,'Données projet'!$A$35:$I$55,5,0)*VLOOKUP('Données projet'!$B$9,Paramètres!$A$1:$I$89,7,0))</f>
        <v>0.215</v>
      </c>
      <c r="X91" s="17">
        <f>IF(ISNA(VLOOKUP(A91,'Données projet'!$A$35:$I$55,6,0)),0%,VLOOKUP(A91,'Données projet'!$A$35:$I$55,6,0)*VLOOKUP('Données projet'!$B$9,Paramètres!$A$1:$I$89,7,0))</f>
        <v>0.17200000000000001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17.658173016581987</v>
      </c>
      <c r="AA91" s="23">
        <f>EXP(-LN(2)/25)*AA90+(1-EXP(-LN(2)/25))/(LN(2)/25)*Calculateur!V91*Calculateur!X91*VLOOKUP('Données projet'!$B$9,Paramètres!$A$1:$I$89,3,0)*0.475*44/12</f>
        <v>13.204528065953225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30.86270108253521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3.813056537183002E-14</v>
      </c>
      <c r="AK91" s="14">
        <f t="shared" si="89"/>
        <v>6.4086286045526829E-13</v>
      </c>
      <c r="AL91" s="22">
        <f t="shared" si="58"/>
        <v>1.1825802166488628E-12</v>
      </c>
      <c r="AM91" s="62">
        <f t="shared" si="59"/>
        <v>273.68173236919489</v>
      </c>
      <c r="AN91" s="62">
        <f ca="1">AVERAGE(OFFSET($AM$3,0,0,'Données projet'!$E$10+1,1))-AVERAGE(OFFSET($H$3,0,0,'Données projet'!$E$10+1,1))</f>
        <v>273.21861937609918</v>
      </c>
      <c r="AO91" s="62">
        <f t="shared" si="90"/>
        <v>268.83004886965318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98.41426335384908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98.41426335384908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4.6111381379887463E-14</v>
      </c>
      <c r="BF91" s="14">
        <f t="shared" si="91"/>
        <v>7.5804141040779151E-13</v>
      </c>
      <c r="BG91" s="22">
        <f t="shared" si="61"/>
        <v>1.4005661123635408E-12</v>
      </c>
      <c r="BH91" s="62">
        <f t="shared" si="62"/>
        <v>273.68173236919512</v>
      </c>
      <c r="BI91" s="62">
        <f ca="1">AVERAGE(OFFSET($BH$3,0,0,'Données projet'!$E$11+1,1))-AVERAGE(OFFSET($H$3,0,0,'Données projet'!$E$11+1,1))</f>
        <v>319.01020001288975</v>
      </c>
      <c r="BJ91" s="62">
        <f t="shared" si="92"/>
        <v>312.22190035638084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119.01259754418955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119.01259754418955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6.1186256061773749E-14</v>
      </c>
      <c r="CA91" s="14">
        <f t="shared" si="93"/>
        <v>9.7328366192051127E-13</v>
      </c>
      <c r="CB91" s="22">
        <f t="shared" si="64"/>
        <v>1.8017017738191463E-12</v>
      </c>
      <c r="CC91" s="62">
        <f t="shared" si="65"/>
        <v>273.68173236919552</v>
      </c>
      <c r="CD91" s="62">
        <f ca="1">AVERAGE(OFFSET($CC$3,0,0,'Données projet'!$E$12+1,1))-AVERAGE(OFFSET($H$3,0,0,'Données projet'!$E$12+1,1))</f>
        <v>405.06394904053946</v>
      </c>
      <c r="CE91" s="62">
        <f t="shared" si="94"/>
        <v>393.75247087518198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128.12422964935067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128.12422964935067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>
        <f>VLOOKUP(A91,'Données projet'!$A$139:$I$159,2,0)</f>
        <v>219</v>
      </c>
      <c r="CR91" s="13">
        <f>VLOOKUP(A91,'Données projet'!$A$139:$I$159,9,0)</f>
        <v>5.7</v>
      </c>
      <c r="CS91" s="13">
        <f t="array" ref="CS91">INDEX(CR:CR,MIN(IF(ISNUMBER(CR91:CR287),ROW(CR91:CR287),"")))</f>
        <v>5.7</v>
      </c>
      <c r="CT91" s="13">
        <f>IF('Données projet'!$A$140&gt;35,CT90+CS91-DB90,IF(A91&lt;'Données projet'!$A$140,$CQ$205^A91,IF(A91='Données projet'!$A$140,'Données projet'!$B$140,CT90+CS91-DB90)))</f>
        <v>219</v>
      </c>
      <c r="CU91" s="18">
        <f>CT91*VLOOKUP('Données projet'!$B$13,Paramètres!$A$1:$I$89,3,0)*VLOOKUP('Données projet'!$B$13,Paramètres!$A$1:$I$89,5,0)</f>
        <v>222.066</v>
      </c>
      <c r="CV91" s="14">
        <f t="shared" si="95"/>
        <v>54.563676045889338</v>
      </c>
      <c r="CW91" s="22">
        <f t="shared" si="67"/>
        <v>481.79668577992396</v>
      </c>
      <c r="CX91" s="62">
        <f t="shared" si="68"/>
        <v>755.47841814911772</v>
      </c>
      <c r="CY91" s="62">
        <f ca="1">AVERAGE(OFFSET($CX$3,0,0,'Données projet'!$E$13+1,1))-AVERAGE(OFFSET($H$3,0,0,'Données projet'!$E$13+1,1))</f>
        <v>474.46836359712393</v>
      </c>
      <c r="CZ91" s="62">
        <f t="shared" si="96"/>
        <v>221.28699636637722</v>
      </c>
      <c r="DA91" s="16">
        <f>IF(ISNA(VLOOKUP(A91,'Données projet'!$A$139:$I$159,3,0)),0,VLOOKUP(A91,'Données projet'!$A$139:$I$159,3,0))</f>
        <v>5</v>
      </c>
      <c r="DB91" s="16">
        <f>IF(ISNA(VLOOKUP(A91,'Données projet'!$A$139:$I$159,4,0)),0,VLOOKUP(A91,'Données projet'!$A$139:$I$159,4,0))</f>
        <v>35</v>
      </c>
      <c r="DC91" s="17">
        <f>IF(ISNA(VLOOKUP(A91,'Données projet'!$A$139:$I$159,5,0)),0%,VLOOKUP(A91,'Données projet'!$A$139:$I$159,5,0)*VLOOKUP('Données projet'!$B$13,Paramètres!$A$1:$I$89,7,0))</f>
        <v>0.215</v>
      </c>
      <c r="DD91" s="17">
        <f>IF(ISNA(VLOOKUP(A91,'Données projet'!$A$139:$I$159,6,0)),0%,VLOOKUP(A91,'Données projet'!$A$139:$I$159,6,0)*VLOOKUP('Données projet'!$B$13,Paramètres!$A$1:$I$89,7,0))</f>
        <v>0.17200000000000001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19.789331828928091</v>
      </c>
      <c r="DG91" s="23">
        <f>EXP(-LN(2)/25)*DG90+(1-EXP(-LN(2)/25))/(LN(2)/25)*Calculateur!DB91*Calculateur!DD91*VLOOKUP('Données projet'!$B$13,Paramètres!$A$1:$I$89,3,0)*0.475*44/12</f>
        <v>14.798178004947577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34.587509833875671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4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5.7</v>
      </c>
      <c r="N92" s="14">
        <f>IF('Données projet'!$A$36&gt;35,N91+M92-V91,IF(A92&lt;'Données projet'!$A$36,$K$205^A92,IF(A92='Données projet'!$A$36,'Données projet'!$B$36,N91+M92-V91)))</f>
        <v>189.7</v>
      </c>
      <c r="O92" s="14">
        <f>N92*VLOOKUP('Données projet'!$B$9,Paramètres!$A$1:$I$89,3,0)*VLOOKUP('Données projet'!$B$9,Paramètres!$A$1:$I$89,5,0)</f>
        <v>171.64055999999997</v>
      </c>
      <c r="P92" s="14">
        <f t="shared" si="87"/>
        <v>43.457248820627512</v>
      </c>
      <c r="Q92" s="22">
        <f t="shared" si="54"/>
        <v>374.62868369592616</v>
      </c>
      <c r="R92" s="62">
        <f t="shared" si="55"/>
        <v>648.6513274074498</v>
      </c>
      <c r="S92" s="62">
        <f ca="1">AVERAGE(OFFSET($R$3,0,0,'Données projet'!$E$9+1,1))-AVERAGE(OFFSET($H$3,0,0,'Données projet'!$E$9+1,1))</f>
        <v>432.80275651765203</v>
      </c>
      <c r="T92" s="62">
        <f t="shared" si="88"/>
        <v>203.89279893419919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17.311907014148865</v>
      </c>
      <c r="AA92" s="23">
        <f>EXP(-LN(2)/25)*AA91+(1-EXP(-LN(2)/25))/(LN(2)/25)*Calculateur!V92*Calculateur!X92*VLOOKUP('Données projet'!$B$9,Paramètres!$A$1:$I$89,3,0)*0.475*44/12</f>
        <v>12.843449551593782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30.155356565742647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3.813056537183002E-14</v>
      </c>
      <c r="AK92" s="14">
        <f t="shared" si="89"/>
        <v>6.4086286045526829E-13</v>
      </c>
      <c r="AL92" s="22">
        <f t="shared" si="58"/>
        <v>1.1825802166488628E-12</v>
      </c>
      <c r="AM92" s="62">
        <f t="shared" si="59"/>
        <v>274.02264371152478</v>
      </c>
      <c r="AN92" s="62">
        <f ca="1">AVERAGE(OFFSET($AM$3,0,0,'Données projet'!$E$10+1,1))-AVERAGE(OFFSET($H$3,0,0,'Données projet'!$E$10+1,1))</f>
        <v>273.21861937609918</v>
      </c>
      <c r="AO92" s="62">
        <f t="shared" si="90"/>
        <v>268.83004886965318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96.484419676253594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96.484419676253594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4.6111381379887463E-14</v>
      </c>
      <c r="BF92" s="14">
        <f t="shared" si="91"/>
        <v>7.5804141040779151E-13</v>
      </c>
      <c r="BG92" s="22">
        <f t="shared" si="61"/>
        <v>1.4005661123635408E-12</v>
      </c>
      <c r="BH92" s="62">
        <f t="shared" si="62"/>
        <v>274.02264371152501</v>
      </c>
      <c r="BI92" s="62">
        <f ca="1">AVERAGE(OFFSET($BH$3,0,0,'Données projet'!$E$11+1,1))-AVERAGE(OFFSET($H$3,0,0,'Données projet'!$E$11+1,1))</f>
        <v>319.01020001288975</v>
      </c>
      <c r="BJ92" s="62">
        <f t="shared" si="92"/>
        <v>312.22190035638084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116.67883309686478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116.67883309686478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6.1186256061773749E-14</v>
      </c>
      <c r="CA92" s="14">
        <f t="shared" si="93"/>
        <v>9.7328366192051127E-13</v>
      </c>
      <c r="CB92" s="22">
        <f t="shared" si="64"/>
        <v>1.8017017738191463E-12</v>
      </c>
      <c r="CC92" s="62">
        <f t="shared" si="65"/>
        <v>274.0226437115254</v>
      </c>
      <c r="CD92" s="62">
        <f ca="1">AVERAGE(OFFSET($CC$3,0,0,'Données projet'!$E$12+1,1))-AVERAGE(OFFSET($H$3,0,0,'Données projet'!$E$12+1,1))</f>
        <v>405.06394904053946</v>
      </c>
      <c r="CE92" s="62">
        <f t="shared" si="94"/>
        <v>393.75247087518198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125.61179165399051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125.61179165399051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5.7</v>
      </c>
      <c r="CT92" s="13">
        <f>IF('Données projet'!$A$140&gt;35,CT91+CS92-DB91,IF(A92&lt;'Données projet'!$A$140,$CQ$205^A92,IF(A92='Données projet'!$A$140,'Données projet'!$B$140,CT91+CS92-DB91)))</f>
        <v>189.7</v>
      </c>
      <c r="CU92" s="18">
        <f>CT92*VLOOKUP('Données projet'!$B$13,Paramètres!$A$1:$I$89,3,0)*VLOOKUP('Données projet'!$B$13,Paramètres!$A$1:$I$89,5,0)</f>
        <v>192.35579999999999</v>
      </c>
      <c r="CV92" s="14">
        <f t="shared" si="95"/>
        <v>48.060412662427296</v>
      </c>
      <c r="CW92" s="22">
        <f t="shared" si="67"/>
        <v>418.72490372039414</v>
      </c>
      <c r="CX92" s="62">
        <f t="shared" si="68"/>
        <v>692.74754743191772</v>
      </c>
      <c r="CY92" s="62">
        <f ca="1">AVERAGE(OFFSET($CX$3,0,0,'Données projet'!$E$13+1,1))-AVERAGE(OFFSET($H$3,0,0,'Données projet'!$E$13+1,1))</f>
        <v>474.46836359712393</v>
      </c>
      <c r="CZ92" s="62">
        <f t="shared" si="96"/>
        <v>221.28699636637722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19.401275102063384</v>
      </c>
      <c r="DG92" s="23">
        <f>EXP(-LN(2)/25)*DG91+(1-EXP(-LN(2)/25))/(LN(2)/25)*Calculateur!DB92*Calculateur!DD92*VLOOKUP('Données projet'!$B$13,Paramètres!$A$1:$I$89,3,0)*0.475*44/12</f>
        <v>14.393521049199926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33.794796151263313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4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5.7</v>
      </c>
      <c r="N93" s="14">
        <f>IF('Données projet'!$A$36&gt;35,N92+M93-V92,IF(A93&lt;'Données projet'!$A$36,$K$205^A93,IF(A93='Données projet'!$A$36,'Données projet'!$B$36,N92+M93-V92)))</f>
        <v>195.39999999999998</v>
      </c>
      <c r="O93" s="14">
        <f>N93*VLOOKUP('Données projet'!$B$9,Paramètres!$A$1:$I$89,3,0)*VLOOKUP('Données projet'!$B$9,Paramètres!$A$1:$I$89,5,0)</f>
        <v>176.79791999999998</v>
      </c>
      <c r="P93" s="14">
        <f t="shared" si="87"/>
        <v>44.609039852547795</v>
      </c>
      <c r="Q93" s="22">
        <f t="shared" si="54"/>
        <v>385.61712174318728</v>
      </c>
      <c r="R93" s="62">
        <f t="shared" si="55"/>
        <v>659.97476274741496</v>
      </c>
      <c r="S93" s="62">
        <f ca="1">AVERAGE(OFFSET($R$3,0,0,'Données projet'!$E$9+1,1))-AVERAGE(OFFSET($H$3,0,0,'Données projet'!$E$9+1,1))</f>
        <v>432.80275651765203</v>
      </c>
      <c r="T93" s="62">
        <f t="shared" si="88"/>
        <v>203.89279893419919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16.972431076822048</v>
      </c>
      <c r="AA93" s="23">
        <f>EXP(-LN(2)/25)*AA92+(1-EXP(-LN(2)/25))/(LN(2)/25)*Calculateur!V93*Calculateur!X93*VLOOKUP('Données projet'!$B$9,Paramètres!$A$1:$I$89,3,0)*0.475*44/12</f>
        <v>12.492244748197793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29.464675825019839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3.813056537183002E-14</v>
      </c>
      <c r="AK93" s="14">
        <f t="shared" si="89"/>
        <v>6.4086286045526829E-13</v>
      </c>
      <c r="AL93" s="22">
        <f t="shared" si="58"/>
        <v>1.1825802166488628E-12</v>
      </c>
      <c r="AM93" s="62">
        <f t="shared" si="59"/>
        <v>274.35764100422887</v>
      </c>
      <c r="AN93" s="62">
        <f ca="1">AVERAGE(OFFSET($AM$3,0,0,'Données projet'!$E$10+1,1))-AVERAGE(OFFSET($H$3,0,0,'Données projet'!$E$10+1,1))</f>
        <v>273.21861937609918</v>
      </c>
      <c r="AO93" s="62">
        <f t="shared" si="90"/>
        <v>268.83004886965318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94.592419056087337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94.592419056087337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4.6111381379887463E-14</v>
      </c>
      <c r="BF93" s="14">
        <f t="shared" si="91"/>
        <v>7.5804141040779151E-13</v>
      </c>
      <c r="BG93" s="22">
        <f t="shared" si="61"/>
        <v>1.4005661123635408E-12</v>
      </c>
      <c r="BH93" s="62">
        <f t="shared" si="62"/>
        <v>274.35764100422909</v>
      </c>
      <c r="BI93" s="62">
        <f ca="1">AVERAGE(OFFSET($BH$3,0,0,'Données projet'!$E$11+1,1))-AVERAGE(OFFSET($H$3,0,0,'Données projet'!$E$11+1,1))</f>
        <v>319.01020001288975</v>
      </c>
      <c r="BJ93" s="62">
        <f t="shared" si="92"/>
        <v>312.22190035638084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114.39083234689629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114.39083234689629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6.1186256061773749E-14</v>
      </c>
      <c r="CA93" s="14">
        <f t="shared" si="93"/>
        <v>9.7328366192051127E-13</v>
      </c>
      <c r="CB93" s="22">
        <f t="shared" si="64"/>
        <v>1.8017017738191463E-12</v>
      </c>
      <c r="CC93" s="62">
        <f t="shared" si="65"/>
        <v>274.35764100422949</v>
      </c>
      <c r="CD93" s="62">
        <f ca="1">AVERAGE(OFFSET($CC$3,0,0,'Données projet'!$E$12+1,1))-AVERAGE(OFFSET($H$3,0,0,'Données projet'!$E$12+1,1))</f>
        <v>405.06394904053946</v>
      </c>
      <c r="CE93" s="62">
        <f t="shared" si="94"/>
        <v>393.75247087518198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123.1486210352835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123.1486210352835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5.7</v>
      </c>
      <c r="CT93" s="13">
        <f>IF('Données projet'!$A$140&gt;35,CT92+CS93-DB92,IF(A93&lt;'Données projet'!$A$140,$CQ$205^A93,IF(A93='Données projet'!$A$140,'Données projet'!$B$140,CT92+CS93-DB92)))</f>
        <v>195.39999999999998</v>
      </c>
      <c r="CU93" s="18">
        <f>CT93*VLOOKUP('Données projet'!$B$13,Paramètres!$A$1:$I$89,3,0)*VLOOKUP('Données projet'!$B$13,Paramètres!$A$1:$I$89,5,0)</f>
        <v>198.13559999999998</v>
      </c>
      <c r="CV93" s="14">
        <f t="shared" si="95"/>
        <v>49.334205960375243</v>
      </c>
      <c r="CW93" s="22">
        <f t="shared" si="67"/>
        <v>431.00991204765347</v>
      </c>
      <c r="CX93" s="62">
        <f t="shared" si="68"/>
        <v>705.36755305188115</v>
      </c>
      <c r="CY93" s="62">
        <f ca="1">AVERAGE(OFFSET($CX$3,0,0,'Données projet'!$E$13+1,1))-AVERAGE(OFFSET($H$3,0,0,'Données projet'!$E$13+1,1))</f>
        <v>474.46836359712393</v>
      </c>
      <c r="CZ93" s="62">
        <f t="shared" si="96"/>
        <v>221.28699636637722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19.020827930921261</v>
      </c>
      <c r="DG93" s="23">
        <f>EXP(-LN(2)/25)*DG92+(1-EXP(-LN(2)/25))/(LN(2)/25)*Calculateur!DB93*Calculateur!DD93*VLOOKUP('Données projet'!$B$13,Paramètres!$A$1:$I$89,3,0)*0.475*44/12</f>
        <v>13.999929459187179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33.020757390108443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4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5.7</v>
      </c>
      <c r="N94" s="14">
        <f>IF('Données projet'!$A$36&gt;35,N93+M94-V93,IF(A94&lt;'Données projet'!$A$36,$K$205^A94,IF(A94='Données projet'!$A$36,'Données projet'!$B$36,N93+M94-V93)))</f>
        <v>201.09999999999997</v>
      </c>
      <c r="O94" s="14">
        <f>N94*VLOOKUP('Données projet'!$B$9,Paramètres!$A$1:$I$89,3,0)*VLOOKUP('Données projet'!$B$9,Paramètres!$A$1:$I$89,5,0)</f>
        <v>181.95527999999996</v>
      </c>
      <c r="P94" s="14">
        <f t="shared" si="87"/>
        <v>45.756926029204784</v>
      </c>
      <c r="Q94" s="22">
        <f t="shared" si="54"/>
        <v>396.59875883419824</v>
      </c>
      <c r="R94" s="62">
        <f t="shared" si="55"/>
        <v>671.28558567704329</v>
      </c>
      <c r="S94" s="62">
        <f ca="1">AVERAGE(OFFSET($R$3,0,0,'Données projet'!$E$9+1,1))-AVERAGE(OFFSET($H$3,0,0,'Données projet'!$E$9+1,1))</f>
        <v>432.80275651765203</v>
      </c>
      <c r="T94" s="62">
        <f t="shared" si="88"/>
        <v>203.89279893419919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16.639612055566332</v>
      </c>
      <c r="AA94" s="23">
        <f>EXP(-LN(2)/25)*AA93+(1-EXP(-LN(2)/25))/(LN(2)/25)*Calculateur!V94*Calculateur!X94*VLOOKUP('Données projet'!$B$9,Paramètres!$A$1:$I$89,3,0)*0.475*44/12</f>
        <v>12.150643658619725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28.790255714186056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3.813056537183002E-14</v>
      </c>
      <c r="AK94" s="14">
        <f t="shared" si="89"/>
        <v>6.4086286045526829E-13</v>
      </c>
      <c r="AL94" s="22">
        <f t="shared" si="58"/>
        <v>1.1825802166488628E-12</v>
      </c>
      <c r="AM94" s="62">
        <f t="shared" si="59"/>
        <v>274.68682684284624</v>
      </c>
      <c r="AN94" s="62">
        <f ca="1">AVERAGE(OFFSET($AM$3,0,0,'Données projet'!$E$10+1,1))-AVERAGE(OFFSET($H$3,0,0,'Données projet'!$E$10+1,1))</f>
        <v>273.21861937609918</v>
      </c>
      <c r="AO94" s="62">
        <f t="shared" si="90"/>
        <v>268.83004886965318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92.737519414076118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92.737519414076118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4.6111381379887463E-14</v>
      </c>
      <c r="BF94" s="14">
        <f t="shared" si="91"/>
        <v>7.5804141040779151E-13</v>
      </c>
      <c r="BG94" s="22">
        <f t="shared" si="61"/>
        <v>1.4005661123635408E-12</v>
      </c>
      <c r="BH94" s="62">
        <f t="shared" si="62"/>
        <v>274.68682684284647</v>
      </c>
      <c r="BI94" s="62">
        <f ca="1">AVERAGE(OFFSET($BH$3,0,0,'Données projet'!$E$11+1,1))-AVERAGE(OFFSET($H$3,0,0,'Données projet'!$E$11+1,1))</f>
        <v>319.01020001288975</v>
      </c>
      <c r="BJ94" s="62">
        <f t="shared" si="92"/>
        <v>312.22190035638084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112.14769789609203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112.14769789609203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6.1186256061773749E-14</v>
      </c>
      <c r="CA94" s="14">
        <f t="shared" si="93"/>
        <v>9.7328366192051127E-13</v>
      </c>
      <c r="CB94" s="22">
        <f t="shared" si="64"/>
        <v>1.8017017738191463E-12</v>
      </c>
      <c r="CC94" s="62">
        <f t="shared" si="65"/>
        <v>274.68682684284687</v>
      </c>
      <c r="CD94" s="62">
        <f ca="1">AVERAGE(OFFSET($CC$3,0,0,'Données projet'!$E$12+1,1))-AVERAGE(OFFSET($H$3,0,0,'Données projet'!$E$12+1,1))</f>
        <v>405.06394904053946</v>
      </c>
      <c r="CE94" s="62">
        <f t="shared" si="94"/>
        <v>393.75247087518198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120.73375169002361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120.73375169002361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5.7</v>
      </c>
      <c r="CT94" s="13">
        <f>IF('Données projet'!$A$140&gt;35,CT93+CS94-DB93,IF(A94&lt;'Données projet'!$A$140,$CQ$205^A94,IF(A94='Données projet'!$A$140,'Données projet'!$B$140,CT93+CS94-DB93)))</f>
        <v>201.09999999999997</v>
      </c>
      <c r="CU94" s="18">
        <f>CT94*VLOOKUP('Données projet'!$B$13,Paramètres!$A$1:$I$89,3,0)*VLOOKUP('Données projet'!$B$13,Paramètres!$A$1:$I$89,5,0)</f>
        <v>203.91539999999998</v>
      </c>
      <c r="CV94" s="14">
        <f t="shared" si="95"/>
        <v>50.603680785331143</v>
      </c>
      <c r="CW94" s="22">
        <f t="shared" si="67"/>
        <v>443.28739903445171</v>
      </c>
      <c r="CX94" s="62">
        <f t="shared" si="68"/>
        <v>717.9742258772967</v>
      </c>
      <c r="CY94" s="62">
        <f ca="1">AVERAGE(OFFSET($CX$3,0,0,'Données projet'!$E$13+1,1))-AVERAGE(OFFSET($H$3,0,0,'Données projet'!$E$13+1,1))</f>
        <v>474.46836359712393</v>
      </c>
      <c r="CZ94" s="62">
        <f t="shared" si="96"/>
        <v>221.28699636637722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18.647841096755375</v>
      </c>
      <c r="DG94" s="23">
        <f>EXP(-LN(2)/25)*DG93+(1-EXP(-LN(2)/25))/(LN(2)/25)*Calculateur!DB94*Calculateur!DD94*VLOOKUP('Données projet'!$B$13,Paramètres!$A$1:$I$89,3,0)*0.475*44/12</f>
        <v>13.617100651901412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32.264941748656788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4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5.7</v>
      </c>
      <c r="N95" s="14">
        <f>IF('Données projet'!$A$36&gt;35,N94+M95-V94,IF(A95&lt;'Données projet'!$A$36,$K$205^A95,IF(A95='Données projet'!$A$36,'Données projet'!$B$36,N94+M95-V94)))</f>
        <v>206.79999999999995</v>
      </c>
      <c r="O95" s="14">
        <f>N95*VLOOKUP('Données projet'!$B$9,Paramètres!$A$1:$I$89,3,0)*VLOOKUP('Données projet'!$B$9,Paramètres!$A$1:$I$89,5,0)</f>
        <v>187.11263999999994</v>
      </c>
      <c r="P95" s="14">
        <f t="shared" si="87"/>
        <v>46.901030743214655</v>
      </c>
      <c r="Q95" s="22">
        <f t="shared" si="54"/>
        <v>407.57380987776543</v>
      </c>
      <c r="R95" s="62">
        <f t="shared" si="55"/>
        <v>682.58411192087715</v>
      </c>
      <c r="S95" s="62">
        <f ca="1">AVERAGE(OFFSET($R$3,0,0,'Données projet'!$E$9+1,1))-AVERAGE(OFFSET($H$3,0,0,'Données projet'!$E$9+1,1))</f>
        <v>432.80275651765203</v>
      </c>
      <c r="T95" s="62">
        <f t="shared" si="88"/>
        <v>203.89279893419919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16.313319412317885</v>
      </c>
      <c r="AA95" s="23">
        <f>EXP(-LN(2)/25)*AA94+(1-EXP(-LN(2)/25))/(LN(2)/25)*Calculateur!V95*Calculateur!X95*VLOOKUP('Données projet'!$B$9,Paramètres!$A$1:$I$89,3,0)*0.475*44/12</f>
        <v>11.818383668800189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28.131703081118076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3.813056537183002E-14</v>
      </c>
      <c r="AK95" s="14">
        <f t="shared" si="89"/>
        <v>6.4086286045526829E-13</v>
      </c>
      <c r="AL95" s="22">
        <f t="shared" si="58"/>
        <v>1.1825802166488628E-12</v>
      </c>
      <c r="AM95" s="62">
        <f t="shared" si="59"/>
        <v>275.01030204311292</v>
      </c>
      <c r="AN95" s="62">
        <f ca="1">AVERAGE(OFFSET($AM$3,0,0,'Données projet'!$E$10+1,1))-AVERAGE(OFFSET($H$3,0,0,'Données projet'!$E$10+1,1))</f>
        <v>273.21861937609918</v>
      </c>
      <c r="AO95" s="62">
        <f t="shared" si="90"/>
        <v>268.83004886965318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90.918993222667666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90.918993222667666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4.6111381379887463E-14</v>
      </c>
      <c r="BF95" s="14">
        <f t="shared" si="91"/>
        <v>7.5804141040779151E-13</v>
      </c>
      <c r="BG95" s="22">
        <f t="shared" si="61"/>
        <v>1.4005661123635408E-12</v>
      </c>
      <c r="BH95" s="62">
        <f t="shared" si="62"/>
        <v>275.01030204311314</v>
      </c>
      <c r="BI95" s="62">
        <f ca="1">AVERAGE(OFFSET($BH$3,0,0,'Données projet'!$E$11+1,1))-AVERAGE(OFFSET($H$3,0,0,'Données projet'!$E$11+1,1))</f>
        <v>319.01020001288975</v>
      </c>
      <c r="BJ95" s="62">
        <f t="shared" si="92"/>
        <v>312.22190035638084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109.94854994369111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109.94854994369111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6.1186256061773749E-14</v>
      </c>
      <c r="CA95" s="14">
        <f t="shared" si="93"/>
        <v>9.7328366192051127E-13</v>
      </c>
      <c r="CB95" s="22">
        <f t="shared" si="64"/>
        <v>1.8017017738191463E-12</v>
      </c>
      <c r="CC95" s="62">
        <f t="shared" si="65"/>
        <v>275.01030204311354</v>
      </c>
      <c r="CD95" s="62">
        <f ca="1">AVERAGE(OFFSET($CC$3,0,0,'Données projet'!$E$12+1,1))-AVERAGE(OFFSET($H$3,0,0,'Données projet'!$E$12+1,1))</f>
        <v>405.06394904053946</v>
      </c>
      <c r="CE95" s="62">
        <f t="shared" si="94"/>
        <v>393.75247087518198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118.36623645969939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118.36623645969939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5.7</v>
      </c>
      <c r="CT95" s="13">
        <f>IF('Données projet'!$A$140&gt;35,CT94+CS95-DB94,IF(A95&lt;'Données projet'!$A$140,$CQ$205^A95,IF(A95='Données projet'!$A$140,'Données projet'!$B$140,CT94+CS95-DB94)))</f>
        <v>206.79999999999995</v>
      </c>
      <c r="CU95" s="18">
        <f>CT95*VLOOKUP('Données projet'!$B$13,Paramètres!$A$1:$I$89,3,0)*VLOOKUP('Données projet'!$B$13,Paramètres!$A$1:$I$89,5,0)</f>
        <v>209.6952</v>
      </c>
      <c r="CV95" s="14">
        <f t="shared" si="95"/>
        <v>51.868973600145608</v>
      </c>
      <c r="CW95" s="22">
        <f t="shared" si="67"/>
        <v>455.55760235358701</v>
      </c>
      <c r="CX95" s="62">
        <f t="shared" si="68"/>
        <v>730.56790439669874</v>
      </c>
      <c r="CY95" s="62">
        <f ca="1">AVERAGE(OFFSET($CX$3,0,0,'Données projet'!$E$13+1,1))-AVERAGE(OFFSET($H$3,0,0,'Données projet'!$E$13+1,1))</f>
        <v>474.46836359712393</v>
      </c>
      <c r="CZ95" s="62">
        <f t="shared" si="96"/>
        <v>221.28699636637722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18.282168306907977</v>
      </c>
      <c r="DG95" s="23">
        <f>EXP(-LN(2)/25)*DG94+(1-EXP(-LN(2)/25))/(LN(2)/25)*Calculateur!DB95*Calculateur!DD95*VLOOKUP('Données projet'!$B$13,Paramètres!$A$1:$I$89,3,0)*0.475*44/12</f>
        <v>13.244740318482966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31.526908625390945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4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5.7</v>
      </c>
      <c r="N96" s="14">
        <f>IF('Données projet'!$A$36&gt;35,N95+M96-V95,IF(A96&lt;'Données projet'!$A$36,$K$205^A96,IF(A96='Données projet'!$A$36,'Données projet'!$B$36,N95+M96-V95)))</f>
        <v>212.49999999999994</v>
      </c>
      <c r="O96" s="14">
        <f>N96*VLOOKUP('Données projet'!$B$9,Paramètres!$A$1:$I$89,3,0)*VLOOKUP('Données projet'!$B$9,Paramètres!$A$1:$I$89,5,0)</f>
        <v>192.26999999999995</v>
      </c>
      <c r="P96" s="14">
        <f t="shared" si="87"/>
        <v>48.041470197986364</v>
      </c>
      <c r="Q96" s="22">
        <f t="shared" si="54"/>
        <v>418.54247726149282</v>
      </c>
      <c r="R96" s="62">
        <f t="shared" si="55"/>
        <v>693.87064293332878</v>
      </c>
      <c r="S96" s="62">
        <f ca="1">AVERAGE(OFFSET($R$3,0,0,'Données projet'!$E$9+1,1))-AVERAGE(OFFSET($H$3,0,0,'Données projet'!$E$9+1,1))</f>
        <v>432.80275651765203</v>
      </c>
      <c r="T96" s="62">
        <f t="shared" si="88"/>
        <v>203.89279893419919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15.993425168784677</v>
      </c>
      <c r="AA96" s="23">
        <f>EXP(-LN(2)/25)*AA95+(1-EXP(-LN(2)/25))/(LN(2)/25)*Calculateur!V96*Calculateur!X96*VLOOKUP('Données projet'!$B$9,Paramètres!$A$1:$I$89,3,0)*0.475*44/12</f>
        <v>11.495209345875063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27.48863451465974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3.813056537183002E-14</v>
      </c>
      <c r="AK96" s="14">
        <f t="shared" si="89"/>
        <v>6.4086286045526829E-13</v>
      </c>
      <c r="AL96" s="22">
        <f t="shared" si="58"/>
        <v>1.1825802166488628E-12</v>
      </c>
      <c r="AM96" s="62">
        <f t="shared" si="59"/>
        <v>275.32816567183716</v>
      </c>
      <c r="AN96" s="62">
        <f ca="1">AVERAGE(OFFSET($AM$3,0,0,'Données projet'!$E$10+1,1))-AVERAGE(OFFSET($H$3,0,0,'Données projet'!$E$10+1,1))</f>
        <v>273.21861937609918</v>
      </c>
      <c r="AO96" s="62">
        <f t="shared" si="90"/>
        <v>268.83004886965318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89.136127220681288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89.136127220681288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4.6111381379887463E-14</v>
      </c>
      <c r="BF96" s="14">
        <f t="shared" si="91"/>
        <v>7.5804141040779151E-13</v>
      </c>
      <c r="BG96" s="22">
        <f t="shared" si="61"/>
        <v>1.4005661123635408E-12</v>
      </c>
      <c r="BH96" s="62">
        <f t="shared" si="62"/>
        <v>275.32816567183738</v>
      </c>
      <c r="BI96" s="62">
        <f ca="1">AVERAGE(OFFSET($BH$3,0,0,'Données projet'!$E$11+1,1))-AVERAGE(OFFSET($H$3,0,0,'Données projet'!$E$11+1,1))</f>
        <v>319.01020001288975</v>
      </c>
      <c r="BJ96" s="62">
        <f t="shared" si="92"/>
        <v>312.22190035638084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107.79252594128897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107.79252594128897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6.1186256061773749E-14</v>
      </c>
      <c r="CA96" s="14">
        <f t="shared" si="93"/>
        <v>9.7328366192051127E-13</v>
      </c>
      <c r="CB96" s="22">
        <f t="shared" si="64"/>
        <v>1.8017017738191463E-12</v>
      </c>
      <c r="CC96" s="62">
        <f t="shared" si="65"/>
        <v>275.32816567183778</v>
      </c>
      <c r="CD96" s="62">
        <f ca="1">AVERAGE(OFFSET($CC$3,0,0,'Données projet'!$E$12+1,1))-AVERAGE(OFFSET($H$3,0,0,'Données projet'!$E$12+1,1))</f>
        <v>405.06394904053946</v>
      </c>
      <c r="CE96" s="62">
        <f t="shared" si="94"/>
        <v>393.75247087518198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116.04514675900013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116.04514675900013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5.7</v>
      </c>
      <c r="CT96" s="13">
        <f>IF('Données projet'!$A$140&gt;35,CT95+CS96-DB95,IF(A96&lt;'Données projet'!$A$140,$CQ$205^A96,IF(A96='Données projet'!$A$140,'Données projet'!$B$140,CT95+CS96-DB95)))</f>
        <v>212.49999999999994</v>
      </c>
      <c r="CU96" s="18">
        <f>CT96*VLOOKUP('Données projet'!$B$13,Paramètres!$A$1:$I$89,3,0)*VLOOKUP('Données projet'!$B$13,Paramètres!$A$1:$I$89,5,0)</f>
        <v>215.47499999999997</v>
      </c>
      <c r="CV96" s="14">
        <f t="shared" si="95"/>
        <v>53.130212916952608</v>
      </c>
      <c r="CW96" s="22">
        <f t="shared" si="67"/>
        <v>467.82074583035893</v>
      </c>
      <c r="CX96" s="62">
        <f t="shared" si="68"/>
        <v>743.14891150219489</v>
      </c>
      <c r="CY96" s="62">
        <f ca="1">AVERAGE(OFFSET($CX$3,0,0,'Données projet'!$E$13+1,1))-AVERAGE(OFFSET($H$3,0,0,'Données projet'!$E$13+1,1))</f>
        <v>474.46836359712393</v>
      </c>
      <c r="CZ96" s="62">
        <f t="shared" si="96"/>
        <v>221.28699636637722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17.923666137431105</v>
      </c>
      <c r="DG96" s="23">
        <f>EXP(-LN(2)/25)*DG95+(1-EXP(-LN(2)/25))/(LN(2)/25)*Calculateur!DB96*Calculateur!DD96*VLOOKUP('Données projet'!$B$13,Paramètres!$A$1:$I$89,3,0)*0.475*44/12</f>
        <v>12.882562197963427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30.806228335394533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4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5.7</v>
      </c>
      <c r="N97" s="14">
        <f>IF('Données projet'!$A$36&gt;35,N96+M97-V96,IF(A97&lt;'Données projet'!$A$36,$K$205^A97,IF(A97='Données projet'!$A$36,'Données projet'!$B$36,N96+M97-V96)))</f>
        <v>218.19999999999993</v>
      </c>
      <c r="O97" s="14">
        <f>N97*VLOOKUP('Données projet'!$B$9,Paramètres!$A$1:$I$89,3,0)*VLOOKUP('Données projet'!$B$9,Paramètres!$A$1:$I$89,5,0)</f>
        <v>197.42735999999994</v>
      </c>
      <c r="P97" s="14">
        <f t="shared" si="87"/>
        <v>49.178354008041829</v>
      </c>
      <c r="Q97" s="22">
        <f t="shared" si="54"/>
        <v>429.50495189733937</v>
      </c>
      <c r="R97" s="62">
        <f t="shared" si="55"/>
        <v>705.14546697457786</v>
      </c>
      <c r="S97" s="62">
        <f ca="1">AVERAGE(OFFSET($R$3,0,0,'Données projet'!$E$9+1,1))-AVERAGE(OFFSET($H$3,0,0,'Données projet'!$E$9+1,1))</f>
        <v>432.80275651765203</v>
      </c>
      <c r="T97" s="62">
        <f t="shared" si="88"/>
        <v>203.89279893419919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15.679803856250933</v>
      </c>
      <c r="AA97" s="23">
        <f>EXP(-LN(2)/25)*AA96+(1-EXP(-LN(2)/25))/(LN(2)/25)*Calculateur!V97*Calculateur!X97*VLOOKUP('Données projet'!$B$9,Paramètres!$A$1:$I$89,3,0)*0.475*44/12</f>
        <v>11.180872241805323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26.860676098056256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3.813056537183002E-14</v>
      </c>
      <c r="AK97" s="14">
        <f t="shared" si="89"/>
        <v>6.4086286045526829E-13</v>
      </c>
      <c r="AL97" s="22">
        <f t="shared" si="58"/>
        <v>1.1825802166488628E-12</v>
      </c>
      <c r="AM97" s="62">
        <f t="shared" si="59"/>
        <v>275.64051507723968</v>
      </c>
      <c r="AN97" s="62">
        <f ca="1">AVERAGE(OFFSET($AM$3,0,0,'Données projet'!$E$10+1,1))-AVERAGE(OFFSET($H$3,0,0,'Données projet'!$E$10+1,1))</f>
        <v>273.21861937609918</v>
      </c>
      <c r="AO97" s="62">
        <f t="shared" si="90"/>
        <v>268.83004886965318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87.388222133552972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87.388222133552972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4.6111381379887463E-14</v>
      </c>
      <c r="BF97" s="14">
        <f t="shared" si="91"/>
        <v>7.5804141040779151E-13</v>
      </c>
      <c r="BG97" s="22">
        <f t="shared" si="61"/>
        <v>1.4005661123635408E-12</v>
      </c>
      <c r="BH97" s="62">
        <f t="shared" si="62"/>
        <v>275.64051507723991</v>
      </c>
      <c r="BI97" s="62">
        <f ca="1">AVERAGE(OFFSET($BH$3,0,0,'Données projet'!$E$11+1,1))-AVERAGE(OFFSET($H$3,0,0,'Données projet'!$E$11+1,1))</f>
        <v>319.01020001288975</v>
      </c>
      <c r="BJ97" s="62">
        <f t="shared" si="92"/>
        <v>312.22190035638084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105.67878025452914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105.67878025452914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6.1186256061773749E-14</v>
      </c>
      <c r="CA97" s="14">
        <f t="shared" si="93"/>
        <v>9.7328366192051127E-13</v>
      </c>
      <c r="CB97" s="22">
        <f t="shared" si="64"/>
        <v>1.8017017738191463E-12</v>
      </c>
      <c r="CC97" s="62">
        <f t="shared" si="65"/>
        <v>275.64051507724031</v>
      </c>
      <c r="CD97" s="62">
        <f ca="1">AVERAGE(OFFSET($CC$3,0,0,'Données projet'!$E$12+1,1))-AVERAGE(OFFSET($H$3,0,0,'Données projet'!$E$12+1,1))</f>
        <v>405.06394904053946</v>
      </c>
      <c r="CE97" s="62">
        <f t="shared" si="94"/>
        <v>393.75247087518198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113.76957221160666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113.76957221160666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5.7</v>
      </c>
      <c r="CT97" s="13">
        <f>IF('Données projet'!$A$140&gt;35,CT96+CS97-DB96,IF(A97&lt;'Données projet'!$A$140,$CQ$205^A97,IF(A97='Données projet'!$A$140,'Données projet'!$B$140,CT96+CS97-DB96)))</f>
        <v>218.19999999999993</v>
      </c>
      <c r="CU97" s="18">
        <f>CT97*VLOOKUP('Données projet'!$B$13,Paramètres!$A$1:$I$89,3,0)*VLOOKUP('Données projet'!$B$13,Paramètres!$A$1:$I$89,5,0)</f>
        <v>221.25479999999993</v>
      </c>
      <c r="CV97" s="14">
        <f t="shared" si="95"/>
        <v>54.387519961078311</v>
      </c>
      <c r="CW97" s="22">
        <f t="shared" si="67"/>
        <v>480.07704059887783</v>
      </c>
      <c r="CX97" s="62">
        <f t="shared" si="68"/>
        <v>755.71755567611626</v>
      </c>
      <c r="CY97" s="62">
        <f ca="1">AVERAGE(OFFSET($CX$3,0,0,'Données projet'!$E$13+1,1))-AVERAGE(OFFSET($H$3,0,0,'Données projet'!$E$13+1,1))</f>
        <v>474.46836359712393</v>
      </c>
      <c r="CZ97" s="62">
        <f t="shared" si="96"/>
        <v>221.28699636637722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17.572193976832946</v>
      </c>
      <c r="DG97" s="23">
        <f>EXP(-LN(2)/25)*DG96+(1-EXP(-LN(2)/25))/(LN(2)/25)*Calculateur!DB97*Calculateur!DD97*VLOOKUP('Données projet'!$B$13,Paramètres!$A$1:$I$89,3,0)*0.475*44/12</f>
        <v>12.530287857195615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30.102481834028559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4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5.7</v>
      </c>
      <c r="N98" s="14">
        <f>IF('Données projet'!$A$36&gt;35,N97+M98-V97,IF(A98&lt;'Données projet'!$A$36,$K$205^A98,IF(A98='Données projet'!$A$36,'Données projet'!$B$36,N97+M98-V97)))</f>
        <v>223.89999999999992</v>
      </c>
      <c r="O98" s="14">
        <f>N98*VLOOKUP('Données projet'!$B$9,Paramètres!$A$1:$I$89,3,0)*VLOOKUP('Données projet'!$B$9,Paramètres!$A$1:$I$89,5,0)</f>
        <v>202.58471999999992</v>
      </c>
      <c r="P98" s="14">
        <f t="shared" si="87"/>
        <v>50.31178573484361</v>
      </c>
      <c r="Q98" s="22">
        <f t="shared" si="54"/>
        <v>440.46141415485243</v>
      </c>
      <c r="R98" s="62">
        <f t="shared" si="55"/>
        <v>716.40886007361837</v>
      </c>
      <c r="S98" s="62">
        <f ca="1">AVERAGE(OFFSET($R$3,0,0,'Données projet'!$E$9+1,1))-AVERAGE(OFFSET($H$3,0,0,'Données projet'!$E$9+1,1))</f>
        <v>432.80275651765203</v>
      </c>
      <c r="T98" s="62">
        <f t="shared" si="88"/>
        <v>203.89279893419919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15.372332466365863</v>
      </c>
      <c r="AA98" s="23">
        <f>EXP(-LN(2)/25)*AA97+(1-EXP(-LN(2)/25))/(LN(2)/25)*Calculateur!V98*Calculateur!X98*VLOOKUP('Données projet'!$B$9,Paramètres!$A$1:$I$89,3,0)*0.475*44/12</f>
        <v>10.875130702376639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26.247463168742502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3.813056537183002E-14</v>
      </c>
      <c r="AK98" s="14">
        <f t="shared" si="89"/>
        <v>6.4086286045526829E-13</v>
      </c>
      <c r="AL98" s="22">
        <f t="shared" si="58"/>
        <v>1.1825802166488628E-12</v>
      </c>
      <c r="AM98" s="62">
        <f t="shared" si="59"/>
        <v>275.94744591876713</v>
      </c>
      <c r="AN98" s="62">
        <f ca="1">AVERAGE(OFFSET($AM$3,0,0,'Données projet'!$E$10+1,1))-AVERAGE(OFFSET($H$3,0,0,'Données projet'!$E$10+1,1))</f>
        <v>273.21861937609918</v>
      </c>
      <c r="AO98" s="62">
        <f t="shared" si="90"/>
        <v>268.83004886965318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85.674592399066412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85.674592399066412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4.6111381379887463E-14</v>
      </c>
      <c r="BF98" s="14">
        <f t="shared" si="91"/>
        <v>7.5804141040779151E-13</v>
      </c>
      <c r="BG98" s="22">
        <f t="shared" si="61"/>
        <v>1.4005661123635408E-12</v>
      </c>
      <c r="BH98" s="62">
        <f t="shared" si="62"/>
        <v>275.94744591876736</v>
      </c>
      <c r="BI98" s="62">
        <f ca="1">AVERAGE(OFFSET($BH$3,0,0,'Données projet'!$E$11+1,1))-AVERAGE(OFFSET($H$3,0,0,'Données projet'!$E$11+1,1))</f>
        <v>319.01020001288975</v>
      </c>
      <c r="BJ98" s="62">
        <f t="shared" si="92"/>
        <v>312.22190035638084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103.60648383142912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103.60648383142912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6.1186256061773749E-14</v>
      </c>
      <c r="CA98" s="14">
        <f t="shared" si="93"/>
        <v>9.7328366192051127E-13</v>
      </c>
      <c r="CB98" s="22">
        <f t="shared" si="64"/>
        <v>1.8017017738191463E-12</v>
      </c>
      <c r="CC98" s="62">
        <f t="shared" si="65"/>
        <v>275.94744591876776</v>
      </c>
      <c r="CD98" s="62">
        <f ca="1">AVERAGE(OFFSET($CC$3,0,0,'Données projet'!$E$12+1,1))-AVERAGE(OFFSET($H$3,0,0,'Données projet'!$E$12+1,1))</f>
        <v>405.06394904053946</v>
      </c>
      <c r="CE98" s="62">
        <f t="shared" si="94"/>
        <v>393.75247087518198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111.53862029312415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111.53862029312415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5.7</v>
      </c>
      <c r="CT98" s="13">
        <f>IF('Données projet'!$A$140&gt;35,CT97+CS98-DB97,IF(A98&lt;'Données projet'!$A$140,$CQ$205^A98,IF(A98='Données projet'!$A$140,'Données projet'!$B$140,CT97+CS98-DB97)))</f>
        <v>223.89999999999992</v>
      </c>
      <c r="CU98" s="18">
        <f>CT98*VLOOKUP('Données projet'!$B$13,Paramètres!$A$1:$I$89,3,0)*VLOOKUP('Données projet'!$B$13,Paramètres!$A$1:$I$89,5,0)</f>
        <v>227.03459999999993</v>
      </c>
      <c r="CV98" s="14">
        <f t="shared" si="95"/>
        <v>55.641009263625342</v>
      </c>
      <c r="CW98" s="22">
        <f t="shared" si="67"/>
        <v>492.32668613414739</v>
      </c>
      <c r="CX98" s="62">
        <f t="shared" si="68"/>
        <v>768.27413205291327</v>
      </c>
      <c r="CY98" s="62">
        <f ca="1">AVERAGE(OFFSET($CX$3,0,0,'Données projet'!$E$13+1,1))-AVERAGE(OFFSET($H$3,0,0,'Données projet'!$E$13+1,1))</f>
        <v>474.46836359712393</v>
      </c>
      <c r="CZ98" s="62">
        <f t="shared" si="96"/>
        <v>221.28699636637722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17.227613970927266</v>
      </c>
      <c r="DG98" s="23">
        <f>EXP(-LN(2)/25)*DG97+(1-EXP(-LN(2)/25))/(LN(2)/25)*Calculateur!DB98*Calculateur!DD98*VLOOKUP('Données projet'!$B$13,Paramètres!$A$1:$I$89,3,0)*0.475*44/12</f>
        <v>12.187646476801401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29.415260447728667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4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5.7</v>
      </c>
      <c r="N99" s="14">
        <f>IF('Données projet'!$A$36&gt;35,N98+M99-V98,IF(A99&lt;'Données projet'!$A$36,$K$205^A99,IF(A99='Données projet'!$A$36,'Données projet'!$B$36,N98+M99-V98)))</f>
        <v>229.59999999999991</v>
      </c>
      <c r="O99" s="14">
        <f>N99*VLOOKUP('Données projet'!$B$9,Paramètres!$A$1:$I$89,3,0)*VLOOKUP('Données projet'!$B$9,Paramètres!$A$1:$I$89,5,0)</f>
        <v>207.74207999999993</v>
      </c>
      <c r="P99" s="14">
        <f t="shared" si="87"/>
        <v>51.441863366522369</v>
      </c>
      <c r="Q99" s="22">
        <f t="shared" ref="Q99:Q130" si="107">(O99+P99)*0.475*44/12</f>
        <v>451.41203469669296</v>
      </c>
      <c r="R99" s="62">
        <f t="shared" si="55"/>
        <v>727.66108689308044</v>
      </c>
      <c r="S99" s="62">
        <f ca="1">AVERAGE(OFFSET($R$3,0,0,'Données projet'!$E$9+1,1))-AVERAGE(OFFSET($H$3,0,0,'Données projet'!$E$9+1,1))</f>
        <v>432.80275651765203</v>
      </c>
      <c r="T99" s="62">
        <f t="shared" si="88"/>
        <v>203.89279893419919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15.07089040289741</v>
      </c>
      <c r="AA99" s="23">
        <f>EXP(-LN(2)/25)*AA98+(1-EXP(-LN(2)/25))/(LN(2)/25)*Calculateur!V99*Calculateur!X99*VLOOKUP('Données projet'!$B$9,Paramètres!$A$1:$I$89,3,0)*0.475*44/12</f>
        <v>10.577749681421881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25.64864008431929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3.813056537183002E-14</v>
      </c>
      <c r="AK99" s="14">
        <f t="shared" si="89"/>
        <v>6.4086286045526829E-13</v>
      </c>
      <c r="AL99" s="22">
        <f t="shared" si="58"/>
        <v>1.1825802166488628E-12</v>
      </c>
      <c r="AM99" s="62">
        <f t="shared" si="59"/>
        <v>276.24905219638862</v>
      </c>
      <c r="AN99" s="62">
        <f ca="1">AVERAGE(OFFSET($AM$3,0,0,'Données projet'!$E$10+1,1))-AVERAGE(OFFSET($H$3,0,0,'Données projet'!$E$10+1,1))</f>
        <v>273.21861937609918</v>
      </c>
      <c r="AO99" s="62">
        <f t="shared" si="90"/>
        <v>268.83004886965318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83.994565898462199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83.994565898462199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4.6111381379887463E-14</v>
      </c>
      <c r="BF99" s="14">
        <f t="shared" si="91"/>
        <v>7.5804141040779151E-13</v>
      </c>
      <c r="BG99" s="22">
        <f t="shared" si="61"/>
        <v>1.4005661123635408E-12</v>
      </c>
      <c r="BH99" s="62">
        <f t="shared" si="62"/>
        <v>276.24905219638885</v>
      </c>
      <c r="BI99" s="62">
        <f ca="1">AVERAGE(OFFSET($BH$3,0,0,'Données projet'!$E$11+1,1))-AVERAGE(OFFSET($H$3,0,0,'Données projet'!$E$11+1,1))</f>
        <v>319.01020001288975</v>
      </c>
      <c r="BJ99" s="62">
        <f t="shared" si="92"/>
        <v>312.22190035638084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101.57482387721006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101.57482387721006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6.1186256061773749E-14</v>
      </c>
      <c r="CA99" s="14">
        <f t="shared" si="93"/>
        <v>9.7328366192051127E-13</v>
      </c>
      <c r="CB99" s="22">
        <f t="shared" si="64"/>
        <v>1.8017017738191463E-12</v>
      </c>
      <c r="CC99" s="62">
        <f t="shared" si="65"/>
        <v>276.24905219638924</v>
      </c>
      <c r="CD99" s="62">
        <f ca="1">AVERAGE(OFFSET($CC$3,0,0,'Données projet'!$E$12+1,1))-AVERAGE(OFFSET($H$3,0,0,'Données projet'!$E$12+1,1))</f>
        <v>405.06394904053946</v>
      </c>
      <c r="CE99" s="62">
        <f t="shared" si="94"/>
        <v>393.75247087518198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109.35141598101679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109.35141598101679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5.7</v>
      </c>
      <c r="CT99" s="13">
        <f>IF('Données projet'!$A$140&gt;35,CT98+CS99-DB98,IF(A99&lt;'Données projet'!$A$140,$CQ$205^A99,IF(A99='Données projet'!$A$140,'Données projet'!$B$140,CT98+CS99-DB98)))</f>
        <v>229.59999999999991</v>
      </c>
      <c r="CU99" s="18">
        <f>CT99*VLOOKUP('Données projet'!$B$13,Paramètres!$A$1:$I$89,3,0)*VLOOKUP('Données projet'!$B$13,Paramètres!$A$1:$I$89,5,0)</f>
        <v>232.81439999999992</v>
      </c>
      <c r="CV99" s="14">
        <f t="shared" si="95"/>
        <v>56.890789192015156</v>
      </c>
      <c r="CW99" s="22">
        <f t="shared" si="67"/>
        <v>504.56987117609305</v>
      </c>
      <c r="CX99" s="62">
        <f t="shared" si="68"/>
        <v>780.81892337248041</v>
      </c>
      <c r="CY99" s="62">
        <f ca="1">AVERAGE(OFFSET($CX$3,0,0,'Données projet'!$E$13+1,1))-AVERAGE(OFFSET($H$3,0,0,'Données projet'!$E$13+1,1))</f>
        <v>474.46836359712393</v>
      </c>
      <c r="CZ99" s="62">
        <f t="shared" si="96"/>
        <v>221.28699636637722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16.889790968764345</v>
      </c>
      <c r="DG99" s="23">
        <f>EXP(-LN(2)/25)*DG98+(1-EXP(-LN(2)/25))/(LN(2)/25)*Calculateur!DB99*Calculateur!DD99*VLOOKUP('Données projet'!$B$13,Paramètres!$A$1:$I$89,3,0)*0.475*44/12</f>
        <v>11.854374642972793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28.744165611737138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4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5.7</v>
      </c>
      <c r="N100" s="14">
        <f>IF('Données projet'!$A$36&gt;35,N99+M100-V99,IF(A100&lt;'Données projet'!$A$36,$K$205^A100,IF(A100='Données projet'!$A$36,'Données projet'!$B$36,N99+M100-V99)))</f>
        <v>235.2999999999999</v>
      </c>
      <c r="O100" s="14">
        <f>N100*VLOOKUP('Données projet'!$B$9,Paramètres!$A$1:$I$89,3,0)*VLOOKUP('Données projet'!$B$9,Paramètres!$A$1:$I$89,5,0)</f>
        <v>212.89943999999991</v>
      </c>
      <c r="P100" s="14">
        <f t="shared" si="87"/>
        <v>52.568679748625613</v>
      </c>
      <c r="Q100" s="22">
        <f t="shared" si="107"/>
        <v>462.35697522885613</v>
      </c>
      <c r="R100" s="62">
        <f t="shared" si="55"/>
        <v>738.90240150823888</v>
      </c>
      <c r="S100" s="62">
        <f ca="1">AVERAGE(OFFSET($R$3,0,0,'Données projet'!$E$9+1,1))-AVERAGE(OFFSET($H$3,0,0,'Données projet'!$E$9+1,1))</f>
        <v>432.80275651765203</v>
      </c>
      <c r="T100" s="62">
        <f t="shared" si="88"/>
        <v>203.89279893419919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14.775359434432071</v>
      </c>
      <c r="AA100" s="23">
        <f>EXP(-LN(2)/25)*AA99+(1-EXP(-LN(2)/25))/(LN(2)/25)*Calculateur!V100*Calculateur!X100*VLOOKUP('Données projet'!$B$9,Paramètres!$A$1:$I$89,3,0)*0.475*44/12</f>
        <v>10.288500560123721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25.063859994555791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3.813056537183002E-14</v>
      </c>
      <c r="AK100" s="14">
        <f t="shared" si="89"/>
        <v>6.4086286045526829E-13</v>
      </c>
      <c r="AL100" s="22">
        <f t="shared" si="58"/>
        <v>1.1825802166488628E-12</v>
      </c>
      <c r="AM100" s="62">
        <f t="shared" si="59"/>
        <v>276.545426279384</v>
      </c>
      <c r="AN100" s="62">
        <f ca="1">AVERAGE(OFFSET($AM$3,0,0,'Données projet'!$E$10+1,1))-AVERAGE(OFFSET($H$3,0,0,'Données projet'!$E$10+1,1))</f>
        <v>273.21861937609918</v>
      </c>
      <c r="AO100" s="62">
        <f t="shared" si="90"/>
        <v>268.83004886965318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82.34748369281985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82.34748369281985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4.6111381379887463E-14</v>
      </c>
      <c r="BF100" s="14">
        <f t="shared" si="91"/>
        <v>7.5804141040779151E-13</v>
      </c>
      <c r="BG100" s="22">
        <f t="shared" si="61"/>
        <v>1.4005661123635408E-12</v>
      </c>
      <c r="BH100" s="62">
        <f t="shared" si="62"/>
        <v>276.54542627938423</v>
      </c>
      <c r="BI100" s="62">
        <f ca="1">AVERAGE(OFFSET($BH$3,0,0,'Données projet'!$E$11+1,1))-AVERAGE(OFFSET($H$3,0,0,'Données projet'!$E$11+1,1))</f>
        <v>319.01020001288975</v>
      </c>
      <c r="BJ100" s="62">
        <f t="shared" si="92"/>
        <v>312.22190035638084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99.583003535503039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99.583003535503039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6.1186256061773749E-14</v>
      </c>
      <c r="CA100" s="14">
        <f t="shared" si="93"/>
        <v>9.7328366192051127E-13</v>
      </c>
      <c r="CB100" s="22">
        <f t="shared" si="64"/>
        <v>1.8017017738191463E-12</v>
      </c>
      <c r="CC100" s="62">
        <f t="shared" si="65"/>
        <v>276.54542627938463</v>
      </c>
      <c r="CD100" s="62">
        <f ca="1">AVERAGE(OFFSET($CC$3,0,0,'Données projet'!$E$12+1,1))-AVERAGE(OFFSET($H$3,0,0,'Données projet'!$E$12+1,1))</f>
        <v>405.06394904053946</v>
      </c>
      <c r="CE100" s="62">
        <f t="shared" si="94"/>
        <v>393.75247087518198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107.20710141140694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107.20710141140694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5.7</v>
      </c>
      <c r="CT100" s="13">
        <f>IF('Données projet'!$A$140&gt;35,CT99+CS100-DB99,IF(A100&lt;'Données projet'!$A$140,$CQ$205^A100,IF(A100='Données projet'!$A$140,'Données projet'!$B$140,CT99+CS100-DB99)))</f>
        <v>235.2999999999999</v>
      </c>
      <c r="CU100" s="18">
        <f>CT100*VLOOKUP('Données projet'!$B$13,Paramètres!$A$1:$I$89,3,0)*VLOOKUP('Données projet'!$B$13,Paramètres!$A$1:$I$89,5,0)</f>
        <v>238.59419999999992</v>
      </c>
      <c r="CV100" s="14">
        <f t="shared" si="95"/>
        <v>58.136962426363056</v>
      </c>
      <c r="CW100" s="22">
        <f t="shared" si="67"/>
        <v>516.80677455924888</v>
      </c>
      <c r="CX100" s="62">
        <f t="shared" si="68"/>
        <v>793.35220083863169</v>
      </c>
      <c r="CY100" s="62">
        <f ca="1">AVERAGE(OFFSET($CX$3,0,0,'Données projet'!$E$13+1,1))-AVERAGE(OFFSET($H$3,0,0,'Données projet'!$E$13+1,1))</f>
        <v>474.46836359712393</v>
      </c>
      <c r="CZ100" s="62">
        <f t="shared" si="96"/>
        <v>221.28699636637722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16.558592469622152</v>
      </c>
      <c r="DG100" s="23">
        <f>EXP(-LN(2)/25)*DG99+(1-EXP(-LN(2)/25))/(LN(2)/25)*Calculateur!DB100*Calculateur!DD100*VLOOKUP('Données projet'!$B$13,Paramètres!$A$1:$I$89,3,0)*0.475*44/12</f>
        <v>11.530216144966234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28.088808614588388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4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>
        <f>VLOOKUP(A101,'Données projet'!$A$35:$I$55,2,0)</f>
        <v>241</v>
      </c>
      <c r="L101" s="13">
        <f>VLOOKUP(A101,'Données projet'!$A$35:$I$55,9,0)</f>
        <v>5.7</v>
      </c>
      <c r="M101" s="13">
        <f t="array" ref="M101">INDEX(L:L,MIN(IF(ISNUMBER(L101:L297),ROW(L101:L297),"")))</f>
        <v>5.7</v>
      </c>
      <c r="N101" s="14">
        <f>IF('Données projet'!$A$36&gt;35,N100+M101-V100,IF(A101&lt;'Données projet'!$A$36,$K$205^A101,IF(A101='Données projet'!$A$36,'Données projet'!$B$36,N100+M101-V100)))</f>
        <v>240.99999999999989</v>
      </c>
      <c r="O101" s="14">
        <f>N101*VLOOKUP('Données projet'!$B$9,Paramètres!$A$1:$I$89,3,0)*VLOOKUP('Données projet'!$B$9,Paramètres!$A$1:$I$89,5,0)</f>
        <v>218.05679999999987</v>
      </c>
      <c r="P101" s="14">
        <f t="shared" si="87"/>
        <v>53.69232297195181</v>
      </c>
      <c r="Q101" s="22">
        <f t="shared" si="107"/>
        <v>473.29638917614921</v>
      </c>
      <c r="R101" s="62">
        <f t="shared" si="55"/>
        <v>750.13304811078058</v>
      </c>
      <c r="S101" s="62">
        <f ca="1">AVERAGE(OFFSET($R$3,0,0,'Données projet'!$E$9+1,1))-AVERAGE(OFFSET($H$3,0,0,'Données projet'!$E$9+1,1))</f>
        <v>432.80275651765203</v>
      </c>
      <c r="T101" s="62">
        <f t="shared" si="88"/>
        <v>203.89279893419919</v>
      </c>
      <c r="U101" s="16">
        <f>IF(ISNA(VLOOKUP(A101,'Données projet'!$A$35:$I$55,3,0)),0,VLOOKUP(A101,'Données projet'!$A$35:$I$55,3,0))</f>
        <v>6</v>
      </c>
      <c r="V101" s="16">
        <f>IF(ISNA(VLOOKUP(A101,'Données projet'!$A$35:$I$55,4,0)),0,VLOOKUP(A101,'Données projet'!$A$35:$I$55,4,0))</f>
        <v>34</v>
      </c>
      <c r="W101" s="17">
        <f>IF(ISNA(VLOOKUP(A101,'Données projet'!$A$35:$I$55,5,0)),0%,VLOOKUP(A101,'Données projet'!$A$35:$I$55,5,0)*VLOOKUP('Données projet'!$B$9,Paramètres!$A$1:$I$89,7,0))</f>
        <v>0.215</v>
      </c>
      <c r="X101" s="17">
        <f>IF(ISNA(VLOOKUP(A101,'Données projet'!$A$35:$I$55,6,0)),0%,VLOOKUP(A101,'Données projet'!$A$35:$I$55,6,0)*VLOOKUP('Données projet'!$B$9,Paramètres!$A$1:$I$89,7,0))</f>
        <v>0.17200000000000001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21.797302019626571</v>
      </c>
      <c r="AA101" s="23">
        <f>EXP(-LN(2)/25)*AA100+(1-EXP(-LN(2)/25))/(LN(2)/25)*Calculateur!V101*Calculateur!X101*VLOOKUP('Données projet'!$B$9,Paramètres!$A$1:$I$89,3,0)*0.475*44/12</f>
        <v>15.833472577584306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37.630774597210873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3.813056537183002E-14</v>
      </c>
      <c r="AK101" s="14">
        <f t="shared" si="89"/>
        <v>6.4086286045526829E-13</v>
      </c>
      <c r="AL101" s="22">
        <f t="shared" si="58"/>
        <v>1.1825802166488628E-12</v>
      </c>
      <c r="AM101" s="62">
        <f t="shared" si="59"/>
        <v>276.83665893463257</v>
      </c>
      <c r="AN101" s="62">
        <f ca="1">AVERAGE(OFFSET($AM$3,0,0,'Données projet'!$E$10+1,1))-AVERAGE(OFFSET($H$3,0,0,'Données projet'!$E$10+1,1))</f>
        <v>273.21861937609918</v>
      </c>
      <c r="AO101" s="62">
        <f t="shared" si="90"/>
        <v>268.83004886965318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80.732699764609194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80.732699764609194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4.6111381379887463E-14</v>
      </c>
      <c r="BF101" s="14">
        <f t="shared" si="91"/>
        <v>7.5804141040779151E-13</v>
      </c>
      <c r="BG101" s="22">
        <f t="shared" si="61"/>
        <v>1.4005661123635408E-12</v>
      </c>
      <c r="BH101" s="62">
        <f t="shared" si="62"/>
        <v>276.83665893463279</v>
      </c>
      <c r="BI101" s="62">
        <f ca="1">AVERAGE(OFFSET($BH$3,0,0,'Données projet'!$E$11+1,1))-AVERAGE(OFFSET($H$3,0,0,'Données projet'!$E$11+1,1))</f>
        <v>319.01020001288975</v>
      </c>
      <c r="BJ101" s="62">
        <f t="shared" si="92"/>
        <v>312.22190035638084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97.630241575806437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97.630241575806437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6.1186256061773749E-14</v>
      </c>
      <c r="CA101" s="14">
        <f t="shared" si="93"/>
        <v>9.7328366192051127E-13</v>
      </c>
      <c r="CB101" s="22">
        <f t="shared" si="64"/>
        <v>1.8017017738191463E-12</v>
      </c>
      <c r="CC101" s="62">
        <f t="shared" si="65"/>
        <v>276.83665893463319</v>
      </c>
      <c r="CD101" s="62">
        <f ca="1">AVERAGE(OFFSET($CC$3,0,0,'Données projet'!$E$12+1,1))-AVERAGE(OFFSET($H$3,0,0,'Données projet'!$E$12+1,1))</f>
        <v>405.06394904053946</v>
      </c>
      <c r="CE101" s="62">
        <f t="shared" si="94"/>
        <v>393.75247087518198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105.10483554260439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105.10483554260439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>
        <f>VLOOKUP(A101,'Données projet'!$A$139:$I$159,2,0)</f>
        <v>241</v>
      </c>
      <c r="CR101" s="13">
        <f>VLOOKUP(A101,'Données projet'!$A$139:$I$159,9,0)</f>
        <v>5.7</v>
      </c>
      <c r="CS101" s="13">
        <f t="array" ref="CS101">INDEX(CR:CR,MIN(IF(ISNUMBER(CR101:CR297),ROW(CR101:CR297),"")))</f>
        <v>5.7</v>
      </c>
      <c r="CT101" s="13">
        <f>IF('Données projet'!$A$140&gt;35,CT100+CS101-DB100,IF(A101&lt;'Données projet'!$A$140,$CQ$205^A101,IF(A101='Données projet'!$A$140,'Données projet'!$B$140,CT100+CS101-DB100)))</f>
        <v>240.99999999999989</v>
      </c>
      <c r="CU101" s="18">
        <f>CT101*VLOOKUP('Données projet'!$B$13,Paramètres!$A$1:$I$89,3,0)*VLOOKUP('Données projet'!$B$13,Paramètres!$A$1:$I$89,5,0)</f>
        <v>244.37399999999988</v>
      </c>
      <c r="CV101" s="14">
        <f t="shared" si="95"/>
        <v>59.379626388393802</v>
      </c>
      <c r="CW101" s="22">
        <f t="shared" si="67"/>
        <v>529.03756595978564</v>
      </c>
      <c r="CX101" s="62">
        <f t="shared" si="68"/>
        <v>805.87422489441701</v>
      </c>
      <c r="CY101" s="62">
        <f ca="1">AVERAGE(OFFSET($CX$3,0,0,'Données projet'!$E$13+1,1))-AVERAGE(OFFSET($H$3,0,0,'Données projet'!$E$13+1,1))</f>
        <v>474.46836359712393</v>
      </c>
      <c r="CZ101" s="62">
        <f t="shared" si="96"/>
        <v>221.28699636637722</v>
      </c>
      <c r="DA101" s="16">
        <f>IF(ISNA(VLOOKUP(A101,'Données projet'!$A$139:$I$159,3,0)),0,VLOOKUP(A101,'Données projet'!$A$139:$I$159,3,0))</f>
        <v>6</v>
      </c>
      <c r="DB101" s="16">
        <f>IF(ISNA(VLOOKUP(A101,'Données projet'!$A$139:$I$159,4,0)),0,VLOOKUP(A101,'Données projet'!$A$139:$I$159,4,0))</f>
        <v>34</v>
      </c>
      <c r="DC101" s="17">
        <f>IF(ISNA(VLOOKUP(A101,'Données projet'!$A$139:$I$159,5,0)),0%,VLOOKUP(A101,'Données projet'!$A$139:$I$159,5,0)*VLOOKUP('Données projet'!$B$13,Paramètres!$A$1:$I$89,7,0))</f>
        <v>0.215</v>
      </c>
      <c r="DD101" s="17">
        <f>IF(ISNA(VLOOKUP(A101,'Données projet'!$A$139:$I$159,6,0)),0%,VLOOKUP(A101,'Données projet'!$A$139:$I$159,6,0)*VLOOKUP('Données projet'!$B$13,Paramètres!$A$1:$I$89,7,0))</f>
        <v>0.17200000000000001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24.428010884064264</v>
      </c>
      <c r="DG101" s="23">
        <f>EXP(-LN(2)/25)*DG100+(1-EXP(-LN(2)/25))/(LN(2)/25)*Calculateur!DB101*Calculateur!DD101*VLOOKUP('Données projet'!$B$13,Paramètres!$A$1:$I$89,3,0)*0.475*44/12</f>
        <v>17.744408923154818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42.172419807219086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4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5.7</v>
      </c>
      <c r="N102" s="14">
        <f>IF('Données projet'!$A$36&gt;35,N101+M102-V101,IF(A102&lt;'Données projet'!$A$36,$K$205^A102,IF(A102='Données projet'!$A$36,'Données projet'!$B$36,N101+M102-V101)))</f>
        <v>212.69999999999987</v>
      </c>
      <c r="O102" s="14">
        <f>N102*VLOOKUP('Données projet'!$B$9,Paramètres!$A$1:$I$89,3,0)*VLOOKUP('Données projet'!$B$9,Paramètres!$A$1:$I$89,5,0)</f>
        <v>192.45095999999987</v>
      </c>
      <c r="P102" s="14">
        <f t="shared" si="87"/>
        <v>48.081420427304188</v>
      </c>
      <c r="Q102" s="22">
        <f t="shared" si="107"/>
        <v>418.92722924422122</v>
      </c>
      <c r="R102" s="62">
        <f t="shared" si="55"/>
        <v>696.05006859863136</v>
      </c>
      <c r="S102" s="62">
        <f ca="1">AVERAGE(OFFSET($R$3,0,0,'Données projet'!$E$9+1,1))-AVERAGE(OFFSET($H$3,0,0,'Données projet'!$E$9+1,1))</f>
        <v>432.80275651765203</v>
      </c>
      <c r="T102" s="62">
        <f t="shared" si="88"/>
        <v>203.89279893419919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21.369870222063149</v>
      </c>
      <c r="AA102" s="23">
        <f>EXP(-LN(2)/25)*AA101+(1-EXP(-LN(2)/25))/(LN(2)/25)*Calculateur!V102*Calculateur!X102*VLOOKUP('Données projet'!$B$9,Paramètres!$A$1:$I$89,3,0)*0.475*44/12</f>
        <v>15.400505437304128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36.770375659367275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3.813056537183002E-14</v>
      </c>
      <c r="AK102" s="14">
        <f t="shared" si="89"/>
        <v>6.4086286045526829E-13</v>
      </c>
      <c r="AL102" s="22">
        <f t="shared" si="58"/>
        <v>1.1825802166488628E-12</v>
      </c>
      <c r="AM102" s="62">
        <f t="shared" si="59"/>
        <v>277.12283935441133</v>
      </c>
      <c r="AN102" s="62">
        <f ca="1">AVERAGE(OFFSET($AM$3,0,0,'Données projet'!$E$10+1,1))-AVERAGE(OFFSET($H$3,0,0,'Données projet'!$E$10+1,1))</f>
        <v>273.21861937609918</v>
      </c>
      <c r="AO102" s="62">
        <f t="shared" si="90"/>
        <v>268.83004886965318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79.149580764309817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79.149580764309817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4.6111381379887463E-14</v>
      </c>
      <c r="BF102" s="14">
        <f t="shared" si="91"/>
        <v>7.5804141040779151E-13</v>
      </c>
      <c r="BG102" s="22">
        <f t="shared" si="61"/>
        <v>1.4005661123635408E-12</v>
      </c>
      <c r="BH102" s="62">
        <f t="shared" si="62"/>
        <v>277.12283935441155</v>
      </c>
      <c r="BI102" s="62">
        <f ca="1">AVERAGE(OFFSET($BH$3,0,0,'Données projet'!$E$11+1,1))-AVERAGE(OFFSET($H$3,0,0,'Données projet'!$E$11+1,1))</f>
        <v>319.01020001288975</v>
      </c>
      <c r="BJ102" s="62">
        <f t="shared" si="92"/>
        <v>312.22190035638084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95.715772087072295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95.715772087072295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6.1186256061773749E-14</v>
      </c>
      <c r="CA102" s="14">
        <f t="shared" si="93"/>
        <v>9.7328366192051127E-13</v>
      </c>
      <c r="CB102" s="22">
        <f t="shared" si="64"/>
        <v>1.8017017738191463E-12</v>
      </c>
      <c r="CC102" s="62">
        <f t="shared" si="65"/>
        <v>277.12283935441195</v>
      </c>
      <c r="CD102" s="62">
        <f ca="1">AVERAGE(OFFSET($CC$3,0,0,'Données projet'!$E$12+1,1))-AVERAGE(OFFSET($H$3,0,0,'Données projet'!$E$12+1,1))</f>
        <v>405.06394904053946</v>
      </c>
      <c r="CE102" s="62">
        <f t="shared" si="94"/>
        <v>393.75247087518198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103.04379382523349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103.04379382523349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5.7</v>
      </c>
      <c r="CT102" s="13">
        <f>IF('Données projet'!$A$140&gt;35,CT101+CS102-DB101,IF(A102&lt;'Données projet'!$A$140,$CQ$205^A102,IF(A102='Données projet'!$A$140,'Données projet'!$B$140,CT101+CS102-DB101)))</f>
        <v>212.69999999999987</v>
      </c>
      <c r="CU102" s="18">
        <f>CT102*VLOOKUP('Données projet'!$B$13,Paramètres!$A$1:$I$89,3,0)*VLOOKUP('Données projet'!$B$13,Paramètres!$A$1:$I$89,5,0)</f>
        <v>215.67779999999988</v>
      </c>
      <c r="CV102" s="14">
        <f t="shared" si="95"/>
        <v>53.174394832722342</v>
      </c>
      <c r="CW102" s="22">
        <f t="shared" si="67"/>
        <v>468.25090600032451</v>
      </c>
      <c r="CX102" s="62">
        <f t="shared" si="68"/>
        <v>745.37374535473464</v>
      </c>
      <c r="CY102" s="62">
        <f ca="1">AVERAGE(OFFSET($CX$3,0,0,'Données projet'!$E$13+1,1))-AVERAGE(OFFSET($H$3,0,0,'Données projet'!$E$13+1,1))</f>
        <v>474.46836359712393</v>
      </c>
      <c r="CZ102" s="62">
        <f t="shared" si="96"/>
        <v>221.28699636637722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23.948992490243189</v>
      </c>
      <c r="DG102" s="23">
        <f>EXP(-LN(2)/25)*DG101+(1-EXP(-LN(2)/25))/(LN(2)/25)*Calculateur!DB102*Calculateur!DD102*VLOOKUP('Données projet'!$B$13,Paramètres!$A$1:$I$89,3,0)*0.475*44/12</f>
        <v>17.259187128013242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41.20817961825643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4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5.7</v>
      </c>
      <c r="N103" s="14">
        <f>IF('Données projet'!$A$36&gt;35,N102+M103-V102,IF(A103&lt;'Données projet'!$A$36,$K$205^A103,IF(A103='Données projet'!$A$36,'Données projet'!$B$36,N102+M103-V102)))</f>
        <v>218.39999999999986</v>
      </c>
      <c r="O103" s="14">
        <f>N103*VLOOKUP('Données projet'!$B$9,Paramètres!$A$1:$I$89,3,0)*VLOOKUP('Données projet'!$B$9,Paramètres!$A$1:$I$89,5,0)</f>
        <v>197.60831999999988</v>
      </c>
      <c r="P103" s="14">
        <f t="shared" si="87"/>
        <v>49.218181392381318</v>
      </c>
      <c r="Q103" s="22">
        <f t="shared" si="107"/>
        <v>429.88948992506386</v>
      </c>
      <c r="R103" s="62">
        <f t="shared" si="55"/>
        <v>707.29354510877306</v>
      </c>
      <c r="S103" s="62">
        <f ca="1">AVERAGE(OFFSET($R$3,0,0,'Données projet'!$E$9+1,1))-AVERAGE(OFFSET($H$3,0,0,'Données projet'!$E$9+1,1))</f>
        <v>432.80275651765203</v>
      </c>
      <c r="T103" s="62">
        <f t="shared" si="88"/>
        <v>203.89279893419919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20.950820101342291</v>
      </c>
      <c r="AA103" s="23">
        <f>EXP(-LN(2)/25)*AA102+(1-EXP(-LN(2)/25))/(LN(2)/25)*Calculateur!V103*Calculateur!X103*VLOOKUP('Données projet'!$B$9,Paramètres!$A$1:$I$89,3,0)*0.475*44/12</f>
        <v>14.979377806243663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35.930197907585956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3.813056537183002E-14</v>
      </c>
      <c r="AK103" s="14">
        <f t="shared" si="89"/>
        <v>6.4086286045526829E-13</v>
      </c>
      <c r="AL103" s="22">
        <f t="shared" si="58"/>
        <v>1.1825802166488628E-12</v>
      </c>
      <c r="AM103" s="62">
        <f t="shared" si="59"/>
        <v>277.4040551837104</v>
      </c>
      <c r="AN103" s="62">
        <f ca="1">AVERAGE(OFFSET($AM$3,0,0,'Données projet'!$E$10+1,1))-AVERAGE(OFFSET($H$3,0,0,'Données projet'!$E$10+1,1))</f>
        <v>273.21861937609918</v>
      </c>
      <c r="AO103" s="62">
        <f t="shared" si="90"/>
        <v>268.83004886965318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77.597505761999059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77.597505761999059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4.6111381379887463E-14</v>
      </c>
      <c r="BF103" s="14">
        <f t="shared" si="91"/>
        <v>7.5804141040779151E-13</v>
      </c>
      <c r="BG103" s="22">
        <f t="shared" si="61"/>
        <v>1.4005661123635408E-12</v>
      </c>
      <c r="BH103" s="62">
        <f t="shared" si="62"/>
        <v>277.40405518371062</v>
      </c>
      <c r="BI103" s="62">
        <f ca="1">AVERAGE(OFFSET($BH$3,0,0,'Données projet'!$E$11+1,1))-AVERAGE(OFFSET($H$3,0,0,'Données projet'!$E$11+1,1))</f>
        <v>319.01020001288975</v>
      </c>
      <c r="BJ103" s="62">
        <f t="shared" si="92"/>
        <v>312.22190035638084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93.838844177301155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93.838844177301155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6.1186256061773749E-14</v>
      </c>
      <c r="CA103" s="14">
        <f t="shared" si="93"/>
        <v>9.7328366192051127E-13</v>
      </c>
      <c r="CB103" s="22">
        <f t="shared" si="64"/>
        <v>1.8017017738191463E-12</v>
      </c>
      <c r="CC103" s="62">
        <f t="shared" si="65"/>
        <v>277.40405518371102</v>
      </c>
      <c r="CD103" s="62">
        <f ca="1">AVERAGE(OFFSET($CC$3,0,0,'Données projet'!$E$12+1,1))-AVERAGE(OFFSET($H$3,0,0,'Données projet'!$E$12+1,1))</f>
        <v>405.06394904053946</v>
      </c>
      <c r="CE103" s="62">
        <f t="shared" si="94"/>
        <v>393.75247087518198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101.02316787882893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101.02316787882893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5.7</v>
      </c>
      <c r="CT103" s="13">
        <f>IF('Données projet'!$A$140&gt;35,CT102+CS103-DB102,IF(A103&lt;'Données projet'!$A$140,$CQ$205^A103,IF(A103='Données projet'!$A$140,'Données projet'!$B$140,CT102+CS103-DB102)))</f>
        <v>218.39999999999986</v>
      </c>
      <c r="CU103" s="18">
        <f>CT103*VLOOKUP('Données projet'!$B$13,Paramètres!$A$1:$I$89,3,0)*VLOOKUP('Données projet'!$B$13,Paramètres!$A$1:$I$89,5,0)</f>
        <v>221.4575999999999</v>
      </c>
      <c r="CV103" s="14">
        <f t="shared" si="95"/>
        <v>54.431566019643263</v>
      </c>
      <c r="CW103" s="22">
        <f t="shared" si="67"/>
        <v>480.50696415087845</v>
      </c>
      <c r="CX103" s="62">
        <f t="shared" si="68"/>
        <v>757.91101933458765</v>
      </c>
      <c r="CY103" s="62">
        <f ca="1">AVERAGE(OFFSET($CX$3,0,0,'Données projet'!$E$13+1,1))-AVERAGE(OFFSET($H$3,0,0,'Données projet'!$E$13+1,1))</f>
        <v>474.46836359712393</v>
      </c>
      <c r="CZ103" s="62">
        <f t="shared" si="96"/>
        <v>221.28699636637722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23.479367354952572</v>
      </c>
      <c r="DG103" s="23">
        <f>EXP(-LN(2)/25)*DG102+(1-EXP(-LN(2)/25))/(LN(2)/25)*Calculateur!DB103*Calculateur!DD103*VLOOKUP('Données projet'!$B$13,Paramètres!$A$1:$I$89,3,0)*0.475*44/12</f>
        <v>16.787233748376515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40.266601103329087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4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5.7</v>
      </c>
      <c r="N104" s="14">
        <f>IF('Données projet'!$A$36&gt;35,N103+M104-V103,IF(A104&lt;'Données projet'!$A$36,$K$205^A104,IF(A104='Données projet'!$A$36,'Données projet'!$B$36,N103+M104-V103)))</f>
        <v>224.09999999999985</v>
      </c>
      <c r="O104" s="14">
        <f>N104*VLOOKUP('Données projet'!$B$9,Paramètres!$A$1:$I$89,3,0)*VLOOKUP('Données projet'!$B$9,Paramètres!$A$1:$I$89,5,0)</f>
        <v>202.76567999999983</v>
      </c>
      <c r="P104" s="14">
        <f t="shared" si="87"/>
        <v>50.351493804082907</v>
      </c>
      <c r="Q104" s="22">
        <f t="shared" si="107"/>
        <v>440.8457443754441</v>
      </c>
      <c r="R104" s="62">
        <f t="shared" si="55"/>
        <v>718.5261369225185</v>
      </c>
      <c r="S104" s="62">
        <f ca="1">AVERAGE(OFFSET($R$3,0,0,'Données projet'!$E$9+1,1))-AVERAGE(OFFSET($H$3,0,0,'Données projet'!$E$9+1,1))</f>
        <v>432.80275651765203</v>
      </c>
      <c r="T104" s="62">
        <f t="shared" si="88"/>
        <v>203.89279893419919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20.539987297893436</v>
      </c>
      <c r="AA104" s="23">
        <f>EXP(-LN(2)/25)*AA103+(1-EXP(-LN(2)/25))/(LN(2)/25)*Calculateur!V104*Calculateur!X104*VLOOKUP('Données projet'!$B$9,Paramètres!$A$1:$I$89,3,0)*0.475*44/12</f>
        <v>14.569765932400687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35.109753230294125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3.813056537183002E-14</v>
      </c>
      <c r="AK104" s="14">
        <f t="shared" si="89"/>
        <v>6.4086286045526829E-13</v>
      </c>
      <c r="AL104" s="22">
        <f t="shared" si="58"/>
        <v>1.1825802166488628E-12</v>
      </c>
      <c r="AM104" s="62">
        <f t="shared" si="59"/>
        <v>277.6803925470756</v>
      </c>
      <c r="AN104" s="62">
        <f ca="1">AVERAGE(OFFSET($AM$3,0,0,'Données projet'!$E$10+1,1))-AVERAGE(OFFSET($H$3,0,0,'Données projet'!$E$10+1,1))</f>
        <v>273.21861937609918</v>
      </c>
      <c r="AO104" s="62">
        <f t="shared" si="90"/>
        <v>268.83004886965318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76.075866003811342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76.075866003811342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4.6111381379887463E-14</v>
      </c>
      <c r="BF104" s="14">
        <f t="shared" si="91"/>
        <v>7.5804141040779151E-13</v>
      </c>
      <c r="BG104" s="22">
        <f t="shared" si="61"/>
        <v>1.4005661123635408E-12</v>
      </c>
      <c r="BH104" s="62">
        <f t="shared" si="62"/>
        <v>277.68039254707583</v>
      </c>
      <c r="BI104" s="62">
        <f ca="1">AVERAGE(OFFSET($BH$3,0,0,'Données projet'!$E$11+1,1))-AVERAGE(OFFSET($H$3,0,0,'Données projet'!$E$11+1,1))</f>
        <v>319.01020001288975</v>
      </c>
      <c r="BJ104" s="62">
        <f t="shared" si="92"/>
        <v>312.22190035638084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91.998721679027639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91.998721679027639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6.1186256061773749E-14</v>
      </c>
      <c r="CA104" s="14">
        <f t="shared" si="93"/>
        <v>9.7328366192051127E-13</v>
      </c>
      <c r="CB104" s="22">
        <f t="shared" si="64"/>
        <v>1.8017017738191463E-12</v>
      </c>
      <c r="CC104" s="62">
        <f t="shared" si="65"/>
        <v>277.68039254707622</v>
      </c>
      <c r="CD104" s="62">
        <f ca="1">AVERAGE(OFFSET($CC$3,0,0,'Données projet'!$E$12+1,1))-AVERAGE(OFFSET($H$3,0,0,'Données projet'!$E$12+1,1))</f>
        <v>405.06394904053946</v>
      </c>
      <c r="CE104" s="62">
        <f t="shared" si="94"/>
        <v>393.75247087518198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99.042165174773217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99.042165174773217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5.7</v>
      </c>
      <c r="CT104" s="13">
        <f>IF('Données projet'!$A$140&gt;35,CT103+CS104-DB103,IF(A104&lt;'Données projet'!$A$140,$CQ$205^A104,IF(A104='Données projet'!$A$140,'Données projet'!$B$140,CT103+CS104-DB103)))</f>
        <v>224.09999999999985</v>
      </c>
      <c r="CU104" s="18">
        <f>CT104*VLOOKUP('Données projet'!$B$13,Paramètres!$A$1:$I$89,3,0)*VLOOKUP('Données projet'!$B$13,Paramètres!$A$1:$I$89,5,0)</f>
        <v>227.23739999999987</v>
      </c>
      <c r="CV104" s="14">
        <f t="shared" si="95"/>
        <v>55.684923368762277</v>
      </c>
      <c r="CW104" s="22">
        <f t="shared" si="67"/>
        <v>492.75637986726065</v>
      </c>
      <c r="CX104" s="62">
        <f t="shared" si="68"/>
        <v>770.43677241433511</v>
      </c>
      <c r="CY104" s="62">
        <f ca="1">AVERAGE(OFFSET($CX$3,0,0,'Données projet'!$E$13+1,1))-AVERAGE(OFFSET($H$3,0,0,'Données projet'!$E$13+1,1))</f>
        <v>474.46836359712393</v>
      </c>
      <c r="CZ104" s="62">
        <f t="shared" si="96"/>
        <v>221.28699636637722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23.018951282121957</v>
      </c>
      <c r="DG104" s="23">
        <f>EXP(-LN(2)/25)*DG103+(1-EXP(-LN(2)/25))/(LN(2)/25)*Calculateur!DB104*Calculateur!DD104*VLOOKUP('Données projet'!$B$13,Paramètres!$A$1:$I$89,3,0)*0.475*44/12</f>
        <v>16.328185958724905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39.347137240846862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4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5.7</v>
      </c>
      <c r="N105" s="14">
        <f>IF('Données projet'!$A$36&gt;35,N104+M105-V104,IF(A105&lt;'Données projet'!$A$36,$K$205^A105,IF(A105='Données projet'!$A$36,'Données projet'!$B$36,N104+M105-V104)))</f>
        <v>229.79999999999984</v>
      </c>
      <c r="O105" s="14">
        <f>N105*VLOOKUP('Données projet'!$B$9,Paramètres!$A$1:$I$89,3,0)*VLOOKUP('Données projet'!$B$9,Paramètres!$A$1:$I$89,5,0)</f>
        <v>207.92303999999987</v>
      </c>
      <c r="P105" s="14">
        <f t="shared" si="87"/>
        <v>51.481455463073324</v>
      </c>
      <c r="Q105" s="22">
        <f t="shared" si="107"/>
        <v>451.79616293151918</v>
      </c>
      <c r="R105" s="62">
        <f t="shared" si="55"/>
        <v>729.74809900650212</v>
      </c>
      <c r="S105" s="62">
        <f ca="1">AVERAGE(OFFSET($R$3,0,0,'Données projet'!$E$9+1,1))-AVERAGE(OFFSET($H$3,0,0,'Données projet'!$E$9+1,1))</f>
        <v>432.80275651765203</v>
      </c>
      <c r="T105" s="62">
        <f t="shared" si="88"/>
        <v>203.89279893419919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20.137210675136945</v>
      </c>
      <c r="AA105" s="23">
        <f>EXP(-LN(2)/25)*AA104+(1-EXP(-LN(2)/25))/(LN(2)/25)*Calculateur!V105*Calculateur!X105*VLOOKUP('Données projet'!$B$9,Paramètres!$A$1:$I$89,3,0)*0.475*44/12</f>
        <v>14.171354916788498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34.308565591925444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3.813056537183002E-14</v>
      </c>
      <c r="AK105" s="14">
        <f t="shared" si="89"/>
        <v>6.4086286045526829E-13</v>
      </c>
      <c r="AL105" s="22">
        <f t="shared" si="58"/>
        <v>1.1825802166488628E-12</v>
      </c>
      <c r="AM105" s="62">
        <f t="shared" si="59"/>
        <v>277.95193607498413</v>
      </c>
      <c r="AN105" s="62">
        <f ca="1">AVERAGE(OFFSET($AM$3,0,0,'Données projet'!$E$10+1,1))-AVERAGE(OFFSET($H$3,0,0,'Données projet'!$E$10+1,1))</f>
        <v>273.21861937609918</v>
      </c>
      <c r="AO105" s="62">
        <f t="shared" si="90"/>
        <v>268.83004886965318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74.584064673173074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74.584064673173074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4.6111381379887463E-14</v>
      </c>
      <c r="BF105" s="14">
        <f t="shared" si="91"/>
        <v>7.5804141040779151E-13</v>
      </c>
      <c r="BG105" s="22">
        <f t="shared" si="61"/>
        <v>1.4005661123635408E-12</v>
      </c>
      <c r="BH105" s="62">
        <f t="shared" si="62"/>
        <v>277.95193607498436</v>
      </c>
      <c r="BI105" s="62">
        <f ca="1">AVERAGE(OFFSET($BH$3,0,0,'Données projet'!$E$11+1,1))-AVERAGE(OFFSET($H$3,0,0,'Données projet'!$E$11+1,1))</f>
        <v>319.01020001288975</v>
      </c>
      <c r="BJ105" s="62">
        <f t="shared" si="92"/>
        <v>312.22190035638084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90.194682860581366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90.194682860581366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6.1186256061773749E-14</v>
      </c>
      <c r="CA105" s="14">
        <f t="shared" si="93"/>
        <v>9.7328366192051127E-13</v>
      </c>
      <c r="CB105" s="22">
        <f t="shared" si="64"/>
        <v>1.8017017738191463E-12</v>
      </c>
      <c r="CC105" s="62">
        <f t="shared" si="65"/>
        <v>277.95193607498476</v>
      </c>
      <c r="CD105" s="62">
        <f ca="1">AVERAGE(OFFSET($CC$3,0,0,'Données projet'!$E$12+1,1))-AVERAGE(OFFSET($H$3,0,0,'Données projet'!$E$12+1,1))</f>
        <v>405.06394904053946</v>
      </c>
      <c r="CE105" s="62">
        <f t="shared" si="94"/>
        <v>393.75247087518198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97.100008725451701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97.100008725451701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5.7</v>
      </c>
      <c r="CT105" s="13">
        <f>IF('Données projet'!$A$140&gt;35,CT104+CS105-DB104,IF(A105&lt;'Données projet'!$A$140,$CQ$205^A105,IF(A105='Données projet'!$A$140,'Données projet'!$B$140,CT104+CS105-DB104)))</f>
        <v>229.79999999999984</v>
      </c>
      <c r="CU105" s="18">
        <f>CT105*VLOOKUP('Données projet'!$B$13,Paramètres!$A$1:$I$89,3,0)*VLOOKUP('Données projet'!$B$13,Paramètres!$A$1:$I$89,5,0)</f>
        <v>233.01719999999983</v>
      </c>
      <c r="CV105" s="14">
        <f t="shared" si="95"/>
        <v>56.934575040177407</v>
      </c>
      <c r="CW105" s="22">
        <f t="shared" si="67"/>
        <v>504.99934152830866</v>
      </c>
      <c r="CX105" s="62">
        <f t="shared" si="68"/>
        <v>782.9512776032916</v>
      </c>
      <c r="CY105" s="62">
        <f ca="1">AVERAGE(OFFSET($CX$3,0,0,'Données projet'!$E$13+1,1))-AVERAGE(OFFSET($H$3,0,0,'Données projet'!$E$13+1,1))</f>
        <v>474.46836359712393</v>
      </c>
      <c r="CZ105" s="62">
        <f t="shared" si="96"/>
        <v>221.28699636637722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22.567563687653475</v>
      </c>
      <c r="DG105" s="23">
        <f>EXP(-LN(2)/25)*DG104+(1-EXP(-LN(2)/25))/(LN(2)/25)*Calculateur!DB105*Calculateur!DD105*VLOOKUP('Données projet'!$B$13,Paramètres!$A$1:$I$89,3,0)*0.475*44/12</f>
        <v>15.881690855021592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38.449254542675064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4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5.7</v>
      </c>
      <c r="N106" s="14">
        <f>IF('Données projet'!$A$36&gt;35,N105+M106-V105,IF(A106&lt;'Données projet'!$A$36,$K$205^A106,IF(A106='Données projet'!$A$36,'Données projet'!$B$36,N105+M106-V105)))</f>
        <v>235.49999999999983</v>
      </c>
      <c r="O106" s="14">
        <f>N106*VLOOKUP('Données projet'!$B$9,Paramètres!$A$1:$I$89,3,0)*VLOOKUP('Données projet'!$B$9,Paramètres!$A$1:$I$89,5,0)</f>
        <v>213.08039999999983</v>
      </c>
      <c r="P106" s="14">
        <f t="shared" si="87"/>
        <v>52.608159041735547</v>
      </c>
      <c r="Q106" s="22">
        <f t="shared" si="107"/>
        <v>462.74090699768914</v>
      </c>
      <c r="R106" s="62">
        <f t="shared" si="55"/>
        <v>740.95967592745183</v>
      </c>
      <c r="S106" s="62">
        <f ca="1">AVERAGE(OFFSET($R$3,0,0,'Données projet'!$E$9+1,1))-AVERAGE(OFFSET($H$3,0,0,'Données projet'!$E$9+1,1))</f>
        <v>432.80275651765203</v>
      </c>
      <c r="T106" s="62">
        <f t="shared" si="88"/>
        <v>203.89279893419919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19.742332256283227</v>
      </c>
      <c r="AA106" s="23">
        <f>EXP(-LN(2)/25)*AA105+(1-EXP(-LN(2)/25))/(LN(2)/25)*Calculateur!V106*Calculateur!X106*VLOOKUP('Données projet'!$B$9,Paramètres!$A$1:$I$89,3,0)*0.475*44/12</f>
        <v>13.783838471349751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33.52617072763298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3.813056537183002E-14</v>
      </c>
      <c r="AK106" s="14">
        <f t="shared" si="89"/>
        <v>6.4086286045526829E-13</v>
      </c>
      <c r="AL106" s="22">
        <f t="shared" si="58"/>
        <v>1.1825802166488628E-12</v>
      </c>
      <c r="AM106" s="62">
        <f t="shared" si="59"/>
        <v>278.21876892976388</v>
      </c>
      <c r="AN106" s="62">
        <f ca="1">AVERAGE(OFFSET($AM$3,0,0,'Données projet'!$E$10+1,1))-AVERAGE(OFFSET($H$3,0,0,'Données projet'!$E$10+1,1))</f>
        <v>273.21861937609918</v>
      </c>
      <c r="AO106" s="62">
        <f t="shared" si="90"/>
        <v>268.83004886965318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73.121516656719663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73.121516656719663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4.6111381379887463E-14</v>
      </c>
      <c r="BF106" s="14">
        <f t="shared" si="91"/>
        <v>7.5804141040779151E-13</v>
      </c>
      <c r="BG106" s="22">
        <f t="shared" si="61"/>
        <v>1.4005661123635408E-12</v>
      </c>
      <c r="BH106" s="62">
        <f t="shared" si="62"/>
        <v>278.21876892976411</v>
      </c>
      <c r="BI106" s="62">
        <f ca="1">AVERAGE(OFFSET($BH$3,0,0,'Données projet'!$E$11+1,1))-AVERAGE(OFFSET($H$3,0,0,'Données projet'!$E$11+1,1))</f>
        <v>319.01020001288975</v>
      </c>
      <c r="BJ106" s="62">
        <f t="shared" si="92"/>
        <v>312.22190035638084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88.426020143009794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88.426020143009794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6.1186256061773749E-14</v>
      </c>
      <c r="CA106" s="14">
        <f t="shared" si="93"/>
        <v>9.7328366192051127E-13</v>
      </c>
      <c r="CB106" s="22">
        <f t="shared" si="64"/>
        <v>1.8017017738191463E-12</v>
      </c>
      <c r="CC106" s="62">
        <f t="shared" si="65"/>
        <v>278.21876892976451</v>
      </c>
      <c r="CD106" s="62">
        <f ca="1">AVERAGE(OFFSET($CC$3,0,0,'Données projet'!$E$12+1,1))-AVERAGE(OFFSET($H$3,0,0,'Données projet'!$E$12+1,1))</f>
        <v>405.06394904053946</v>
      </c>
      <c r="CE106" s="62">
        <f t="shared" si="94"/>
        <v>393.75247087518198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95.195936779502915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95.195936779502915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5.7</v>
      </c>
      <c r="CT106" s="13">
        <f>IF('Données projet'!$A$140&gt;35,CT105+CS106-DB105,IF(A106&lt;'Données projet'!$A$140,$CQ$205^A106,IF(A106='Données projet'!$A$140,'Données projet'!$B$140,CT105+CS106-DB105)))</f>
        <v>235.49999999999983</v>
      </c>
      <c r="CU106" s="18">
        <f>CT106*VLOOKUP('Données projet'!$B$13,Paramètres!$A$1:$I$89,3,0)*VLOOKUP('Données projet'!$B$13,Paramètres!$A$1:$I$89,5,0)</f>
        <v>238.79699999999985</v>
      </c>
      <c r="CV106" s="14">
        <f t="shared" si="95"/>
        <v>58.180623522497285</v>
      </c>
      <c r="CW106" s="22">
        <f t="shared" si="67"/>
        <v>517.23602763501583</v>
      </c>
      <c r="CX106" s="62">
        <f t="shared" si="68"/>
        <v>795.45479656477846</v>
      </c>
      <c r="CY106" s="62">
        <f ca="1">AVERAGE(OFFSET($CX$3,0,0,'Données projet'!$E$13+1,1))-AVERAGE(OFFSET($H$3,0,0,'Données projet'!$E$13+1,1))</f>
        <v>474.46836359712393</v>
      </c>
      <c r="CZ106" s="62">
        <f t="shared" si="96"/>
        <v>221.28699636637722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22.125027528593275</v>
      </c>
      <c r="DG106" s="23">
        <f>EXP(-LN(2)/25)*DG105+(1-EXP(-LN(2)/25))/(LN(2)/25)*Calculateur!DB106*Calculateur!DD106*VLOOKUP('Données projet'!$B$13,Paramètres!$A$1:$I$89,3,0)*0.475*44/12</f>
        <v>15.447405183409202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37.572432712002481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4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5.7</v>
      </c>
      <c r="N107" s="14">
        <f>IF('Données projet'!$A$36&gt;35,N106+M107-V106,IF(A107&lt;'Données projet'!$A$36,$K$205^A107,IF(A107='Données projet'!$A$36,'Données projet'!$B$36,N106+M107-V106)))</f>
        <v>241.19999999999982</v>
      </c>
      <c r="O107" s="14">
        <f>N107*VLOOKUP('Données projet'!$B$9,Paramètres!$A$1:$I$89,3,0)*VLOOKUP('Données projet'!$B$9,Paramètres!$A$1:$I$89,5,0)</f>
        <v>218.23775999999981</v>
      </c>
      <c r="P107" s="14">
        <f t="shared" si="87"/>
        <v>53.731692470599022</v>
      </c>
      <c r="Q107" s="22">
        <f t="shared" si="107"/>
        <v>473.68012971962617</v>
      </c>
      <c r="R107" s="62">
        <f t="shared" si="55"/>
        <v>752.16110255068702</v>
      </c>
      <c r="S107" s="62">
        <f ca="1">AVERAGE(OFFSET($R$3,0,0,'Données projet'!$E$9+1,1))-AVERAGE(OFFSET($H$3,0,0,'Données projet'!$E$9+1,1))</f>
        <v>432.80275651765203</v>
      </c>
      <c r="T107" s="62">
        <f t="shared" si="88"/>
        <v>203.89279893419919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19.355197162371176</v>
      </c>
      <c r="AA107" s="23">
        <f>EXP(-LN(2)/25)*AA106+(1-EXP(-LN(2)/25))/(LN(2)/25)*Calculateur!V107*Calculateur!X107*VLOOKUP('Données projet'!$B$9,Paramètres!$A$1:$I$89,3,0)*0.475*44/12</f>
        <v>13.406918683490131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32.76211584586131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3.813056537183002E-14</v>
      </c>
      <c r="AK107" s="14">
        <f t="shared" si="89"/>
        <v>6.4086286045526829E-13</v>
      </c>
      <c r="AL107" s="22">
        <f t="shared" si="58"/>
        <v>1.1825802166488628E-12</v>
      </c>
      <c r="AM107" s="62">
        <f t="shared" si="59"/>
        <v>278.4809728310621</v>
      </c>
      <c r="AN107" s="62">
        <f ca="1">AVERAGE(OFFSET($AM$3,0,0,'Données projet'!$E$10+1,1))-AVERAGE(OFFSET($H$3,0,0,'Données projet'!$E$10+1,1))</f>
        <v>273.21861937609918</v>
      </c>
      <c r="AO107" s="62">
        <f t="shared" si="90"/>
        <v>268.83004886965318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71.687648314802701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71.687648314802701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4.6111381379887463E-14</v>
      </c>
      <c r="BF107" s="14">
        <f t="shared" si="91"/>
        <v>7.5804141040779151E-13</v>
      </c>
      <c r="BG107" s="22">
        <f t="shared" si="61"/>
        <v>1.4005661123635408E-12</v>
      </c>
      <c r="BH107" s="62">
        <f t="shared" si="62"/>
        <v>278.48097283106233</v>
      </c>
      <c r="BI107" s="62">
        <f ca="1">AVERAGE(OFFSET($BH$3,0,0,'Données projet'!$E$11+1,1))-AVERAGE(OFFSET($H$3,0,0,'Données projet'!$E$11+1,1))</f>
        <v>319.01020001288975</v>
      </c>
      <c r="BJ107" s="62">
        <f t="shared" si="92"/>
        <v>312.22190035638084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86.692039822552061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86.692039822552061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6.1186256061773749E-14</v>
      </c>
      <c r="CA107" s="14">
        <f t="shared" si="93"/>
        <v>9.7328366192051127E-13</v>
      </c>
      <c r="CB107" s="22">
        <f t="shared" si="64"/>
        <v>1.8017017738191463E-12</v>
      </c>
      <c r="CC107" s="62">
        <f t="shared" si="65"/>
        <v>278.48097283106273</v>
      </c>
      <c r="CD107" s="62">
        <f ca="1">AVERAGE(OFFSET($CC$3,0,0,'Données projet'!$E$12+1,1))-AVERAGE(OFFSET($H$3,0,0,'Données projet'!$E$12+1,1))</f>
        <v>405.06394904053946</v>
      </c>
      <c r="CE107" s="62">
        <f t="shared" si="94"/>
        <v>393.75247087518198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93.32920252304497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93.32920252304497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5.7</v>
      </c>
      <c r="CT107" s="13">
        <f>IF('Données projet'!$A$140&gt;35,CT106+CS107-DB106,IF(A107&lt;'Données projet'!$A$140,$CQ$205^A107,IF(A107='Données projet'!$A$140,'Données projet'!$B$140,CT106+CS107-DB106)))</f>
        <v>241.19999999999982</v>
      </c>
      <c r="CU107" s="18">
        <f>CT107*VLOOKUP('Données projet'!$B$13,Paramètres!$A$1:$I$89,3,0)*VLOOKUP('Données projet'!$B$13,Paramètres!$A$1:$I$89,5,0)</f>
        <v>244.57679999999982</v>
      </c>
      <c r="CV107" s="14">
        <f t="shared" si="95"/>
        <v>59.423166060201098</v>
      </c>
      <c r="CW107" s="22">
        <f t="shared" si="67"/>
        <v>529.46660755484993</v>
      </c>
      <c r="CX107" s="62">
        <f t="shared" si="68"/>
        <v>807.9475803859109</v>
      </c>
      <c r="CY107" s="62">
        <f ca="1">AVERAGE(OFFSET($CX$3,0,0,'Données projet'!$E$13+1,1))-AVERAGE(OFFSET($H$3,0,0,'Données projet'!$E$13+1,1))</f>
        <v>474.46836359712393</v>
      </c>
      <c r="CZ107" s="62">
        <f t="shared" si="96"/>
        <v>221.28699636637722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21.691169233691838</v>
      </c>
      <c r="DG107" s="23">
        <f>EXP(-LN(2)/25)*DG106+(1-EXP(-LN(2)/25))/(LN(2)/25)*Calculateur!DB107*Calculateur!DD107*VLOOKUP('Données projet'!$B$13,Paramètres!$A$1:$I$89,3,0)*0.475*44/12</f>
        <v>15.024995076325144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36.716164310016978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4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5.7</v>
      </c>
      <c r="N108" s="14">
        <f>IF('Données projet'!$A$36&gt;35,N107+M108-V107,IF(A108&lt;'Données projet'!$A$36,$K$205^A108,IF(A108='Données projet'!$A$36,'Données projet'!$B$36,N107+M108-V107)))</f>
        <v>246.89999999999981</v>
      </c>
      <c r="O108" s="14">
        <f>N108*VLOOKUP('Données projet'!$B$9,Paramètres!$A$1:$I$89,3,0)*VLOOKUP('Données projet'!$B$9,Paramètres!$A$1:$I$89,5,0)</f>
        <v>223.39511999999982</v>
      </c>
      <c r="P108" s="14">
        <f t="shared" si="87"/>
        <v>54.852139287210115</v>
      </c>
      <c r="Q108" s="22">
        <f t="shared" si="107"/>
        <v>484.61397659189061</v>
      </c>
      <c r="R108" s="62">
        <f t="shared" si="55"/>
        <v>763.35260467276237</v>
      </c>
      <c r="S108" s="62">
        <f ca="1">AVERAGE(OFFSET($R$3,0,0,'Données projet'!$E$9+1,1))-AVERAGE(OFFSET($H$3,0,0,'Données projet'!$E$9+1,1))</f>
        <v>432.80275651765203</v>
      </c>
      <c r="T108" s="62">
        <f t="shared" si="88"/>
        <v>203.89279893419919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18.975653551521649</v>
      </c>
      <c r="AA108" s="23">
        <f>EXP(-LN(2)/25)*AA107+(1-EXP(-LN(2)/25))/(LN(2)/25)*Calculateur!V108*Calculateur!X108*VLOOKUP('Données projet'!$B$9,Paramètres!$A$1:$I$89,3,0)*0.475*44/12</f>
        <v>13.040305787050881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32.015959338572529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3.813056537183002E-14</v>
      </c>
      <c r="AK108" s="14">
        <f t="shared" si="89"/>
        <v>6.4086286045526829E-13</v>
      </c>
      <c r="AL108" s="22">
        <f t="shared" si="58"/>
        <v>1.1825802166488628E-12</v>
      </c>
      <c r="AM108" s="62">
        <f t="shared" si="59"/>
        <v>278.73862808087296</v>
      </c>
      <c r="AN108" s="62">
        <f ca="1">AVERAGE(OFFSET($AM$3,0,0,'Données projet'!$E$10+1,1))-AVERAGE(OFFSET($H$3,0,0,'Données projet'!$E$10+1,1))</f>
        <v>273.21861937609918</v>
      </c>
      <c r="AO108" s="62">
        <f t="shared" si="90"/>
        <v>268.83004886965318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70.281897256497388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70.281897256497388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4.6111381379887463E-14</v>
      </c>
      <c r="BF108" s="14">
        <f t="shared" si="91"/>
        <v>7.5804141040779151E-13</v>
      </c>
      <c r="BG108" s="22">
        <f t="shared" si="61"/>
        <v>1.4005661123635408E-12</v>
      </c>
      <c r="BH108" s="62">
        <f t="shared" si="62"/>
        <v>278.73862808087318</v>
      </c>
      <c r="BI108" s="62">
        <f ca="1">AVERAGE(OFFSET($BH$3,0,0,'Données projet'!$E$11+1,1))-AVERAGE(OFFSET($H$3,0,0,'Données projet'!$E$11+1,1))</f>
        <v>319.01020001288975</v>
      </c>
      <c r="BJ108" s="62">
        <f t="shared" si="92"/>
        <v>312.22190035638084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84.992061798554943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84.992061798554943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6.1186256061773749E-14</v>
      </c>
      <c r="CA108" s="14">
        <f t="shared" si="93"/>
        <v>9.7328366192051127E-13</v>
      </c>
      <c r="CB108" s="22">
        <f t="shared" si="64"/>
        <v>1.8017017738191463E-12</v>
      </c>
      <c r="CC108" s="62">
        <f t="shared" si="65"/>
        <v>278.73862808087358</v>
      </c>
      <c r="CD108" s="62">
        <f ca="1">AVERAGE(OFFSET($CC$3,0,0,'Données projet'!$E$12+1,1))-AVERAGE(OFFSET($H$3,0,0,'Données projet'!$E$12+1,1))</f>
        <v>405.06394904053946</v>
      </c>
      <c r="CE108" s="62">
        <f t="shared" si="94"/>
        <v>393.75247087518198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91.499073786760704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91.499073786760704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5.7</v>
      </c>
      <c r="CT108" s="13">
        <f>IF('Données projet'!$A$140&gt;35,CT107+CS108-DB107,IF(A108&lt;'Données projet'!$A$140,$CQ$205^A108,IF(A108='Données projet'!$A$140,'Données projet'!$B$140,CT107+CS108-DB107)))</f>
        <v>246.89999999999981</v>
      </c>
      <c r="CU108" s="18">
        <f>CT108*VLOOKUP('Données projet'!$B$13,Paramètres!$A$1:$I$89,3,0)*VLOOKUP('Données projet'!$B$13,Paramètres!$A$1:$I$89,5,0)</f>
        <v>250.35659999999982</v>
      </c>
      <c r="CV108" s="14">
        <f t="shared" si="95"/>
        <v>60.66229503946294</v>
      </c>
      <c r="CW108" s="22">
        <f t="shared" si="67"/>
        <v>541.691242193731</v>
      </c>
      <c r="CX108" s="62">
        <f t="shared" si="68"/>
        <v>820.42987027460276</v>
      </c>
      <c r="CY108" s="62">
        <f ca="1">AVERAGE(OFFSET($CX$3,0,0,'Données projet'!$E$13+1,1))-AVERAGE(OFFSET($H$3,0,0,'Données projet'!$E$13+1,1))</f>
        <v>474.46836359712393</v>
      </c>
      <c r="CZ108" s="62">
        <f t="shared" si="96"/>
        <v>221.28699636637722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21.265818635325989</v>
      </c>
      <c r="DG108" s="23">
        <f>EXP(-LN(2)/25)*DG107+(1-EXP(-LN(2)/25))/(LN(2)/25)*Calculateur!DB108*Calculateur!DD108*VLOOKUP('Données projet'!$B$13,Paramètres!$A$1:$I$89,3,0)*0.475*44/12</f>
        <v>14.614135795832881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35.879954431158872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4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5.7</v>
      </c>
      <c r="N109" s="14">
        <f>IF('Données projet'!$A$36&gt;35,N108+M109-V108,IF(A109&lt;'Données projet'!$A$36,$K$205^A109,IF(A109='Données projet'!$A$36,'Données projet'!$B$36,N108+M109-V108)))</f>
        <v>252.5999999999998</v>
      </c>
      <c r="O109" s="14">
        <f>N109*VLOOKUP('Données projet'!$B$9,Paramètres!$A$1:$I$89,3,0)*VLOOKUP('Données projet'!$B$9,Paramètres!$A$1:$I$89,5,0)</f>
        <v>228.5524799999998</v>
      </c>
      <c r="P109" s="14">
        <f t="shared" si="87"/>
        <v>55.969578951878503</v>
      </c>
      <c r="Q109" s="22">
        <f t="shared" si="107"/>
        <v>495.54258600785471</v>
      </c>
      <c r="R109" s="62">
        <f t="shared" si="55"/>
        <v>774.53439959598381</v>
      </c>
      <c r="S109" s="62">
        <f ca="1">AVERAGE(OFFSET($R$3,0,0,'Données projet'!$E$9+1,1))-AVERAGE(OFFSET($H$3,0,0,'Données projet'!$E$9+1,1))</f>
        <v>432.80275651765203</v>
      </c>
      <c r="T109" s="62">
        <f t="shared" si="88"/>
        <v>203.89279893419919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18.603552559382138</v>
      </c>
      <c r="AA109" s="23">
        <f>EXP(-LN(2)/25)*AA108+(1-EXP(-LN(2)/25))/(LN(2)/25)*Calculateur!V109*Calculateur!X109*VLOOKUP('Données projet'!$B$9,Paramètres!$A$1:$I$89,3,0)*0.475*44/12</f>
        <v>12.683717939544097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31.287270498926233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3.813056537183002E-14</v>
      </c>
      <c r="AK109" s="14">
        <f t="shared" si="89"/>
        <v>6.4086286045526829E-13</v>
      </c>
      <c r="AL109" s="22">
        <f t="shared" si="58"/>
        <v>1.1825802166488628E-12</v>
      </c>
      <c r="AM109" s="62">
        <f t="shared" si="59"/>
        <v>278.9918135881303</v>
      </c>
      <c r="AN109" s="62">
        <f ca="1">AVERAGE(OFFSET($AM$3,0,0,'Données projet'!$E$10+1,1))-AVERAGE(OFFSET($H$3,0,0,'Données projet'!$E$10+1,1))</f>
        <v>273.21861937609918</v>
      </c>
      <c r="AO109" s="62">
        <f t="shared" si="90"/>
        <v>268.83004886965318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68.903712119021961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68.903712119021961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4.6111381379887463E-14</v>
      </c>
      <c r="BF109" s="14">
        <f t="shared" si="91"/>
        <v>7.5804141040779151E-13</v>
      </c>
      <c r="BG109" s="22">
        <f t="shared" si="61"/>
        <v>1.4005661123635408E-12</v>
      </c>
      <c r="BH109" s="62">
        <f t="shared" si="62"/>
        <v>278.99181358813053</v>
      </c>
      <c r="BI109" s="62">
        <f ca="1">AVERAGE(OFFSET($BH$3,0,0,'Données projet'!$E$11+1,1))-AVERAGE(OFFSET($H$3,0,0,'Données projet'!$E$11+1,1))</f>
        <v>319.01020001288975</v>
      </c>
      <c r="BJ109" s="62">
        <f t="shared" si="92"/>
        <v>312.22190035638084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83.3254193067242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83.3254193067242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6.1186256061773749E-14</v>
      </c>
      <c r="CA109" s="14">
        <f t="shared" si="93"/>
        <v>9.7328366192051127E-13</v>
      </c>
      <c r="CB109" s="22">
        <f t="shared" si="64"/>
        <v>1.8017017738191463E-12</v>
      </c>
      <c r="CC109" s="62">
        <f t="shared" si="65"/>
        <v>278.99181358813092</v>
      </c>
      <c r="CD109" s="62">
        <f ca="1">AVERAGE(OFFSET($CC$3,0,0,'Données projet'!$E$12+1,1))-AVERAGE(OFFSET($H$3,0,0,'Données projet'!$E$12+1,1))</f>
        <v>405.06394904053946</v>
      </c>
      <c r="CE109" s="62">
        <f t="shared" si="94"/>
        <v>393.75247087518198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89.704832758726667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89.704832758726667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5.7</v>
      </c>
      <c r="CT109" s="13">
        <f>IF('Données projet'!$A$140&gt;35,CT108+CS109-DB108,IF(A109&lt;'Données projet'!$A$140,$CQ$205^A109,IF(A109='Données projet'!$A$140,'Données projet'!$B$140,CT108+CS109-DB108)))</f>
        <v>252.5999999999998</v>
      </c>
      <c r="CU109" s="18">
        <f>CT109*VLOOKUP('Données projet'!$B$13,Paramètres!$A$1:$I$89,3,0)*VLOOKUP('Données projet'!$B$13,Paramètres!$A$1:$I$89,5,0)</f>
        <v>256.13639999999981</v>
      </c>
      <c r="CV109" s="14">
        <f t="shared" si="95"/>
        <v>61.898098337343079</v>
      </c>
      <c r="CW109" s="22">
        <f t="shared" si="67"/>
        <v>553.91008460420551</v>
      </c>
      <c r="CX109" s="62">
        <f t="shared" si="68"/>
        <v>832.90189819233456</v>
      </c>
      <c r="CY109" s="62">
        <f ca="1">AVERAGE(OFFSET($CX$3,0,0,'Données projet'!$E$13+1,1))-AVERAGE(OFFSET($H$3,0,0,'Données projet'!$E$13+1,1))</f>
        <v>474.46836359712393</v>
      </c>
      <c r="CZ109" s="62">
        <f t="shared" si="96"/>
        <v>221.28699636637722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20.848808902755845</v>
      </c>
      <c r="DG109" s="23">
        <f>EXP(-LN(2)/25)*DG108+(1-EXP(-LN(2)/25))/(LN(2)/25)*Calculateur!DB109*Calculateur!DD109*VLOOKUP('Données projet'!$B$13,Paramètres!$A$1:$I$89,3,0)*0.475*44/12</f>
        <v>14.214511483971831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35.063320386727675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4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5.7</v>
      </c>
      <c r="N110" s="14">
        <f>IF('Données projet'!$A$36&gt;35,N109+M110-V109,IF(A110&lt;'Données projet'!$A$36,$K$205^A110,IF(A110='Données projet'!$A$36,'Données projet'!$B$36,N109+M110-V109)))</f>
        <v>258.29999999999978</v>
      </c>
      <c r="O110" s="14">
        <f>N110*VLOOKUP('Données projet'!$B$9,Paramètres!$A$1:$I$89,3,0)*VLOOKUP('Données projet'!$B$9,Paramètres!$A$1:$I$89,5,0)</f>
        <v>233.70983999999979</v>
      </c>
      <c r="P110" s="14">
        <f t="shared" si="87"/>
        <v>57.08408713412031</v>
      </c>
      <c r="Q110" s="22">
        <f t="shared" si="107"/>
        <v>506.46608975859249</v>
      </c>
      <c r="R110" s="62">
        <f t="shared" si="55"/>
        <v>785.70669665146613</v>
      </c>
      <c r="S110" s="62">
        <f ca="1">AVERAGE(OFFSET($R$3,0,0,'Données projet'!$E$9+1,1))-AVERAGE(OFFSET($H$3,0,0,'Données projet'!$E$9+1,1))</f>
        <v>432.80275651765203</v>
      </c>
      <c r="T110" s="62">
        <f t="shared" si="88"/>
        <v>203.89279893419919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18.238748240739287</v>
      </c>
      <c r="AA110" s="23">
        <f>EXP(-LN(2)/25)*AA109+(1-EXP(-LN(2)/25))/(LN(2)/25)*Calculateur!V110*Calculateur!X110*VLOOKUP('Données projet'!$B$9,Paramètres!$A$1:$I$89,3,0)*0.475*44/12</f>
        <v>12.336881005479526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30.575629246218814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3.813056537183002E-14</v>
      </c>
      <c r="AK110" s="14">
        <f t="shared" si="89"/>
        <v>6.4086286045526829E-13</v>
      </c>
      <c r="AL110" s="22">
        <f t="shared" si="58"/>
        <v>1.1825802166488628E-12</v>
      </c>
      <c r="AM110" s="62">
        <f t="shared" si="59"/>
        <v>279.24060689287484</v>
      </c>
      <c r="AN110" s="62">
        <f ca="1">AVERAGE(OFFSET($AM$3,0,0,'Données projet'!$E$10+1,1))-AVERAGE(OFFSET($H$3,0,0,'Données projet'!$E$10+1,1))</f>
        <v>273.21861937609918</v>
      </c>
      <c r="AO110" s="62">
        <f t="shared" si="90"/>
        <v>268.83004886965318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67.552552351482504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67.552552351482504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4.6111381379887463E-14</v>
      </c>
      <c r="BF110" s="14">
        <f t="shared" si="91"/>
        <v>7.5804141040779151E-13</v>
      </c>
      <c r="BG110" s="22">
        <f t="shared" si="61"/>
        <v>1.4005661123635408E-12</v>
      </c>
      <c r="BH110" s="62">
        <f t="shared" si="62"/>
        <v>279.24060689287506</v>
      </c>
      <c r="BI110" s="62">
        <f ca="1">AVERAGE(OFFSET($BH$3,0,0,'Données projet'!$E$11+1,1))-AVERAGE(OFFSET($H$3,0,0,'Données projet'!$E$11+1,1))</f>
        <v>319.01020001288975</v>
      </c>
      <c r="BJ110" s="62">
        <f t="shared" si="92"/>
        <v>312.22190035638084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81.691458657606717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81.691458657606717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6.1186256061773749E-14</v>
      </c>
      <c r="CA110" s="14">
        <f t="shared" si="93"/>
        <v>9.7328366192051127E-13</v>
      </c>
      <c r="CB110" s="22">
        <f t="shared" si="64"/>
        <v>1.8017017738191463E-12</v>
      </c>
      <c r="CC110" s="62">
        <f t="shared" si="65"/>
        <v>279.24060689287546</v>
      </c>
      <c r="CD110" s="62">
        <f ca="1">AVERAGE(OFFSET($CC$3,0,0,'Données projet'!$E$12+1,1))-AVERAGE(OFFSET($H$3,0,0,'Données projet'!$E$12+1,1))</f>
        <v>405.06394904053946</v>
      </c>
      <c r="CE110" s="62">
        <f t="shared" si="94"/>
        <v>393.75247087518198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87.945775702873405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87.945775702873405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5.7</v>
      </c>
      <c r="CT110" s="13">
        <f>IF('Données projet'!$A$140&gt;35,CT109+CS110-DB109,IF(A110&lt;'Données projet'!$A$140,$CQ$205^A110,IF(A110='Données projet'!$A$140,'Données projet'!$B$140,CT109+CS110-DB109)))</f>
        <v>258.29999999999978</v>
      </c>
      <c r="CU110" s="18">
        <f>CT110*VLOOKUP('Données projet'!$B$13,Paramètres!$A$1:$I$89,3,0)*VLOOKUP('Données projet'!$B$13,Paramètres!$A$1:$I$89,5,0)</f>
        <v>261.91619999999978</v>
      </c>
      <c r="CV110" s="14">
        <f t="shared" si="95"/>
        <v>63.130659638572261</v>
      </c>
      <c r="CW110" s="22">
        <f t="shared" si="67"/>
        <v>566.12328053717954</v>
      </c>
      <c r="CX110" s="62">
        <f t="shared" si="68"/>
        <v>845.36388743005318</v>
      </c>
      <c r="CY110" s="62">
        <f ca="1">AVERAGE(OFFSET($CX$3,0,0,'Données projet'!$E$13+1,1))-AVERAGE(OFFSET($H$3,0,0,'Données projet'!$E$13+1,1))</f>
        <v>474.46836359712393</v>
      </c>
      <c r="CZ110" s="62">
        <f t="shared" si="96"/>
        <v>221.28699636637722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20.439976476690582</v>
      </c>
      <c r="DG110" s="23">
        <f>EXP(-LN(2)/25)*DG109+(1-EXP(-LN(2)/25))/(LN(2)/25)*Calculateur!DB110*Calculateur!DD110*VLOOKUP('Données projet'!$B$13,Paramètres!$A$1:$I$89,3,0)*0.475*44/12</f>
        <v>13.825814919933951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34.265791396624536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4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264</v>
      </c>
      <c r="L111" s="13">
        <f>VLOOKUP(A111,'Données projet'!$A$35:$I$55,9,0)</f>
        <v>5.7</v>
      </c>
      <c r="M111" s="13">
        <f t="array" ref="M111">INDEX(L:L,MIN(IF(ISNUMBER(L111:L307),ROW(L111:L307),"")))</f>
        <v>5.7</v>
      </c>
      <c r="N111" s="14">
        <f>IF('Données projet'!$A$36&gt;35,N110+M111-V110,IF(A111&lt;'Données projet'!$A$36,$K$205^A111,IF(A111='Données projet'!$A$36,'Données projet'!$B$36,N110+M111-V110)))</f>
        <v>263.99999999999977</v>
      </c>
      <c r="O111" s="14">
        <f>N111*VLOOKUP('Données projet'!$B$9,Paramètres!$A$1:$I$89,3,0)*VLOOKUP('Données projet'!$B$9,Paramètres!$A$1:$I$89,5,0)</f>
        <v>238.8671999999998</v>
      </c>
      <c r="P111" s="14">
        <f t="shared" si="87"/>
        <v>58.195735973104107</v>
      </c>
      <c r="Q111" s="22">
        <f t="shared" si="107"/>
        <v>517.38461348648923</v>
      </c>
      <c r="R111" s="62">
        <f t="shared" si="55"/>
        <v>796.86969767648861</v>
      </c>
      <c r="S111" s="62">
        <f ca="1">AVERAGE(OFFSET($R$3,0,0,'Données projet'!$E$9+1,1))-AVERAGE(OFFSET($H$3,0,0,'Données projet'!$E$9+1,1))</f>
        <v>432.80275651765203</v>
      </c>
      <c r="T111" s="62">
        <f t="shared" si="88"/>
        <v>203.89279893419919</v>
      </c>
      <c r="U111" s="16">
        <f>IF(ISNA(VLOOKUP(A111,'Données projet'!$A$35:$I$55,3,0)),0,VLOOKUP(A111,'Données projet'!$A$35:$I$55,3,0))</f>
        <v>7</v>
      </c>
      <c r="V111" s="16">
        <f>IF(ISNA(VLOOKUP(A111,'Données projet'!$A$35:$I$55,4,0)),0,VLOOKUP(A111,'Données projet'!$A$35:$I$55,4,0))</f>
        <v>39</v>
      </c>
      <c r="W111" s="17">
        <f>IF(ISNA(VLOOKUP(A111,'Données projet'!$A$35:$I$55,5,0)),0%,VLOOKUP(A111,'Données projet'!$A$35:$I$55,5,0)*VLOOKUP('Données projet'!$B$9,Paramètres!$A$1:$I$89,7,0))</f>
        <v>0.215</v>
      </c>
      <c r="X111" s="17">
        <f>IF(ISNA(VLOOKUP(A111,'Données projet'!$A$35:$I$55,6,0)),0%,VLOOKUP(A111,'Données projet'!$A$35:$I$55,6,0)*VLOOKUP('Données projet'!$B$9,Paramètres!$A$1:$I$89,7,0))</f>
        <v>0.17200000000000001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26.268022703257209</v>
      </c>
      <c r="AA111" s="23">
        <f>EXP(-LN(2)/25)*AA110+(1-EXP(-LN(2)/25))/(LN(2)/25)*Calculateur!V111*Calculateur!X111*VLOOKUP('Données projet'!$B$9,Paramètres!$A$1:$I$89,3,0)*0.475*44/12</f>
        <v>18.682650482284252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44.950673185541461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3.813056537183002E-14</v>
      </c>
      <c r="AK111" s="14">
        <f t="shared" si="89"/>
        <v>6.4086286045526829E-13</v>
      </c>
      <c r="AL111" s="22">
        <f t="shared" si="58"/>
        <v>1.1825802166488628E-12</v>
      </c>
      <c r="AM111" s="62">
        <f t="shared" si="59"/>
        <v>279.48508419000052</v>
      </c>
      <c r="AN111" s="62">
        <f ca="1">AVERAGE(OFFSET($AM$3,0,0,'Données projet'!$E$10+1,1))-AVERAGE(OFFSET($H$3,0,0,'Données projet'!$E$10+1,1))</f>
        <v>273.21861937609918</v>
      </c>
      <c r="AO111" s="62">
        <f t="shared" si="90"/>
        <v>268.83004886965318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66.227888002858407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66.227888002858407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4.6111381379887463E-14</v>
      </c>
      <c r="BF111" s="14">
        <f t="shared" si="91"/>
        <v>7.5804141040779151E-13</v>
      </c>
      <c r="BG111" s="22">
        <f t="shared" si="61"/>
        <v>1.4005661123635408E-12</v>
      </c>
      <c r="BH111" s="62">
        <f t="shared" si="62"/>
        <v>279.48508419000075</v>
      </c>
      <c r="BI111" s="62">
        <f ca="1">AVERAGE(OFFSET($BH$3,0,0,'Données projet'!$E$11+1,1))-AVERAGE(OFFSET($H$3,0,0,'Données projet'!$E$11+1,1))</f>
        <v>319.01020001288975</v>
      </c>
      <c r="BJ111" s="62">
        <f t="shared" si="92"/>
        <v>312.22190035638084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80.089538980200828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80.089538980200828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6.1186256061773749E-14</v>
      </c>
      <c r="CA111" s="14">
        <f t="shared" si="93"/>
        <v>9.7328366192051127E-13</v>
      </c>
      <c r="CB111" s="22">
        <f t="shared" si="64"/>
        <v>1.8017017738191463E-12</v>
      </c>
      <c r="CC111" s="62">
        <f t="shared" si="65"/>
        <v>279.48508419000115</v>
      </c>
      <c r="CD111" s="62">
        <f ca="1">AVERAGE(OFFSET($CC$3,0,0,'Données projet'!$E$12+1,1))-AVERAGE(OFFSET($H$3,0,0,'Données projet'!$E$12+1,1))</f>
        <v>405.06394904053946</v>
      </c>
      <c r="CE111" s="62">
        <f t="shared" si="94"/>
        <v>393.75247087518198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86.221212682966566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86.221212682966566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>
        <f>VLOOKUP(A111,'Données projet'!$A$139:$I$159,2,0)</f>
        <v>264</v>
      </c>
      <c r="CR111" s="13">
        <f>VLOOKUP(A111,'Données projet'!$A$139:$I$159,9,0)</f>
        <v>5.7</v>
      </c>
      <c r="CS111" s="13">
        <f t="array" ref="CS111">INDEX(CR:CR,MIN(IF(ISNUMBER(CR111:CR307),ROW(CR111:CR307),"")))</f>
        <v>5.7</v>
      </c>
      <c r="CT111" s="13">
        <f>IF('Données projet'!$A$140&gt;35,CT110+CS111-DB110,IF(A111&lt;'Données projet'!$A$140,$CQ$205^A111,IF(A111='Données projet'!$A$140,'Données projet'!$B$140,CT110+CS111-DB110)))</f>
        <v>263.99999999999977</v>
      </c>
      <c r="CU111" s="18">
        <f>CT111*VLOOKUP('Données projet'!$B$13,Paramètres!$A$1:$I$89,3,0)*VLOOKUP('Données projet'!$B$13,Paramètres!$A$1:$I$89,5,0)</f>
        <v>267.6959999999998</v>
      </c>
      <c r="CV111" s="14">
        <f t="shared" si="95"/>
        <v>64.360058723585439</v>
      </c>
      <c r="CW111" s="22">
        <f t="shared" si="67"/>
        <v>578.33096894357766</v>
      </c>
      <c r="CX111" s="62">
        <f t="shared" si="68"/>
        <v>857.81605313357704</v>
      </c>
      <c r="CY111" s="62">
        <f ca="1">AVERAGE(OFFSET($CX$3,0,0,'Données projet'!$E$13+1,1))-AVERAGE(OFFSET($H$3,0,0,'Données projet'!$E$13+1,1))</f>
        <v>474.46836359712393</v>
      </c>
      <c r="CZ111" s="62">
        <f t="shared" si="96"/>
        <v>221.28699636637722</v>
      </c>
      <c r="DA111" s="16">
        <f>IF(ISNA(VLOOKUP(A111,'Données projet'!$A$139:$I$159,3,0)),0,VLOOKUP(A111,'Données projet'!$A$139:$I$159,3,0))</f>
        <v>7</v>
      </c>
      <c r="DB111" s="16">
        <f>IF(ISNA(VLOOKUP(A111,'Données projet'!$A$139:$I$159,4,0)),0,VLOOKUP(A111,'Données projet'!$A$139:$I$159,4,0))</f>
        <v>39</v>
      </c>
      <c r="DC111" s="17">
        <f>IF(ISNA(VLOOKUP(A111,'Données projet'!$A$139:$I$159,5,0)),0%,VLOOKUP(A111,'Données projet'!$A$139:$I$159,5,0)*VLOOKUP('Données projet'!$B$13,Paramètres!$A$1:$I$89,7,0))</f>
        <v>0.215</v>
      </c>
      <c r="DD111" s="17">
        <f>IF(ISNA(VLOOKUP(A111,'Données projet'!$A$139:$I$159,6,0)),0%,VLOOKUP(A111,'Données projet'!$A$139:$I$159,6,0)*VLOOKUP('Données projet'!$B$13,Paramètres!$A$1:$I$89,7,0))</f>
        <v>0.17200000000000001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29.438301305374459</v>
      </c>
      <c r="DG111" s="23">
        <f>EXP(-LN(2)/25)*DG110+(1-EXP(-LN(2)/25))/(LN(2)/25)*Calculateur!DB111*Calculateur!DD111*VLOOKUP('Données projet'!$B$13,Paramètres!$A$1:$I$89,3,0)*0.475*44/12</f>
        <v>20.937453126697871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50.375754432072327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4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5.6</v>
      </c>
      <c r="N112" s="14">
        <f>IF('Données projet'!$A$36&gt;35,N111+M112-V111,IF(A112&lt;'Données projet'!$A$36,$K$205^A112,IF(A112='Données projet'!$A$36,'Données projet'!$B$36,N111+M112-V111)))</f>
        <v>230.5999999999998</v>
      </c>
      <c r="O112" s="14">
        <f>N112*VLOOKUP('Données projet'!$B$9,Paramètres!$A$1:$I$89,3,0)*VLOOKUP('Données projet'!$B$9,Paramètres!$A$1:$I$89,5,0)</f>
        <v>208.64687999999981</v>
      </c>
      <c r="P112" s="14">
        <f t="shared" si="87"/>
        <v>51.639783781236048</v>
      </c>
      <c r="Q112" s="22">
        <f t="shared" si="107"/>
        <v>453.33260608565246</v>
      </c>
      <c r="R112" s="62">
        <f t="shared" si="55"/>
        <v>733.05792643824179</v>
      </c>
      <c r="S112" s="62">
        <f ca="1">AVERAGE(OFFSET($R$3,0,0,'Données projet'!$E$9+1,1))-AVERAGE(OFFSET($H$3,0,0,'Données projet'!$E$9+1,1))</f>
        <v>432.80275651765203</v>
      </c>
      <c r="T112" s="62">
        <f t="shared" si="88"/>
        <v>203.89279893419919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25.752922799958153</v>
      </c>
      <c r="AA112" s="23">
        <f>EXP(-LN(2)/25)*AA111+(1-EXP(-LN(2)/25))/(LN(2)/25)*Calculateur!V112*Calculateur!X112*VLOOKUP('Données projet'!$B$9,Paramètres!$A$1:$I$89,3,0)*0.475*44/12</f>
        <v>18.171772422368299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43.924695222326449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3.813056537183002E-14</v>
      </c>
      <c r="AK112" s="14">
        <f t="shared" si="89"/>
        <v>6.4086286045526829E-13</v>
      </c>
      <c r="AL112" s="22">
        <f t="shared" si="58"/>
        <v>1.1825802166488628E-12</v>
      </c>
      <c r="AM112" s="62">
        <f t="shared" si="59"/>
        <v>279.72532035259047</v>
      </c>
      <c r="AN112" s="62">
        <f ca="1">AVERAGE(OFFSET($AM$3,0,0,'Données projet'!$E$10+1,1))-AVERAGE(OFFSET($H$3,0,0,'Données projet'!$E$10+1,1))</f>
        <v>273.21861937609918</v>
      </c>
      <c r="AO112" s="62">
        <f t="shared" si="90"/>
        <v>268.83004886965318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64.929199514145353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64.929199514145353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4.6111381379887463E-14</v>
      </c>
      <c r="BF112" s="14">
        <f t="shared" si="91"/>
        <v>7.5804141040779151E-13</v>
      </c>
      <c r="BG112" s="22">
        <f t="shared" si="61"/>
        <v>1.4005661123635408E-12</v>
      </c>
      <c r="BH112" s="62">
        <f t="shared" si="62"/>
        <v>279.7253203525907</v>
      </c>
      <c r="BI112" s="62">
        <f ca="1">AVERAGE(OFFSET($BH$3,0,0,'Données projet'!$E$11+1,1))-AVERAGE(OFFSET($H$3,0,0,'Données projet'!$E$11+1,1))</f>
        <v>319.01020001288975</v>
      </c>
      <c r="BJ112" s="62">
        <f t="shared" si="92"/>
        <v>312.22190035638084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78.519031970594355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78.519031970594355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6.1186256061773749E-14</v>
      </c>
      <c r="CA112" s="14">
        <f t="shared" si="93"/>
        <v>9.7328366192051127E-13</v>
      </c>
      <c r="CB112" s="22">
        <f t="shared" si="64"/>
        <v>1.8017017738191463E-12</v>
      </c>
      <c r="CC112" s="62">
        <f t="shared" si="65"/>
        <v>279.7253203525911</v>
      </c>
      <c r="CD112" s="62">
        <f ca="1">AVERAGE(OFFSET($CC$3,0,0,'Données projet'!$E$12+1,1))-AVERAGE(OFFSET($H$3,0,0,'Données projet'!$E$12+1,1))</f>
        <v>405.06394904053946</v>
      </c>
      <c r="CE112" s="62">
        <f t="shared" si="94"/>
        <v>393.75247087518198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84.530467292000523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84.530467292000523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5.6</v>
      </c>
      <c r="CT112" s="13">
        <f>IF('Données projet'!$A$140&gt;35,CT111+CS112-DB111,IF(A112&lt;'Données projet'!$A$140,$CQ$205^A112,IF(A112='Données projet'!$A$140,'Données projet'!$B$140,CT111+CS112-DB111)))</f>
        <v>230.5999999999998</v>
      </c>
      <c r="CU112" s="18">
        <f>CT112*VLOOKUP('Données projet'!$B$13,Paramètres!$A$1:$I$89,3,0)*VLOOKUP('Données projet'!$B$13,Paramètres!$A$1:$I$89,5,0)</f>
        <v>233.82839999999982</v>
      </c>
      <c r="CV112" s="14">
        <f t="shared" si="95"/>
        <v>57.109674120619815</v>
      </c>
      <c r="CW112" s="22">
        <f t="shared" si="67"/>
        <v>506.71714576007912</v>
      </c>
      <c r="CX112" s="62">
        <f t="shared" si="68"/>
        <v>786.4424661126684</v>
      </c>
      <c r="CY112" s="62">
        <f ca="1">AVERAGE(OFFSET($CX$3,0,0,'Données projet'!$E$13+1,1))-AVERAGE(OFFSET($H$3,0,0,'Données projet'!$E$13+1,1))</f>
        <v>474.46836359712393</v>
      </c>
      <c r="CZ112" s="62">
        <f t="shared" si="96"/>
        <v>221.28699636637722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28.861034172366896</v>
      </c>
      <c r="DG112" s="23">
        <f>EXP(-LN(2)/25)*DG111+(1-EXP(-LN(2)/25))/(LN(2)/25)*Calculateur!DB112*Calculateur!DD112*VLOOKUP('Données projet'!$B$13,Paramètres!$A$1:$I$89,3,0)*0.475*44/12</f>
        <v>20.364917369895512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49.225951542262408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4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5.6</v>
      </c>
      <c r="N113" s="14">
        <f>IF('Données projet'!$A$36&gt;35,N112+M113-V112,IF(A113&lt;'Données projet'!$A$36,$K$205^A113,IF(A113='Données projet'!$A$36,'Données projet'!$B$36,N112+M113-V112)))</f>
        <v>236.19999999999979</v>
      </c>
      <c r="O113" s="14">
        <f>N113*VLOOKUP('Données projet'!$B$9,Paramètres!$A$1:$I$89,3,0)*VLOOKUP('Données projet'!$B$9,Paramètres!$A$1:$I$89,5,0)</f>
        <v>213.71375999999981</v>
      </c>
      <c r="P113" s="14">
        <f t="shared" si="87"/>
        <v>52.746305859880394</v>
      </c>
      <c r="Q113" s="22">
        <f t="shared" si="107"/>
        <v>464.08461470595802</v>
      </c>
      <c r="R113" s="62">
        <f t="shared" si="55"/>
        <v>744.04600366080388</v>
      </c>
      <c r="S113" s="62">
        <f ca="1">AVERAGE(OFFSET($R$3,0,0,'Données projet'!$E$9+1,1))-AVERAGE(OFFSET($H$3,0,0,'Données projet'!$E$9+1,1))</f>
        <v>432.80275651765203</v>
      </c>
      <c r="T113" s="62">
        <f t="shared" si="88"/>
        <v>203.89279893419919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25.247923691582873</v>
      </c>
      <c r="AA113" s="23">
        <f>EXP(-LN(2)/25)*AA112+(1-EXP(-LN(2)/25))/(LN(2)/25)*Calculateur!V113*Calculateur!X113*VLOOKUP('Données projet'!$B$9,Paramètres!$A$1:$I$89,3,0)*0.475*44/12</f>
        <v>17.67486434986666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42.922788041449536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3.813056537183002E-14</v>
      </c>
      <c r="AK113" s="14">
        <f t="shared" si="89"/>
        <v>6.4086286045526829E-13</v>
      </c>
      <c r="AL113" s="22">
        <f t="shared" si="58"/>
        <v>1.1825802166488628E-12</v>
      </c>
      <c r="AM113" s="62">
        <f t="shared" si="59"/>
        <v>279.96138895484705</v>
      </c>
      <c r="AN113" s="62">
        <f ca="1">AVERAGE(OFFSET($AM$3,0,0,'Données projet'!$E$10+1,1))-AVERAGE(OFFSET($H$3,0,0,'Données projet'!$E$10+1,1))</f>
        <v>273.21861937609918</v>
      </c>
      <c r="AO113" s="62">
        <f t="shared" si="90"/>
        <v>268.83004886965318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63.655977514574204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63.655977514574204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4.6111381379887463E-14</v>
      </c>
      <c r="BF113" s="14">
        <f t="shared" si="91"/>
        <v>7.5804141040779151E-13</v>
      </c>
      <c r="BG113" s="22">
        <f t="shared" si="61"/>
        <v>1.4005661123635408E-12</v>
      </c>
      <c r="BH113" s="62">
        <f t="shared" si="62"/>
        <v>279.96138895484728</v>
      </c>
      <c r="BI113" s="62">
        <f ca="1">AVERAGE(OFFSET($BH$3,0,0,'Données projet'!$E$11+1,1))-AVERAGE(OFFSET($H$3,0,0,'Données projet'!$E$11+1,1))</f>
        <v>319.01020001288975</v>
      </c>
      <c r="BJ113" s="62">
        <f t="shared" si="92"/>
        <v>312.22190035638084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76.97932164553157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76.97932164553157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6.1186256061773749E-14</v>
      </c>
      <c r="CA113" s="14">
        <f t="shared" si="93"/>
        <v>9.7328366192051127E-13</v>
      </c>
      <c r="CB113" s="22">
        <f t="shared" si="64"/>
        <v>1.8017017738191463E-12</v>
      </c>
      <c r="CC113" s="62">
        <f t="shared" si="65"/>
        <v>279.96138895484768</v>
      </c>
      <c r="CD113" s="62">
        <f ca="1">AVERAGE(OFFSET($CC$3,0,0,'Données projet'!$E$12+1,1))-AVERAGE(OFFSET($H$3,0,0,'Données projet'!$E$12+1,1))</f>
        <v>405.06394904053946</v>
      </c>
      <c r="CE113" s="62">
        <f t="shared" si="94"/>
        <v>393.75247087518198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82.872876386898469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82.872876386898469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5.6</v>
      </c>
      <c r="CT113" s="13">
        <f>IF('Données projet'!$A$140&gt;35,CT112+CS113-DB112,IF(A113&lt;'Données projet'!$A$140,$CQ$205^A113,IF(A113='Données projet'!$A$140,'Données projet'!$B$140,CT112+CS113-DB112)))</f>
        <v>236.19999999999979</v>
      </c>
      <c r="CU113" s="18">
        <f>CT113*VLOOKUP('Données projet'!$B$13,Paramètres!$A$1:$I$89,3,0)*VLOOKUP('Données projet'!$B$13,Paramètres!$A$1:$I$89,5,0)</f>
        <v>239.5067999999998</v>
      </c>
      <c r="CV113" s="14">
        <f t="shared" si="95"/>
        <v>58.333403398541606</v>
      </c>
      <c r="CW113" s="22">
        <f t="shared" si="67"/>
        <v>518.73835425245966</v>
      </c>
      <c r="CX113" s="62">
        <f t="shared" si="68"/>
        <v>798.69974320730557</v>
      </c>
      <c r="CY113" s="62">
        <f ca="1">AVERAGE(OFFSET($CX$3,0,0,'Données projet'!$E$13+1,1))-AVERAGE(OFFSET($H$3,0,0,'Données projet'!$E$13+1,1))</f>
        <v>474.46836359712393</v>
      </c>
      <c r="CZ113" s="62">
        <f t="shared" si="96"/>
        <v>221.28699636637722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28.295086895739427</v>
      </c>
      <c r="DG113" s="23">
        <f>EXP(-LN(2)/25)*DG112+(1-EXP(-LN(2)/25))/(LN(2)/25)*Calculateur!DB113*Calculateur!DD113*VLOOKUP('Données projet'!$B$13,Paramètres!$A$1:$I$89,3,0)*0.475*44/12</f>
        <v>19.808037633471258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48.103124529210689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4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5.6</v>
      </c>
      <c r="N114" s="14">
        <f>IF('Données projet'!$A$36&gt;35,N113+M114-V113,IF(A114&lt;'Données projet'!$A$36,$K$205^A114,IF(A114='Données projet'!$A$36,'Données projet'!$B$36,N113+M114-V113)))</f>
        <v>241.79999999999978</v>
      </c>
      <c r="O114" s="14">
        <f>N114*VLOOKUP('Données projet'!$B$9,Paramètres!$A$1:$I$89,3,0)*VLOOKUP('Données projet'!$B$9,Paramètres!$A$1:$I$89,5,0)</f>
        <v>218.78063999999978</v>
      </c>
      <c r="P114" s="14">
        <f t="shared" si="87"/>
        <v>53.849778182636094</v>
      </c>
      <c r="Q114" s="22">
        <f t="shared" si="107"/>
        <v>474.83131166809085</v>
      </c>
      <c r="R114" s="62">
        <f t="shared" si="55"/>
        <v>755.02467396271436</v>
      </c>
      <c r="S114" s="62">
        <f ca="1">AVERAGE(OFFSET($R$3,0,0,'Données projet'!$E$9+1,1))-AVERAGE(OFFSET($H$3,0,0,'Données projet'!$E$9+1,1))</f>
        <v>432.80275651765203</v>
      </c>
      <c r="T114" s="62">
        <f t="shared" si="88"/>
        <v>203.89279893419919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24.752827307703789</v>
      </c>
      <c r="AA114" s="23">
        <f>EXP(-LN(2)/25)*AA113+(1-EXP(-LN(2)/25))/(LN(2)/25)*Calculateur!V114*Calculateur!X114*VLOOKUP('Données projet'!$B$9,Paramètres!$A$1:$I$89,3,0)*0.475*44/12</f>
        <v>17.191544254738837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41.944371562442626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3.813056537183002E-14</v>
      </c>
      <c r="AK114" s="14">
        <f t="shared" si="89"/>
        <v>6.4086286045526829E-13</v>
      </c>
      <c r="AL114" s="22">
        <f t="shared" si="58"/>
        <v>1.1825802166488628E-12</v>
      </c>
      <c r="AM114" s="62">
        <f t="shared" si="59"/>
        <v>280.19336229462476</v>
      </c>
      <c r="AN114" s="62">
        <f ca="1">AVERAGE(OFFSET($AM$3,0,0,'Données projet'!$E$10+1,1))-AVERAGE(OFFSET($H$3,0,0,'Données projet'!$E$10+1,1))</f>
        <v>273.21861937609918</v>
      </c>
      <c r="AO114" s="62">
        <f t="shared" si="90"/>
        <v>268.83004886965318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62.407722621825904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62.407722621825904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4.6111381379887463E-14</v>
      </c>
      <c r="BF114" s="14">
        <f t="shared" si="91"/>
        <v>7.5804141040779151E-13</v>
      </c>
      <c r="BG114" s="22">
        <f t="shared" si="61"/>
        <v>1.4005661123635408E-12</v>
      </c>
      <c r="BH114" s="62">
        <f t="shared" si="62"/>
        <v>280.19336229462499</v>
      </c>
      <c r="BI114" s="62">
        <f ca="1">AVERAGE(OFFSET($BH$3,0,0,'Données projet'!$E$11+1,1))-AVERAGE(OFFSET($H$3,0,0,'Données projet'!$E$11+1,1))</f>
        <v>319.01020001288975</v>
      </c>
      <c r="BJ114" s="62">
        <f t="shared" si="92"/>
        <v>312.22190035638084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75.469804100812695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75.469804100812695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6.1186256061773749E-14</v>
      </c>
      <c r="CA114" s="14">
        <f t="shared" si="93"/>
        <v>9.7328366192051127E-13</v>
      </c>
      <c r="CB114" s="22">
        <f t="shared" si="64"/>
        <v>1.8017017738191463E-12</v>
      </c>
      <c r="CC114" s="62">
        <f t="shared" si="65"/>
        <v>280.19336229462539</v>
      </c>
      <c r="CD114" s="62">
        <f ca="1">AVERAGE(OFFSET($CC$3,0,0,'Données projet'!$E$12+1,1))-AVERAGE(OFFSET($H$3,0,0,'Données projet'!$E$12+1,1))</f>
        <v>405.06394904053946</v>
      </c>
      <c r="CE114" s="62">
        <f t="shared" si="94"/>
        <v>393.75247087518198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81.247789828414838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81.247789828414838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5.6</v>
      </c>
      <c r="CT114" s="13">
        <f>IF('Données projet'!$A$140&gt;35,CT113+CS114-DB113,IF(A114&lt;'Données projet'!$A$140,$CQ$205^A114,IF(A114='Données projet'!$A$140,'Données projet'!$B$140,CT113+CS114-DB113)))</f>
        <v>241.79999999999978</v>
      </c>
      <c r="CU114" s="18">
        <f>CT114*VLOOKUP('Données projet'!$B$13,Paramètres!$A$1:$I$89,3,0)*VLOOKUP('Données projet'!$B$13,Paramètres!$A$1:$I$89,5,0)</f>
        <v>245.18519999999981</v>
      </c>
      <c r="CV114" s="14">
        <f t="shared" si="95"/>
        <v>59.553759878357077</v>
      </c>
      <c r="CW114" s="22">
        <f t="shared" si="67"/>
        <v>530.75368845480489</v>
      </c>
      <c r="CX114" s="62">
        <f t="shared" si="68"/>
        <v>810.9470507494284</v>
      </c>
      <c r="CY114" s="62">
        <f ca="1">AVERAGE(OFFSET($CX$3,0,0,'Données projet'!$E$13+1,1))-AVERAGE(OFFSET($H$3,0,0,'Données projet'!$E$13+1,1))</f>
        <v>474.46836359712393</v>
      </c>
      <c r="CZ114" s="62">
        <f t="shared" si="96"/>
        <v>221.28699636637722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27.740237500012867</v>
      </c>
      <c r="DG114" s="23">
        <f>EXP(-LN(2)/25)*DG113+(1-EXP(-LN(2)/25))/(LN(2)/25)*Calculateur!DB114*Calculateur!DD114*VLOOKUP('Données projet'!$B$13,Paramètres!$A$1:$I$89,3,0)*0.475*44/12</f>
        <v>19.26638580272456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47.006623302737424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4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5.6</v>
      </c>
      <c r="N115" s="14">
        <f>IF('Données projet'!$A$36&gt;35,N114+M115-V114,IF(A115&lt;'Données projet'!$A$36,$K$205^A115,IF(A115='Données projet'!$A$36,'Données projet'!$B$36,N114+M115-V114)))</f>
        <v>247.39999999999978</v>
      </c>
      <c r="O115" s="14">
        <f>N115*VLOOKUP('Données projet'!$B$9,Paramètres!$A$1:$I$89,3,0)*VLOOKUP('Données projet'!$B$9,Paramètres!$A$1:$I$89,5,0)</f>
        <v>223.84751999999978</v>
      </c>
      <c r="P115" s="14">
        <f t="shared" si="87"/>
        <v>54.950279510257438</v>
      </c>
      <c r="Q115" s="22">
        <f t="shared" si="107"/>
        <v>485.5728341470313</v>
      </c>
      <c r="R115" s="62">
        <f t="shared" si="55"/>
        <v>765.99414556260217</v>
      </c>
      <c r="S115" s="62">
        <f ca="1">AVERAGE(OFFSET($R$3,0,0,'Données projet'!$E$9+1,1))-AVERAGE(OFFSET($H$3,0,0,'Données projet'!$E$9+1,1))</f>
        <v>432.80275651765203</v>
      </c>
      <c r="T115" s="62">
        <f t="shared" si="88"/>
        <v>203.89279893419919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24.267439461933598</v>
      </c>
      <c r="AA115" s="23">
        <f>EXP(-LN(2)/25)*AA114+(1-EXP(-LN(2)/25))/(LN(2)/25)*Calculateur!V115*Calculateur!X115*VLOOKUP('Données projet'!$B$9,Paramètres!$A$1:$I$89,3,0)*0.475*44/12</f>
        <v>16.721440573028982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40.988880034962577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3.813056537183002E-14</v>
      </c>
      <c r="AK115" s="14">
        <f t="shared" si="89"/>
        <v>6.4086286045526829E-13</v>
      </c>
      <c r="AL115" s="22">
        <f t="shared" si="58"/>
        <v>1.1825802166488628E-12</v>
      </c>
      <c r="AM115" s="62">
        <f t="shared" si="59"/>
        <v>280.42131141557206</v>
      </c>
      <c r="AN115" s="62">
        <f ca="1">AVERAGE(OFFSET($AM$3,0,0,'Données projet'!$E$10+1,1))-AVERAGE(OFFSET($H$3,0,0,'Données projet'!$E$10+1,1))</f>
        <v>273.21861937609918</v>
      </c>
      <c r="AO115" s="62">
        <f t="shared" si="90"/>
        <v>268.83004886965318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61.183945246164093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61.183945246164093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4.6111381379887463E-14</v>
      </c>
      <c r="BF115" s="14">
        <f t="shared" si="91"/>
        <v>7.5804141040779151E-13</v>
      </c>
      <c r="BG115" s="22">
        <f t="shared" si="61"/>
        <v>1.4005661123635408E-12</v>
      </c>
      <c r="BH115" s="62">
        <f t="shared" si="62"/>
        <v>280.42131141557229</v>
      </c>
      <c r="BI115" s="62">
        <f ca="1">AVERAGE(OFFSET($BH$3,0,0,'Données projet'!$E$11+1,1))-AVERAGE(OFFSET($H$3,0,0,'Données projet'!$E$11+1,1))</f>
        <v>319.01020001288975</v>
      </c>
      <c r="BJ115" s="62">
        <f t="shared" si="92"/>
        <v>312.22190035638084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73.98988727443097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73.98988727443097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6.1186256061773749E-14</v>
      </c>
      <c r="CA115" s="14">
        <f t="shared" si="93"/>
        <v>9.7328366192051127E-13</v>
      </c>
      <c r="CB115" s="22">
        <f t="shared" si="64"/>
        <v>1.8017017738191463E-12</v>
      </c>
      <c r="CC115" s="62">
        <f t="shared" si="65"/>
        <v>280.42131141557269</v>
      </c>
      <c r="CD115" s="62">
        <f ca="1">AVERAGE(OFFSET($CC$3,0,0,'Données projet'!$E$12+1,1))-AVERAGE(OFFSET($H$3,0,0,'Données projet'!$E$12+1,1))</f>
        <v>405.06394904053946</v>
      </c>
      <c r="CE115" s="62">
        <f t="shared" si="94"/>
        <v>393.75247087518198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79.654570226138148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79.654570226138148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5.6</v>
      </c>
      <c r="CT115" s="13">
        <f>IF('Données projet'!$A$140&gt;35,CT114+CS115-DB114,IF(A115&lt;'Données projet'!$A$140,$CQ$205^A115,IF(A115='Données projet'!$A$140,'Données projet'!$B$140,CT114+CS115-DB114)))</f>
        <v>247.39999999999978</v>
      </c>
      <c r="CU115" s="18">
        <f>CT115*VLOOKUP('Données projet'!$B$13,Paramètres!$A$1:$I$89,3,0)*VLOOKUP('Données projet'!$B$13,Paramètres!$A$1:$I$89,5,0)</f>
        <v>250.86359999999979</v>
      </c>
      <c r="CV115" s="14">
        <f t="shared" si="95"/>
        <v>60.770830663471429</v>
      </c>
      <c r="CW115" s="22">
        <f t="shared" si="67"/>
        <v>542.76330007221247</v>
      </c>
      <c r="CX115" s="62">
        <f t="shared" si="68"/>
        <v>823.18461148778329</v>
      </c>
      <c r="CY115" s="62">
        <f ca="1">AVERAGE(OFFSET($CX$3,0,0,'Données projet'!$E$13+1,1))-AVERAGE(OFFSET($H$3,0,0,'Données projet'!$E$13+1,1))</f>
        <v>474.46836359712393</v>
      </c>
      <c r="CZ115" s="62">
        <f t="shared" si="96"/>
        <v>221.28699636637722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27.196268362511791</v>
      </c>
      <c r="DG115" s="23">
        <f>EXP(-LN(2)/25)*DG114+(1-EXP(-LN(2)/25))/(LN(2)/25)*Calculateur!DB115*Calculateur!DD115*VLOOKUP('Données projet'!$B$13,Paramètres!$A$1:$I$89,3,0)*0.475*44/12</f>
        <v>18.739545469773862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45.935813832285653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4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5.6</v>
      </c>
      <c r="N116" s="14">
        <f>IF('Données projet'!$A$36&gt;35,N115+M116-V115,IF(A116&lt;'Données projet'!$A$36,$K$205^A116,IF(A116='Données projet'!$A$36,'Données projet'!$B$36,N115+M116-V115)))</f>
        <v>252.99999999999977</v>
      </c>
      <c r="O116" s="14">
        <f>N116*VLOOKUP('Données projet'!$B$9,Paramètres!$A$1:$I$89,3,0)*VLOOKUP('Données projet'!$B$9,Paramètres!$A$1:$I$89,5,0)</f>
        <v>228.9143999999998</v>
      </c>
      <c r="P116" s="14">
        <f t="shared" si="87"/>
        <v>56.047884834417424</v>
      </c>
      <c r="Q116" s="22">
        <f t="shared" si="107"/>
        <v>496.30931275327663</v>
      </c>
      <c r="R116" s="62">
        <f t="shared" si="55"/>
        <v>776.95461888216425</v>
      </c>
      <c r="S116" s="62">
        <f ca="1">AVERAGE(OFFSET($R$3,0,0,'Données projet'!$E$9+1,1))-AVERAGE(OFFSET($H$3,0,0,'Données projet'!$E$9+1,1))</f>
        <v>432.80275651765203</v>
      </c>
      <c r="T116" s="62">
        <f t="shared" si="88"/>
        <v>203.89279893419919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23.791569775761609</v>
      </c>
      <c r="AA116" s="23">
        <f>EXP(-LN(2)/25)*AA115+(1-EXP(-LN(2)/25))/(LN(2)/25)*Calculateur!V116*Calculateur!X116*VLOOKUP('Données projet'!$B$9,Paramètres!$A$1:$I$89,3,0)*0.475*44/12</f>
        <v>16.264191901217163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40.055761676978776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3.813056537183002E-14</v>
      </c>
      <c r="AK116" s="14">
        <f t="shared" si="89"/>
        <v>6.4086286045526829E-13</v>
      </c>
      <c r="AL116" s="22">
        <f t="shared" si="58"/>
        <v>1.1825802166488628E-12</v>
      </c>
      <c r="AM116" s="62">
        <f t="shared" si="59"/>
        <v>280.64530612888882</v>
      </c>
      <c r="AN116" s="62">
        <f ca="1">AVERAGE(OFFSET($AM$3,0,0,'Données projet'!$E$10+1,1))-AVERAGE(OFFSET($H$3,0,0,'Données projet'!$E$10+1,1))</f>
        <v>273.21861937609918</v>
      </c>
      <c r="AO116" s="62">
        <f t="shared" si="90"/>
        <v>268.83004886965318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59.984165398408514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59.984165398408514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4.6111381379887463E-14</v>
      </c>
      <c r="BF116" s="14">
        <f t="shared" si="91"/>
        <v>7.5804141040779151E-13</v>
      </c>
      <c r="BG116" s="22">
        <f t="shared" si="61"/>
        <v>1.4005661123635408E-12</v>
      </c>
      <c r="BH116" s="62">
        <f t="shared" si="62"/>
        <v>280.64530612888905</v>
      </c>
      <c r="BI116" s="62">
        <f ca="1">AVERAGE(OFFSET($BH$3,0,0,'Données projet'!$E$11+1,1))-AVERAGE(OFFSET($H$3,0,0,'Données projet'!$E$11+1,1))</f>
        <v>319.01020001288975</v>
      </c>
      <c r="BJ116" s="62">
        <f t="shared" si="92"/>
        <v>312.22190035638084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72.538990714354455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72.538990714354455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6.1186256061773749E-14</v>
      </c>
      <c r="CA116" s="14">
        <f t="shared" si="93"/>
        <v>9.7328366192051127E-13</v>
      </c>
      <c r="CB116" s="22">
        <f t="shared" si="64"/>
        <v>1.8017017738191463E-12</v>
      </c>
      <c r="CC116" s="62">
        <f t="shared" si="65"/>
        <v>280.64530612888944</v>
      </c>
      <c r="CD116" s="62">
        <f ca="1">AVERAGE(OFFSET($CC$3,0,0,'Données projet'!$E$12+1,1))-AVERAGE(OFFSET($H$3,0,0,'Données projet'!$E$12+1,1))</f>
        <v>405.06394904053946</v>
      </c>
      <c r="CE116" s="62">
        <f t="shared" si="94"/>
        <v>393.75247087518198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78.092592688494094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78.092592688494094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5.6</v>
      </c>
      <c r="CT116" s="13">
        <f>IF('Données projet'!$A$140&gt;35,CT115+CS116-DB115,IF(A116&lt;'Données projet'!$A$140,$CQ$205^A116,IF(A116='Données projet'!$A$140,'Données projet'!$B$140,CT115+CS116-DB115)))</f>
        <v>252.99999999999977</v>
      </c>
      <c r="CU116" s="18">
        <f>CT116*VLOOKUP('Données projet'!$B$13,Paramètres!$A$1:$I$89,3,0)*VLOOKUP('Données projet'!$B$13,Paramètres!$A$1:$I$89,5,0)</f>
        <v>256.54199999999975</v>
      </c>
      <c r="CV116" s="14">
        <f t="shared" si="95"/>
        <v>61.984698688972507</v>
      </c>
      <c r="CW116" s="22">
        <f t="shared" si="67"/>
        <v>554.76733354995997</v>
      </c>
      <c r="CX116" s="62">
        <f t="shared" si="68"/>
        <v>835.41263967884765</v>
      </c>
      <c r="CY116" s="62">
        <f ca="1">AVERAGE(OFFSET($CX$3,0,0,'Données projet'!$E$13+1,1))-AVERAGE(OFFSET($H$3,0,0,'Données projet'!$E$13+1,1))</f>
        <v>474.46836359712393</v>
      </c>
      <c r="CZ116" s="62">
        <f t="shared" si="96"/>
        <v>221.28699636637722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26.662966128008698</v>
      </c>
      <c r="DG116" s="23">
        <f>EXP(-LN(2)/25)*DG115+(1-EXP(-LN(2)/25))/(LN(2)/25)*Calculateur!DB116*Calculateur!DD116*VLOOKUP('Données projet'!$B$13,Paramètres!$A$1:$I$89,3,0)*0.475*44/12</f>
        <v>18.227111613433028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44.890077741441729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4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5.6</v>
      </c>
      <c r="N117" s="14">
        <f>IF('Données projet'!$A$36&gt;35,N116+M117-V116,IF(A117&lt;'Données projet'!$A$36,$K$205^A117,IF(A117='Données projet'!$A$36,'Données projet'!$B$36,N116+M117-V116)))</f>
        <v>258.5999999999998</v>
      </c>
      <c r="O117" s="14">
        <f>N117*VLOOKUP('Données projet'!$B$9,Paramètres!$A$1:$I$89,3,0)*VLOOKUP('Données projet'!$B$9,Paramètres!$A$1:$I$89,5,0)</f>
        <v>233.9812799999998</v>
      </c>
      <c r="P117" s="14">
        <f t="shared" si="87"/>
        <v>57.14266563744799</v>
      </c>
      <c r="Q117" s="22">
        <f t="shared" si="107"/>
        <v>507.04087198522149</v>
      </c>
      <c r="R117" s="62">
        <f t="shared" si="55"/>
        <v>787.90628701992694</v>
      </c>
      <c r="S117" s="62">
        <f ca="1">AVERAGE(OFFSET($R$3,0,0,'Données projet'!$E$9+1,1))-AVERAGE(OFFSET($H$3,0,0,'Données projet'!$E$9+1,1))</f>
        <v>432.80275651765203</v>
      </c>
      <c r="T117" s="62">
        <f t="shared" si="88"/>
        <v>203.89279893419919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23.325031603883602</v>
      </c>
      <c r="AA117" s="23">
        <f>EXP(-LN(2)/25)*AA116+(1-EXP(-LN(2)/25))/(LN(2)/25)*Calculateur!V117*Calculateur!X117*VLOOKUP('Données projet'!$B$9,Paramètres!$A$1:$I$89,3,0)*0.475*44/12</f>
        <v>15.8194467183817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39.1444783222653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3.813056537183002E-14</v>
      </c>
      <c r="AK117" s="14">
        <f t="shared" si="89"/>
        <v>6.4086286045526829E-13</v>
      </c>
      <c r="AL117" s="22">
        <f t="shared" si="58"/>
        <v>1.1825802166488628E-12</v>
      </c>
      <c r="AM117" s="62">
        <f t="shared" si="59"/>
        <v>280.86541503470664</v>
      </c>
      <c r="AN117" s="62">
        <f ca="1">AVERAGE(OFFSET($AM$3,0,0,'Données projet'!$E$10+1,1))-AVERAGE(OFFSET($H$3,0,0,'Données projet'!$E$10+1,1))</f>
        <v>273.21861937609918</v>
      </c>
      <c r="AO117" s="62">
        <f t="shared" si="90"/>
        <v>268.83004886965318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58.807912501673975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58.807912501673975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4.6111381379887463E-14</v>
      </c>
      <c r="BF117" s="14">
        <f t="shared" si="91"/>
        <v>7.5804141040779151E-13</v>
      </c>
      <c r="BG117" s="22">
        <f t="shared" si="61"/>
        <v>1.4005661123635408E-12</v>
      </c>
      <c r="BH117" s="62">
        <f t="shared" si="62"/>
        <v>280.86541503470687</v>
      </c>
      <c r="BI117" s="62">
        <f ca="1">AVERAGE(OFFSET($BH$3,0,0,'Données projet'!$E$11+1,1))-AVERAGE(OFFSET($H$3,0,0,'Données projet'!$E$11+1,1))</f>
        <v>319.01020001288975</v>
      </c>
      <c r="BJ117" s="62">
        <f t="shared" si="92"/>
        <v>312.22190035638084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71.116545350861529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71.116545350861529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6.1186256061773749E-14</v>
      </c>
      <c r="CA117" s="14">
        <f t="shared" si="93"/>
        <v>9.7328366192051127E-13</v>
      </c>
      <c r="CB117" s="22">
        <f t="shared" si="64"/>
        <v>1.8017017738191463E-12</v>
      </c>
      <c r="CC117" s="62">
        <f t="shared" si="65"/>
        <v>280.86541503470727</v>
      </c>
      <c r="CD117" s="62">
        <f ca="1">AVERAGE(OFFSET($CC$3,0,0,'Données projet'!$E$12+1,1))-AVERAGE(OFFSET($H$3,0,0,'Données projet'!$E$12+1,1))</f>
        <v>405.06394904053946</v>
      </c>
      <c r="CE117" s="62">
        <f t="shared" si="94"/>
        <v>393.75247087518198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76.56124457765101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76.56124457765101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5.6</v>
      </c>
      <c r="CT117" s="13">
        <f>IF('Données projet'!$A$140&gt;35,CT116+CS117-DB116,IF(A117&lt;'Données projet'!$A$140,$CQ$205^A117,IF(A117='Données projet'!$A$140,'Données projet'!$B$140,CT116+CS117-DB116)))</f>
        <v>258.5999999999998</v>
      </c>
      <c r="CU117" s="18">
        <f>CT117*VLOOKUP('Données projet'!$B$13,Paramètres!$A$1:$I$89,3,0)*VLOOKUP('Données projet'!$B$13,Paramètres!$A$1:$I$89,5,0)</f>
        <v>262.22039999999981</v>
      </c>
      <c r="CV117" s="14">
        <f t="shared" si="95"/>
        <v>63.195443008884048</v>
      </c>
      <c r="CW117" s="22">
        <f t="shared" si="67"/>
        <v>566.76592657380604</v>
      </c>
      <c r="CX117" s="62">
        <f t="shared" si="68"/>
        <v>847.63134160851155</v>
      </c>
      <c r="CY117" s="62">
        <f ca="1">AVERAGE(OFFSET($CX$3,0,0,'Données projet'!$E$13+1,1))-AVERAGE(OFFSET($H$3,0,0,'Données projet'!$E$13+1,1))</f>
        <v>474.46836359712393</v>
      </c>
      <c r="CZ117" s="62">
        <f t="shared" si="96"/>
        <v>221.28699636637722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26.140121625041967</v>
      </c>
      <c r="DG117" s="23">
        <f>EXP(-LN(2)/25)*DG116+(1-EXP(-LN(2)/25))/(LN(2)/25)*Calculateur!DB117*Calculateur!DD117*VLOOKUP('Données projet'!$B$13,Paramètres!$A$1:$I$89,3,0)*0.475*44/12</f>
        <v>17.728690287841559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43.86881191288353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4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5.6</v>
      </c>
      <c r="N118" s="14">
        <f>IF('Données projet'!$A$36&gt;35,N117+M118-V117,IF(A118&lt;'Données projet'!$A$36,$K$205^A118,IF(A118='Données projet'!$A$36,'Données projet'!$B$36,N117+M118-V117)))</f>
        <v>264.19999999999982</v>
      </c>
      <c r="O118" s="14">
        <f>N118*VLOOKUP('Données projet'!$B$9,Paramètres!$A$1:$I$89,3,0)*VLOOKUP('Données projet'!$B$9,Paramètres!$A$1:$I$89,5,0)</f>
        <v>239.04815999999983</v>
      </c>
      <c r="P118" s="14">
        <f t="shared" si="87"/>
        <v>58.234690128947292</v>
      </c>
      <c r="Q118" s="22">
        <f t="shared" si="107"/>
        <v>517.76763064124964</v>
      </c>
      <c r="R118" s="62">
        <f t="shared" si="55"/>
        <v>798.84933618434684</v>
      </c>
      <c r="S118" s="62">
        <f ca="1">AVERAGE(OFFSET($R$3,0,0,'Données projet'!$E$9+1,1))-AVERAGE(OFFSET($H$3,0,0,'Données projet'!$E$9+1,1))</f>
        <v>432.80275651765203</v>
      </c>
      <c r="T118" s="62">
        <f t="shared" si="88"/>
        <v>203.89279893419919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22.867641960995936</v>
      </c>
      <c r="AA118" s="23">
        <f>EXP(-LN(2)/25)*AA117+(1-EXP(-LN(2)/25))/(LN(2)/25)*Calculateur!V118*Calculateur!X118*VLOOKUP('Données projet'!$B$9,Paramètres!$A$1:$I$89,3,0)*0.475*44/12</f>
        <v>15.386863115959006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38.254505076954942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3.813056537183002E-14</v>
      </c>
      <c r="AK118" s="14">
        <f t="shared" si="89"/>
        <v>6.4086286045526829E-13</v>
      </c>
      <c r="AL118" s="22">
        <f t="shared" si="58"/>
        <v>1.1825802166488628E-12</v>
      </c>
      <c r="AM118" s="62">
        <f t="shared" si="59"/>
        <v>281.08170554309845</v>
      </c>
      <c r="AN118" s="62">
        <f ca="1">AVERAGE(OFFSET($AM$3,0,0,'Données projet'!$E$10+1,1))-AVERAGE(OFFSET($H$3,0,0,'Données projet'!$E$10+1,1))</f>
        <v>273.21861937609918</v>
      </c>
      <c r="AO118" s="62">
        <f t="shared" si="90"/>
        <v>268.83004886965318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57.654725206800975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57.654725206800975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4.6111381379887463E-14</v>
      </c>
      <c r="BF118" s="14">
        <f t="shared" si="91"/>
        <v>7.5804141040779151E-13</v>
      </c>
      <c r="BG118" s="22">
        <f t="shared" si="61"/>
        <v>1.4005661123635408E-12</v>
      </c>
      <c r="BH118" s="62">
        <f t="shared" si="62"/>
        <v>281.08170554309868</v>
      </c>
      <c r="BI118" s="62">
        <f ca="1">AVERAGE(OFFSET($BH$3,0,0,'Données projet'!$E$11+1,1))-AVERAGE(OFFSET($H$3,0,0,'Données projet'!$E$11+1,1))</f>
        <v>319.01020001288975</v>
      </c>
      <c r="BJ118" s="62">
        <f t="shared" si="92"/>
        <v>312.22190035638084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69.721993273340701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69.721993273340701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6.1186256061773749E-14</v>
      </c>
      <c r="CA118" s="14">
        <f t="shared" si="93"/>
        <v>9.7328366192051127E-13</v>
      </c>
      <c r="CB118" s="22">
        <f t="shared" si="64"/>
        <v>1.8017017738191463E-12</v>
      </c>
      <c r="CC118" s="62">
        <f t="shared" si="65"/>
        <v>281.08170554309908</v>
      </c>
      <c r="CD118" s="62">
        <f ca="1">AVERAGE(OFFSET($CC$3,0,0,'Données projet'!$E$12+1,1))-AVERAGE(OFFSET($H$3,0,0,'Données projet'!$E$12+1,1))</f>
        <v>405.06394904053946</v>
      </c>
      <c r="CE118" s="62">
        <f t="shared" si="94"/>
        <v>393.75247087518198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75.059925269231442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75.059925269231442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5.6</v>
      </c>
      <c r="CT118" s="13">
        <f>IF('Données projet'!$A$140&gt;35,CT117+CS118-DB117,IF(A118&lt;'Données projet'!$A$140,$CQ$205^A118,IF(A118='Données projet'!$A$140,'Données projet'!$B$140,CT117+CS118-DB117)))</f>
        <v>264.19999999999982</v>
      </c>
      <c r="CU118" s="18">
        <f>CT118*VLOOKUP('Données projet'!$B$13,Paramètres!$A$1:$I$89,3,0)*VLOOKUP('Données projet'!$B$13,Paramètres!$A$1:$I$89,5,0)</f>
        <v>267.89879999999982</v>
      </c>
      <c r="CV118" s="14">
        <f t="shared" si="95"/>
        <v>64.403139057834508</v>
      </c>
      <c r="CW118" s="22">
        <f t="shared" si="67"/>
        <v>578.75921052572801</v>
      </c>
      <c r="CX118" s="62">
        <f t="shared" si="68"/>
        <v>859.84091606882521</v>
      </c>
      <c r="CY118" s="62">
        <f ca="1">AVERAGE(OFFSET($CX$3,0,0,'Données projet'!$E$13+1,1))-AVERAGE(OFFSET($H$3,0,0,'Données projet'!$E$13+1,1))</f>
        <v>474.46836359712393</v>
      </c>
      <c r="CZ118" s="62">
        <f t="shared" si="96"/>
        <v>221.28699636637722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25.627529783874756</v>
      </c>
      <c r="DG118" s="23">
        <f>EXP(-LN(2)/25)*DG117+(1-EXP(-LN(2)/25))/(LN(2)/25)*Calculateur!DB118*Calculateur!DD118*VLOOKUP('Données projet'!$B$13,Paramètres!$A$1:$I$89,3,0)*0.475*44/12</f>
        <v>17.243898319609229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42.871428103483986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4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5.6</v>
      </c>
      <c r="N119" s="14">
        <f>IF('Données projet'!$A$36&gt;35,N118+M119-V118,IF(A119&lt;'Données projet'!$A$36,$K$205^A119,IF(A119='Données projet'!$A$36,'Données projet'!$B$36,N118+M119-V118)))</f>
        <v>269.79999999999984</v>
      </c>
      <c r="O119" s="14">
        <f>N119*VLOOKUP('Données projet'!$B$9,Paramètres!$A$1:$I$89,3,0)*VLOOKUP('Données projet'!$B$9,Paramètres!$A$1:$I$89,5,0)</f>
        <v>244.11503999999985</v>
      </c>
      <c r="P119" s="14">
        <f t="shared" si="87"/>
        <v>59.324023461759012</v>
      </c>
      <c r="Q119" s="22">
        <f t="shared" si="107"/>
        <v>528.48970219589671</v>
      </c>
      <c r="R119" s="62">
        <f t="shared" si="55"/>
        <v>809.7839460906182</v>
      </c>
      <c r="S119" s="62">
        <f ca="1">AVERAGE(OFFSET($R$3,0,0,'Données projet'!$E$9+1,1))-AVERAGE(OFFSET($H$3,0,0,'Données projet'!$E$9+1,1))</f>
        <v>432.80275651765203</v>
      </c>
      <c r="T119" s="62">
        <f t="shared" si="88"/>
        <v>203.89279893419919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22.419221450025162</v>
      </c>
      <c r="AA119" s="23">
        <f>EXP(-LN(2)/25)*AA118+(1-EXP(-LN(2)/25))/(LN(2)/25)*Calculateur!V119*Calculateur!X119*VLOOKUP('Données projet'!$B$9,Paramètres!$A$1:$I$89,3,0)*0.475*44/12</f>
        <v>14.966108534893143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37.385329984918307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3.813056537183002E-14</v>
      </c>
      <c r="AK119" s="14">
        <f t="shared" si="89"/>
        <v>6.4086286045526829E-13</v>
      </c>
      <c r="AL119" s="22">
        <f t="shared" si="58"/>
        <v>1.1825802166488628E-12</v>
      </c>
      <c r="AM119" s="62">
        <f t="shared" si="59"/>
        <v>281.29424389472268</v>
      </c>
      <c r="AN119" s="62">
        <f ca="1">AVERAGE(OFFSET($AM$3,0,0,'Données projet'!$E$10+1,1))-AVERAGE(OFFSET($H$3,0,0,'Données projet'!$E$10+1,1))</f>
        <v>273.21861937609918</v>
      </c>
      <c r="AO119" s="62">
        <f t="shared" si="90"/>
        <v>268.83004886965318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56.524151211405638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56.524151211405638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4.6111381379887463E-14</v>
      </c>
      <c r="BF119" s="14">
        <f t="shared" si="91"/>
        <v>7.5804141040779151E-13</v>
      </c>
      <c r="BG119" s="22">
        <f t="shared" si="61"/>
        <v>1.4005661123635408E-12</v>
      </c>
      <c r="BH119" s="62">
        <f t="shared" si="62"/>
        <v>281.29424389472291</v>
      </c>
      <c r="BI119" s="62">
        <f ca="1">AVERAGE(OFFSET($BH$3,0,0,'Données projet'!$E$11+1,1))-AVERAGE(OFFSET($H$3,0,0,'Données projet'!$E$11+1,1))</f>
        <v>319.01020001288975</v>
      </c>
      <c r="BJ119" s="62">
        <f t="shared" si="92"/>
        <v>312.22190035638084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68.354787511467265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68.354787511467265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6.1186256061773749E-14</v>
      </c>
      <c r="CA119" s="14">
        <f t="shared" si="93"/>
        <v>9.7328366192051127E-13</v>
      </c>
      <c r="CB119" s="22">
        <f t="shared" si="64"/>
        <v>1.8017017738191463E-12</v>
      </c>
      <c r="CC119" s="62">
        <f t="shared" si="65"/>
        <v>281.29424389472331</v>
      </c>
      <c r="CD119" s="62">
        <f ca="1">AVERAGE(OFFSET($CC$3,0,0,'Données projet'!$E$12+1,1))-AVERAGE(OFFSET($H$3,0,0,'Données projet'!$E$12+1,1))</f>
        <v>405.06394904053946</v>
      </c>
      <c r="CE119" s="62">
        <f t="shared" si="94"/>
        <v>393.75247087518198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73.588045916735624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73.588045916735624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5.6</v>
      </c>
      <c r="CT119" s="13">
        <f>IF('Données projet'!$A$140&gt;35,CT118+CS119-DB118,IF(A119&lt;'Données projet'!$A$140,$CQ$205^A119,IF(A119='Données projet'!$A$140,'Données projet'!$B$140,CT118+CS119-DB118)))</f>
        <v>269.79999999999984</v>
      </c>
      <c r="CU119" s="18">
        <f>CT119*VLOOKUP('Données projet'!$B$13,Paramètres!$A$1:$I$89,3,0)*VLOOKUP('Données projet'!$B$13,Paramètres!$A$1:$I$89,5,0)</f>
        <v>273.57719999999983</v>
      </c>
      <c r="CV119" s="14">
        <f t="shared" si="95"/>
        <v>65.60785888991505</v>
      </c>
      <c r="CW119" s="22">
        <f t="shared" si="67"/>
        <v>590.74731089993509</v>
      </c>
      <c r="CX119" s="62">
        <f t="shared" si="68"/>
        <v>872.04155479465658</v>
      </c>
      <c r="CY119" s="62">
        <f ca="1">AVERAGE(OFFSET($CX$3,0,0,'Données projet'!$E$13+1,1))-AVERAGE(OFFSET($H$3,0,0,'Données projet'!$E$13+1,1))</f>
        <v>474.46836359712393</v>
      </c>
      <c r="CZ119" s="62">
        <f t="shared" si="96"/>
        <v>221.28699636637722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25.124989556062683</v>
      </c>
      <c r="DG119" s="23">
        <f>EXP(-LN(2)/25)*DG118+(1-EXP(-LN(2)/25))/(LN(2)/25)*Calculateur!DB119*Calculateur!DD119*VLOOKUP('Données projet'!$B$13,Paramètres!$A$1:$I$89,3,0)*0.475*44/12</f>
        <v>16.772363013242312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41.897352569304999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4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5.6</v>
      </c>
      <c r="N120" s="14">
        <f>IF('Données projet'!$A$36&gt;35,N119+M120-V119,IF(A120&lt;'Données projet'!$A$36,$K$205^A120,IF(A120='Données projet'!$A$36,'Données projet'!$B$36,N119+M120-V119)))</f>
        <v>275.39999999999986</v>
      </c>
      <c r="O120" s="14">
        <f>N120*VLOOKUP('Données projet'!$B$9,Paramètres!$A$1:$I$89,3,0)*VLOOKUP('Données projet'!$B$9,Paramètres!$A$1:$I$89,5,0)</f>
        <v>249.18191999999988</v>
      </c>
      <c r="P120" s="14">
        <f t="shared" si="87"/>
        <v>60.410727929515545</v>
      </c>
      <c r="Q120" s="22">
        <f t="shared" si="107"/>
        <v>539.20719514390601</v>
      </c>
      <c r="R120" s="62">
        <f t="shared" si="55"/>
        <v>820.71029032501565</v>
      </c>
      <c r="S120" s="62">
        <f ca="1">AVERAGE(OFFSET($R$3,0,0,'Données projet'!$E$9+1,1))-AVERAGE(OFFSET($H$3,0,0,'Données projet'!$E$9+1,1))</f>
        <v>432.80275651765203</v>
      </c>
      <c r="T120" s="62">
        <f t="shared" si="88"/>
        <v>203.89279893419919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21.97959419176502</v>
      </c>
      <c r="AA120" s="23">
        <f>EXP(-LN(2)/25)*AA119+(1-EXP(-LN(2)/25))/(LN(2)/25)*Calculateur!V120*Calculateur!X120*VLOOKUP('Données projet'!$B$9,Paramètres!$A$1:$I$89,3,0)*0.475*44/12</f>
        <v>14.556859509973048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36.536453701738068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3.813056537183002E-14</v>
      </c>
      <c r="AK120" s="14">
        <f t="shared" si="89"/>
        <v>6.4086286045526829E-13</v>
      </c>
      <c r="AL120" s="22">
        <f t="shared" si="58"/>
        <v>1.1825802166488628E-12</v>
      </c>
      <c r="AM120" s="62">
        <f t="shared" si="59"/>
        <v>281.50309518111084</v>
      </c>
      <c r="AN120" s="62">
        <f ca="1">AVERAGE(OFFSET($AM$3,0,0,'Données projet'!$E$10+1,1))-AVERAGE(OFFSET($H$3,0,0,'Données projet'!$E$10+1,1))</f>
        <v>273.21861937609918</v>
      </c>
      <c r="AO120" s="62">
        <f t="shared" si="90"/>
        <v>268.83004886965318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55.415747082477957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55.415747082477957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4.6111381379887463E-14</v>
      </c>
      <c r="BF120" s="14">
        <f t="shared" si="91"/>
        <v>7.5804141040779151E-13</v>
      </c>
      <c r="BG120" s="22">
        <f t="shared" si="61"/>
        <v>1.4005661123635408E-12</v>
      </c>
      <c r="BH120" s="62">
        <f t="shared" si="62"/>
        <v>281.50309518111106</v>
      </c>
      <c r="BI120" s="62">
        <f ca="1">AVERAGE(OFFSET($BH$3,0,0,'Données projet'!$E$11+1,1))-AVERAGE(OFFSET($H$3,0,0,'Données projet'!$E$11+1,1))</f>
        <v>319.01020001288975</v>
      </c>
      <c r="BJ120" s="62">
        <f t="shared" si="92"/>
        <v>312.22190035638084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67.014391820670994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67.014391820670994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6.1186256061773749E-14</v>
      </c>
      <c r="CA120" s="14">
        <f t="shared" si="93"/>
        <v>9.7328366192051127E-13</v>
      </c>
      <c r="CB120" s="22">
        <f t="shared" si="64"/>
        <v>1.8017017738191463E-12</v>
      </c>
      <c r="CC120" s="62">
        <f t="shared" si="65"/>
        <v>281.50309518111146</v>
      </c>
      <c r="CD120" s="62">
        <f ca="1">AVERAGE(OFFSET($CC$3,0,0,'Données projet'!$E$12+1,1))-AVERAGE(OFFSET($H$3,0,0,'Données projet'!$E$12+1,1))</f>
        <v>405.06394904053946</v>
      </c>
      <c r="CE120" s="62">
        <f t="shared" si="94"/>
        <v>393.75247087518198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72.14502922058449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72.14502922058449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5.6</v>
      </c>
      <c r="CT120" s="13">
        <f>IF('Données projet'!$A$140&gt;35,CT119+CS120-DB119,IF(A120&lt;'Données projet'!$A$140,$CQ$205^A120,IF(A120='Données projet'!$A$140,'Données projet'!$B$140,CT119+CS120-DB119)))</f>
        <v>275.39999999999986</v>
      </c>
      <c r="CU120" s="18">
        <f>CT120*VLOOKUP('Données projet'!$B$13,Paramètres!$A$1:$I$89,3,0)*VLOOKUP('Données projet'!$B$13,Paramètres!$A$1:$I$89,5,0)</f>
        <v>279.25559999999984</v>
      </c>
      <c r="CV120" s="14">
        <f t="shared" si="95"/>
        <v>66.809671397146104</v>
      </c>
      <c r="CW120" s="22">
        <f t="shared" si="67"/>
        <v>602.73034768336242</v>
      </c>
      <c r="CX120" s="62">
        <f t="shared" si="68"/>
        <v>884.23344286447207</v>
      </c>
      <c r="CY120" s="62">
        <f ca="1">AVERAGE(OFFSET($CX$3,0,0,'Données projet'!$E$13+1,1))-AVERAGE(OFFSET($H$3,0,0,'Données projet'!$E$13+1,1))</f>
        <v>474.46836359712393</v>
      </c>
      <c r="CZ120" s="62">
        <f t="shared" si="96"/>
        <v>221.28699636637722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24.63230383559873</v>
      </c>
      <c r="DG120" s="23">
        <f>EXP(-LN(2)/25)*DG119+(1-EXP(-LN(2)/25))/(LN(2)/25)*Calculateur!DB120*Calculateur!DD120*VLOOKUP('Données projet'!$B$13,Paramètres!$A$1:$I$89,3,0)*0.475*44/12</f>
        <v>16.313721864624963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40.946025700223693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4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>
        <f>VLOOKUP(A121,'Données projet'!$A$35:$I$55,2,0)</f>
        <v>281</v>
      </c>
      <c r="L121" s="13">
        <f>VLOOKUP(A121,'Données projet'!$A$35:$I$55,9,0)</f>
        <v>5.6</v>
      </c>
      <c r="M121" s="13">
        <f t="array" ref="M121">INDEX(L:L,MIN(IF(ISNUMBER(L121:L317),ROW(L121:L317),"")))</f>
        <v>5.6</v>
      </c>
      <c r="N121" s="14">
        <f>IF('Données projet'!$A$36&gt;35,N120+M121-V120,IF(A121&lt;'Données projet'!$A$36,$K$205^A121,IF(A121='Données projet'!$A$36,'Données projet'!$B$36,N120+M121-V120)))</f>
        <v>280.99999999999989</v>
      </c>
      <c r="O121" s="14">
        <f>N121*VLOOKUP('Données projet'!$B$9,Paramètres!$A$1:$I$89,3,0)*VLOOKUP('Données projet'!$B$9,Paramètres!$A$1:$I$89,5,0)</f>
        <v>254.2487999999999</v>
      </c>
      <c r="P121" s="14">
        <f t="shared" si="87"/>
        <v>61.494863147658862</v>
      </c>
      <c r="Q121" s="22">
        <f t="shared" si="107"/>
        <v>549.92021331550563</v>
      </c>
      <c r="R121" s="62">
        <f t="shared" si="55"/>
        <v>831.62853668010598</v>
      </c>
      <c r="S121" s="62">
        <f ca="1">AVERAGE(OFFSET($R$3,0,0,'Données projet'!$E$9+1,1))-AVERAGE(OFFSET($H$3,0,0,'Données projet'!$E$9+1,1))</f>
        <v>432.80275651765203</v>
      </c>
      <c r="T121" s="62">
        <f t="shared" si="88"/>
        <v>203.89279893419919</v>
      </c>
      <c r="U121" s="16">
        <f>IF(ISNA(VLOOKUP(A121,'Données projet'!$A$35:$I$55,3,0)),0,VLOOKUP(A121,'Données projet'!$A$35:$I$55,3,0))</f>
        <v>8</v>
      </c>
      <c r="V121" s="16">
        <f>IF(ISNA(VLOOKUP(A121,'Données projet'!$A$35:$I$55,4,0)),0,VLOOKUP(A121,'Données projet'!$A$35:$I$55,4,0))</f>
        <v>40</v>
      </c>
      <c r="W121" s="17">
        <f>IF(ISNA(VLOOKUP(A121,'Données projet'!$A$35:$I$55,5,0)),0%,VLOOKUP(A121,'Données projet'!$A$35:$I$55,5,0)*VLOOKUP('Données projet'!$B$9,Paramètres!$A$1:$I$89,7,0))</f>
        <v>0.215</v>
      </c>
      <c r="X121" s="17">
        <f>IF(ISNA(VLOOKUP(A121,'Données projet'!$A$35:$I$55,6,0)),0%,VLOOKUP(A121,'Données projet'!$A$35:$I$55,6,0)*VLOOKUP('Données projet'!$B$9,Paramètres!$A$1:$I$89,7,0))</f>
        <v>0.17200000000000001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30.150562310745361</v>
      </c>
      <c r="AA121" s="23">
        <f>EXP(-LN(2)/25)*AA120+(1-EXP(-LN(2)/25))/(LN(2)/25)*Calculateur!V121*Calculateur!X121*VLOOKUP('Données projet'!$B$9,Paramètres!$A$1:$I$89,3,0)*0.475*44/12</f>
        <v>21.013285663897211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51.163847974642572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3.813056537183002E-14</v>
      </c>
      <c r="AK121" s="14">
        <f t="shared" si="89"/>
        <v>6.4086286045526829E-13</v>
      </c>
      <c r="AL121" s="22">
        <f t="shared" si="58"/>
        <v>1.1825802166488628E-12</v>
      </c>
      <c r="AM121" s="62">
        <f t="shared" si="59"/>
        <v>281.7083233646016</v>
      </c>
      <c r="AN121" s="62">
        <f ca="1">AVERAGE(OFFSET($AM$3,0,0,'Données projet'!$E$10+1,1))-AVERAGE(OFFSET($H$3,0,0,'Données projet'!$E$10+1,1))</f>
        <v>273.21861937609918</v>
      </c>
      <c r="AO121" s="62">
        <f t="shared" si="90"/>
        <v>268.83004886965318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54.329078082458786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54.329078082458786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4.6111381379887463E-14</v>
      </c>
      <c r="BF121" s="14">
        <f t="shared" si="91"/>
        <v>7.5804141040779151E-13</v>
      </c>
      <c r="BG121" s="22">
        <f t="shared" si="61"/>
        <v>1.4005661123635408E-12</v>
      </c>
      <c r="BH121" s="62">
        <f t="shared" si="62"/>
        <v>281.70832336460182</v>
      </c>
      <c r="BI121" s="62">
        <f ca="1">AVERAGE(OFFSET($BH$3,0,0,'Données projet'!$E$11+1,1))-AVERAGE(OFFSET($H$3,0,0,'Données projet'!$E$11+1,1))</f>
        <v>319.01020001288975</v>
      </c>
      <c r="BJ121" s="62">
        <f t="shared" si="92"/>
        <v>312.22190035638084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65.700280471810601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65.700280471810601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6.1186256061773749E-14</v>
      </c>
      <c r="CA121" s="14">
        <f t="shared" si="93"/>
        <v>9.7328366192051127E-13</v>
      </c>
      <c r="CB121" s="22">
        <f t="shared" si="64"/>
        <v>1.8017017738191463E-12</v>
      </c>
      <c r="CC121" s="62">
        <f t="shared" si="65"/>
        <v>281.70832336460222</v>
      </c>
      <c r="CD121" s="62">
        <f ca="1">AVERAGE(OFFSET($CC$3,0,0,'Données projet'!$E$12+1,1))-AVERAGE(OFFSET($H$3,0,0,'Données projet'!$E$12+1,1))</f>
        <v>405.06394904053946</v>
      </c>
      <c r="CE121" s="62">
        <f t="shared" si="94"/>
        <v>393.75247087518198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70.730309201691611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70.730309201691611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>
        <f>VLOOKUP(A121,'Données projet'!$A$139:$I$159,2,0)</f>
        <v>281</v>
      </c>
      <c r="CR121" s="13">
        <f>VLOOKUP(A121,'Données projet'!$A$139:$I$159,9,0)</f>
        <v>5.6</v>
      </c>
      <c r="CS121" s="13">
        <f t="array" ref="CS121">INDEX(CR:CR,MIN(IF(ISNUMBER(CR121:CR317),ROW(CR121:CR317),"")))</f>
        <v>5.6</v>
      </c>
      <c r="CT121" s="13">
        <f>IF('Données projet'!$A$140&gt;35,CT120+CS121-DB120,IF(A121&lt;'Données projet'!$A$140,$CQ$205^A121,IF(A121='Données projet'!$A$140,'Données projet'!$B$140,CT120+CS121-DB120)))</f>
        <v>280.99999999999989</v>
      </c>
      <c r="CU121" s="18">
        <f>CT121*VLOOKUP('Données projet'!$B$13,Paramètres!$A$1:$I$89,3,0)*VLOOKUP('Données projet'!$B$13,Paramètres!$A$1:$I$89,5,0)</f>
        <v>284.93399999999991</v>
      </c>
      <c r="CV121" s="14">
        <f t="shared" si="95"/>
        <v>68.008642509673294</v>
      </c>
      <c r="CW121" s="22">
        <f t="shared" si="67"/>
        <v>614.70843570434749</v>
      </c>
      <c r="CX121" s="62">
        <f t="shared" si="68"/>
        <v>896.41675906894784</v>
      </c>
      <c r="CY121" s="62">
        <f ca="1">AVERAGE(OFFSET($CX$3,0,0,'Données projet'!$E$13+1,1))-AVERAGE(OFFSET($H$3,0,0,'Données projet'!$E$13+1,1))</f>
        <v>474.46836359712393</v>
      </c>
      <c r="CZ121" s="62">
        <f t="shared" si="96"/>
        <v>221.28699636637722</v>
      </c>
      <c r="DA121" s="16">
        <f>IF(ISNA(VLOOKUP(A121,'Données projet'!$A$139:$I$159,3,0)),0,VLOOKUP(A121,'Données projet'!$A$139:$I$159,3,0))</f>
        <v>8</v>
      </c>
      <c r="DB121" s="16">
        <f>IF(ISNA(VLOOKUP(A121,'Données projet'!$A$139:$I$159,4,0)),0,VLOOKUP(A121,'Données projet'!$A$139:$I$159,4,0))</f>
        <v>40</v>
      </c>
      <c r="DC121" s="17">
        <f>IF(ISNA(VLOOKUP(A121,'Données projet'!$A$139:$I$159,5,0)),0%,VLOOKUP(A121,'Données projet'!$A$139:$I$159,5,0)*VLOOKUP('Données projet'!$B$13,Paramètres!$A$1:$I$89,7,0))</f>
        <v>0.215</v>
      </c>
      <c r="DD121" s="17">
        <f>IF(ISNA(VLOOKUP(A121,'Données projet'!$A$139:$I$159,6,0)),0%,VLOOKUP(A121,'Données projet'!$A$139:$I$159,6,0)*VLOOKUP('Données projet'!$B$13,Paramètres!$A$1:$I$89,7,0))</f>
        <v>0.17200000000000001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33.789423279283596</v>
      </c>
      <c r="DG121" s="23">
        <f>EXP(-LN(2)/25)*DG120+(1-EXP(-LN(2)/25))/(LN(2)/25)*Calculateur!DB121*Calculateur!DD121*VLOOKUP('Données projet'!$B$13,Paramètres!$A$1:$I$89,3,0)*0.475*44/12</f>
        <v>23.549371864712388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57.338795143995981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4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5.6</v>
      </c>
      <c r="N122" s="14">
        <f>IF('Données projet'!$A$36&gt;35,N121+M122-V121,IF(A122&lt;'Données projet'!$A$36,$K$205^A122,IF(A122='Données projet'!$A$36,'Données projet'!$B$36,N121+M122-V121)))</f>
        <v>246.59999999999991</v>
      </c>
      <c r="O122" s="14">
        <f>N122*VLOOKUP('Données projet'!$B$9,Paramètres!$A$1:$I$89,3,0)*VLOOKUP('Données projet'!$B$9,Paramètres!$A$1:$I$89,5,0)</f>
        <v>223.12367999999989</v>
      </c>
      <c r="P122" s="14">
        <f t="shared" si="87"/>
        <v>54.793244051140597</v>
      </c>
      <c r="Q122" s="22">
        <f t="shared" si="107"/>
        <v>484.03864272240298</v>
      </c>
      <c r="R122" s="62">
        <f t="shared" si="55"/>
        <v>765.94863402033207</v>
      </c>
      <c r="S122" s="62">
        <f ca="1">AVERAGE(OFFSET($R$3,0,0,'Données projet'!$E$9+1,1))-AVERAGE(OFFSET($H$3,0,0,'Données projet'!$E$9+1,1))</f>
        <v>432.80275651765203</v>
      </c>
      <c r="T122" s="62">
        <f t="shared" si="88"/>
        <v>203.89279893419919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29.559328173858791</v>
      </c>
      <c r="AA122" s="23">
        <f>EXP(-LN(2)/25)*AA121+(1-EXP(-LN(2)/25))/(LN(2)/25)*Calculateur!V122*Calculateur!X122*VLOOKUP('Données projet'!$B$9,Paramètres!$A$1:$I$89,3,0)*0.475*44/12</f>
        <v>20.438676262377275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49.998004436236066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3.813056537183002E-14</v>
      </c>
      <c r="AK122" s="14">
        <f t="shared" si="89"/>
        <v>6.4086286045526829E-13</v>
      </c>
      <c r="AL122" s="22">
        <f t="shared" si="58"/>
        <v>1.1825802166488628E-12</v>
      </c>
      <c r="AM122" s="62">
        <f t="shared" si="59"/>
        <v>281.90999129793033</v>
      </c>
      <c r="AN122" s="62">
        <f ca="1">AVERAGE(OFFSET($AM$3,0,0,'Données projet'!$E$10+1,1))-AVERAGE(OFFSET($H$3,0,0,'Données projet'!$E$10+1,1))</f>
        <v>273.21861937609918</v>
      </c>
      <c r="AO122" s="62">
        <f t="shared" si="90"/>
        <v>268.83004886965318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53.263717998727344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53.263717998727344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4.6111381379887463E-14</v>
      </c>
      <c r="BF122" s="14">
        <f t="shared" si="91"/>
        <v>7.5804141040779151E-13</v>
      </c>
      <c r="BG122" s="22">
        <f t="shared" si="61"/>
        <v>1.4005661123635408E-12</v>
      </c>
      <c r="BH122" s="62">
        <f t="shared" si="62"/>
        <v>281.90999129793056</v>
      </c>
      <c r="BI122" s="62">
        <f ca="1">AVERAGE(OFFSET($BH$3,0,0,'Données projet'!$E$11+1,1))-AVERAGE(OFFSET($H$3,0,0,'Données projet'!$E$11+1,1))</f>
        <v>319.01020001288975</v>
      </c>
      <c r="BJ122" s="62">
        <f t="shared" si="92"/>
        <v>312.22190035638084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64.411938044972587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64.411938044972587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6.1186256061773749E-14</v>
      </c>
      <c r="CA122" s="14">
        <f t="shared" si="93"/>
        <v>9.7328366192051127E-13</v>
      </c>
      <c r="CB122" s="22">
        <f t="shared" si="64"/>
        <v>1.8017017738191463E-12</v>
      </c>
      <c r="CC122" s="62">
        <f t="shared" si="65"/>
        <v>281.90999129793096</v>
      </c>
      <c r="CD122" s="62">
        <f ca="1">AVERAGE(OFFSET($CC$3,0,0,'Données projet'!$E$12+1,1))-AVERAGE(OFFSET($H$3,0,0,'Données projet'!$E$12+1,1))</f>
        <v>405.06394904053946</v>
      </c>
      <c r="CE122" s="62">
        <f t="shared" si="94"/>
        <v>393.75247087518198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69.343330979475212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69.343330979475212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5.6</v>
      </c>
      <c r="CT122" s="13">
        <f>IF('Données projet'!$A$140&gt;35,CT121+CS122-DB121,IF(A122&lt;'Données projet'!$A$140,$CQ$205^A122,IF(A122='Données projet'!$A$140,'Données projet'!$B$140,CT121+CS122-DB121)))</f>
        <v>246.59999999999991</v>
      </c>
      <c r="CU122" s="18">
        <f>CT122*VLOOKUP('Données projet'!$B$13,Paramètres!$A$1:$I$89,3,0)*VLOOKUP('Données projet'!$B$13,Paramètres!$A$1:$I$89,5,0)</f>
        <v>250.05239999999992</v>
      </c>
      <c r="CV122" s="14">
        <f t="shared" si="95"/>
        <v>60.597161386823466</v>
      </c>
      <c r="CW122" s="22">
        <f t="shared" si="67"/>
        <v>541.04798608205067</v>
      </c>
      <c r="CX122" s="62">
        <f t="shared" si="68"/>
        <v>822.95797737997987</v>
      </c>
      <c r="CY122" s="62">
        <f ca="1">AVERAGE(OFFSET($CX$3,0,0,'Données projet'!$E$13+1,1))-AVERAGE(OFFSET($H$3,0,0,'Données projet'!$E$13+1,1))</f>
        <v>474.46836359712393</v>
      </c>
      <c r="CZ122" s="62">
        <f t="shared" si="96"/>
        <v>221.28699636637722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33.126833298290023</v>
      </c>
      <c r="DG122" s="23">
        <f>EXP(-LN(2)/25)*DG121+(1-EXP(-LN(2)/25))/(LN(2)/25)*Calculateur!DB122*Calculateur!DD122*VLOOKUP('Données projet'!$B$13,Paramètres!$A$1:$I$89,3,0)*0.475*44/12</f>
        <v>22.905413052664183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56.03224635095421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4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5.6</v>
      </c>
      <c r="N123" s="14">
        <f>IF('Données projet'!$A$36&gt;35,N122+M123-V122,IF(A123&lt;'Données projet'!$A$36,$K$205^A123,IF(A123='Données projet'!$A$36,'Données projet'!$B$36,N122+M123-V122)))</f>
        <v>252.1999999999999</v>
      </c>
      <c r="O123" s="14">
        <f>N123*VLOOKUP('Données projet'!$B$9,Paramètres!$A$1:$I$89,3,0)*VLOOKUP('Données projet'!$B$9,Paramètres!$A$1:$I$89,5,0)</f>
        <v>228.19055999999989</v>
      </c>
      <c r="P123" s="14">
        <f t="shared" si="87"/>
        <v>55.89125863442456</v>
      </c>
      <c r="Q123" s="22">
        <f t="shared" si="107"/>
        <v>494.77583412162261</v>
      </c>
      <c r="R123" s="62">
        <f t="shared" si="55"/>
        <v>776.88399486509923</v>
      </c>
      <c r="S123" s="62">
        <f ca="1">AVERAGE(OFFSET($R$3,0,0,'Données projet'!$E$9+1,1))-AVERAGE(OFFSET($H$3,0,0,'Données projet'!$E$9+1,1))</f>
        <v>432.80275651765203</v>
      </c>
      <c r="T123" s="62">
        <f t="shared" si="88"/>
        <v>203.89279893419919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28.97968777777935</v>
      </c>
      <c r="AA123" s="23">
        <f>EXP(-LN(2)/25)*AA122+(1-EXP(-LN(2)/25))/(LN(2)/25)*Calculateur!V123*Calculateur!X123*VLOOKUP('Données projet'!$B$9,Paramètres!$A$1:$I$89,3,0)*0.475*44/12</f>
        <v>19.879779585159298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48.859467362938645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3.813056537183002E-14</v>
      </c>
      <c r="AK123" s="14">
        <f t="shared" si="89"/>
        <v>6.4086286045526829E-13</v>
      </c>
      <c r="AL123" s="22">
        <f t="shared" si="58"/>
        <v>1.1825802166488628E-12</v>
      </c>
      <c r="AM123" s="62">
        <f t="shared" si="59"/>
        <v>282.10816074347781</v>
      </c>
      <c r="AN123" s="62">
        <f ca="1">AVERAGE(OFFSET($AM$3,0,0,'Données projet'!$E$10+1,1))-AVERAGE(OFFSET($H$3,0,0,'Données projet'!$E$10+1,1))</f>
        <v>273.21861937609918</v>
      </c>
      <c r="AO123" s="62">
        <f t="shared" si="90"/>
        <v>268.83004886965318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52.219248976432389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52.219248976432389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4.6111381379887463E-14</v>
      </c>
      <c r="BF123" s="14">
        <f t="shared" si="91"/>
        <v>7.5804141040779151E-13</v>
      </c>
      <c r="BG123" s="22">
        <f t="shared" si="61"/>
        <v>1.4005661123635408E-12</v>
      </c>
      <c r="BH123" s="62">
        <f t="shared" si="62"/>
        <v>282.10816074347804</v>
      </c>
      <c r="BI123" s="62">
        <f ca="1">AVERAGE(OFFSET($BH$3,0,0,'Données projet'!$E$11+1,1))-AVERAGE(OFFSET($H$3,0,0,'Données projet'!$E$11+1,1))</f>
        <v>319.01020001288975</v>
      </c>
      <c r="BJ123" s="62">
        <f t="shared" si="92"/>
        <v>312.22190035638084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63.148859227313572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63.148859227313572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6.1186256061773749E-14</v>
      </c>
      <c r="CA123" s="14">
        <f t="shared" si="93"/>
        <v>9.7328366192051127E-13</v>
      </c>
      <c r="CB123" s="22">
        <f t="shared" si="64"/>
        <v>1.8017017738191463E-12</v>
      </c>
      <c r="CC123" s="62">
        <f t="shared" si="65"/>
        <v>282.10816074347844</v>
      </c>
      <c r="CD123" s="62">
        <f ca="1">AVERAGE(OFFSET($CC$3,0,0,'Données projet'!$E$12+1,1))-AVERAGE(OFFSET($H$3,0,0,'Données projet'!$E$12+1,1))</f>
        <v>405.06394904053946</v>
      </c>
      <c r="CE123" s="62">
        <f t="shared" si="94"/>
        <v>393.75247087518198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67.983550554223285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67.983550554223285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5.6</v>
      </c>
      <c r="CT123" s="13">
        <f>IF('Données projet'!$A$140&gt;35,CT122+CS123-DB122,IF(A123&lt;'Données projet'!$A$140,$CQ$205^A123,IF(A123='Données projet'!$A$140,'Données projet'!$B$140,CT122+CS123-DB122)))</f>
        <v>252.1999999999999</v>
      </c>
      <c r="CU123" s="18">
        <f>CT123*VLOOKUP('Données projet'!$B$13,Paramètres!$A$1:$I$89,3,0)*VLOOKUP('Données projet'!$B$13,Paramètres!$A$1:$I$89,5,0)</f>
        <v>255.73079999999993</v>
      </c>
      <c r="CV123" s="14">
        <f t="shared" si="95"/>
        <v>61.811482021795229</v>
      </c>
      <c r="CW123" s="22">
        <f t="shared" si="67"/>
        <v>553.05280785462651</v>
      </c>
      <c r="CX123" s="62">
        <f t="shared" si="68"/>
        <v>835.16096859810318</v>
      </c>
      <c r="CY123" s="62">
        <f ca="1">AVERAGE(OFFSET($CX$3,0,0,'Données projet'!$E$13+1,1))-AVERAGE(OFFSET($H$3,0,0,'Données projet'!$E$13+1,1))</f>
        <v>474.46836359712393</v>
      </c>
      <c r="CZ123" s="62">
        <f t="shared" si="96"/>
        <v>221.28699636637722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32.47723630268375</v>
      </c>
      <c r="DG123" s="23">
        <f>EXP(-LN(2)/25)*DG122+(1-EXP(-LN(2)/25))/(LN(2)/25)*Calculateur!DB123*Calculateur!DD123*VLOOKUP('Données projet'!$B$13,Paramètres!$A$1:$I$89,3,0)*0.475*44/12</f>
        <v>22.279063328195761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54.756299630879511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4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5.6</v>
      </c>
      <c r="N124" s="14">
        <f>IF('Données projet'!$A$36&gt;35,N123+M124-V123,IF(A124&lt;'Données projet'!$A$36,$K$205^A124,IF(A124='Données projet'!$A$36,'Données projet'!$B$36,N123+M124-V123)))</f>
        <v>257.7999999999999</v>
      </c>
      <c r="O124" s="14">
        <f>N124*VLOOKUP('Données projet'!$B$9,Paramètres!$A$1:$I$89,3,0)*VLOOKUP('Données projet'!$B$9,Paramètres!$A$1:$I$89,5,0)</f>
        <v>233.25743999999992</v>
      </c>
      <c r="P124" s="14">
        <f t="shared" si="87"/>
        <v>56.98643869047325</v>
      </c>
      <c r="Q124" s="22">
        <f t="shared" si="107"/>
        <v>505.50808871924067</v>
      </c>
      <c r="R124" s="62">
        <f t="shared" si="55"/>
        <v>787.81098111142501</v>
      </c>
      <c r="S124" s="62">
        <f ca="1">AVERAGE(OFFSET($R$3,0,0,'Données projet'!$E$9+1,1))-AVERAGE(OFFSET($H$3,0,0,'Données projet'!$E$9+1,1))</f>
        <v>432.80275651765203</v>
      </c>
      <c r="T124" s="62">
        <f t="shared" si="88"/>
        <v>203.89279893419919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28.411413776321297</v>
      </c>
      <c r="AA124" s="23">
        <f>EXP(-LN(2)/25)*AA123+(1-EXP(-LN(2)/25))/(LN(2)/25)*Calculateur!V124*Calculateur!X124*VLOOKUP('Données projet'!$B$9,Paramètres!$A$1:$I$89,3,0)*0.475*44/12</f>
        <v>19.336165966970945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47.747579743292242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3.813056537183002E-14</v>
      </c>
      <c r="AK124" s="14">
        <f t="shared" si="89"/>
        <v>6.4086286045526829E-13</v>
      </c>
      <c r="AL124" s="22">
        <f t="shared" si="58"/>
        <v>1.1825802166488628E-12</v>
      </c>
      <c r="AM124" s="62">
        <f t="shared" si="59"/>
        <v>282.30289239218558</v>
      </c>
      <c r="AN124" s="62">
        <f ca="1">AVERAGE(OFFSET($AM$3,0,0,'Données projet'!$E$10+1,1))-AVERAGE(OFFSET($H$3,0,0,'Données projet'!$E$10+1,1))</f>
        <v>273.21861937609918</v>
      </c>
      <c r="AO124" s="62">
        <f t="shared" si="90"/>
        <v>268.83004886965318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51.195261354601442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51.195261354601442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4.6111381379887463E-14</v>
      </c>
      <c r="BF124" s="14">
        <f t="shared" si="91"/>
        <v>7.5804141040779151E-13</v>
      </c>
      <c r="BG124" s="22">
        <f t="shared" si="61"/>
        <v>1.4005661123635408E-12</v>
      </c>
      <c r="BH124" s="62">
        <f t="shared" si="62"/>
        <v>282.30289239218581</v>
      </c>
      <c r="BI124" s="62">
        <f ca="1">AVERAGE(OFFSET($BH$3,0,0,'Données projet'!$E$11+1,1))-AVERAGE(OFFSET($H$3,0,0,'Données projet'!$E$11+1,1))</f>
        <v>319.01020001288975</v>
      </c>
      <c r="BJ124" s="62">
        <f t="shared" si="92"/>
        <v>312.22190035638084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61.91054861486684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61.91054861486684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6.1186256061773749E-14</v>
      </c>
      <c r="CA124" s="14">
        <f t="shared" si="93"/>
        <v>9.7328366192051127E-13</v>
      </c>
      <c r="CB124" s="22">
        <f t="shared" si="64"/>
        <v>1.8017017738191463E-12</v>
      </c>
      <c r="CC124" s="62">
        <f t="shared" si="65"/>
        <v>282.30289239218621</v>
      </c>
      <c r="CD124" s="62">
        <f ca="1">AVERAGE(OFFSET($CC$3,0,0,'Données projet'!$E$12+1,1))-AVERAGE(OFFSET($H$3,0,0,'Données projet'!$E$12+1,1))</f>
        <v>405.06394904053946</v>
      </c>
      <c r="CE124" s="62">
        <f t="shared" si="94"/>
        <v>393.75247087518198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66.650434593726388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66.650434593726388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5.6</v>
      </c>
      <c r="CT124" s="13">
        <f>IF('Données projet'!$A$140&gt;35,CT123+CS124-DB123,IF(A124&lt;'Données projet'!$A$140,$CQ$205^A124,IF(A124='Données projet'!$A$140,'Données projet'!$B$140,CT123+CS124-DB123)))</f>
        <v>257.7999999999999</v>
      </c>
      <c r="CU124" s="18">
        <f>CT124*VLOOKUP('Données projet'!$B$13,Paramètres!$A$1:$I$89,3,0)*VLOOKUP('Données projet'!$B$13,Paramètres!$A$1:$I$89,5,0)</f>
        <v>261.40919999999988</v>
      </c>
      <c r="CV124" s="14">
        <f t="shared" si="95"/>
        <v>63.022667885185101</v>
      </c>
      <c r="CW124" s="22">
        <f t="shared" si="67"/>
        <v>565.05216990003044</v>
      </c>
      <c r="CX124" s="62">
        <f t="shared" si="68"/>
        <v>847.35506229221482</v>
      </c>
      <c r="CY124" s="62">
        <f ca="1">AVERAGE(OFFSET($CX$3,0,0,'Données projet'!$E$13+1,1))-AVERAGE(OFFSET($H$3,0,0,'Données projet'!$E$13+1,1))</f>
        <v>474.46836359712393</v>
      </c>
      <c r="CZ124" s="62">
        <f t="shared" si="96"/>
        <v>221.28699636637722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31.840377507946275</v>
      </c>
      <c r="DG124" s="23">
        <f>EXP(-LN(2)/25)*DG123+(1-EXP(-LN(2)/25))/(LN(2)/25)*Calculateur!DB124*Calculateur!DD124*VLOOKUP('Données projet'!$B$13,Paramètres!$A$1:$I$89,3,0)*0.475*44/12</f>
        <v>21.669841169881227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53.510218677827503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4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5.6</v>
      </c>
      <c r="N125" s="14">
        <f>IF('Données projet'!$A$36&gt;35,N124+M125-V124,IF(A125&lt;'Données projet'!$A$36,$K$205^A125,IF(A125='Données projet'!$A$36,'Données projet'!$B$36,N124+M125-V124)))</f>
        <v>263.39999999999992</v>
      </c>
      <c r="O125" s="14">
        <f>N125*VLOOKUP('Données projet'!$B$9,Paramètres!$A$1:$I$89,3,0)*VLOOKUP('Données projet'!$B$9,Paramètres!$A$1:$I$89,5,0)</f>
        <v>238.32431999999991</v>
      </c>
      <c r="P125" s="14">
        <f t="shared" si="87"/>
        <v>58.078852882738758</v>
      </c>
      <c r="Q125" s="22">
        <f t="shared" si="107"/>
        <v>516.23552610410309</v>
      </c>
      <c r="R125" s="62">
        <f t="shared" si="55"/>
        <v>798.72977198624494</v>
      </c>
      <c r="S125" s="62">
        <f ca="1">AVERAGE(OFFSET($R$3,0,0,'Données projet'!$E$9+1,1))-AVERAGE(OFFSET($H$3,0,0,'Données projet'!$E$9+1,1))</f>
        <v>432.80275651765203</v>
      </c>
      <c r="T125" s="62">
        <f t="shared" si="88"/>
        <v>203.89279893419919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27.854283281418919</v>
      </c>
      <c r="AA125" s="23">
        <f>EXP(-LN(2)/25)*AA124+(1-EXP(-LN(2)/25))/(LN(2)/25)*Calculateur!V125*Calculateur!X125*VLOOKUP('Données projet'!$B$9,Paramètres!$A$1:$I$89,3,0)*0.475*44/12</f>
        <v>18.807417491759349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46.661700773178268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3.813056537183002E-14</v>
      </c>
      <c r="AK125" s="14">
        <f t="shared" si="89"/>
        <v>6.4086286045526829E-13</v>
      </c>
      <c r="AL125" s="22">
        <f t="shared" si="58"/>
        <v>1.1825802166488628E-12</v>
      </c>
      <c r="AM125" s="62">
        <f t="shared" si="59"/>
        <v>282.49424588214299</v>
      </c>
      <c r="AN125" s="62">
        <f ca="1">AVERAGE(OFFSET($AM$3,0,0,'Données projet'!$E$10+1,1))-AVERAGE(OFFSET($H$3,0,0,'Données projet'!$E$10+1,1))</f>
        <v>273.21861937609918</v>
      </c>
      <c r="AO125" s="62">
        <f t="shared" si="90"/>
        <v>268.83004886965318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50.191353505463823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50.191353505463823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4.6111381379887463E-14</v>
      </c>
      <c r="BF125" s="14">
        <f t="shared" si="91"/>
        <v>7.5804141040779151E-13</v>
      </c>
      <c r="BG125" s="22">
        <f t="shared" si="61"/>
        <v>1.4005661123635408E-12</v>
      </c>
      <c r="BH125" s="62">
        <f t="shared" si="62"/>
        <v>282.49424588214322</v>
      </c>
      <c r="BI125" s="62">
        <f ca="1">AVERAGE(OFFSET($BH$3,0,0,'Données projet'!$E$11+1,1))-AVERAGE(OFFSET($H$3,0,0,'Données projet'!$E$11+1,1))</f>
        <v>319.01020001288975</v>
      </c>
      <c r="BJ125" s="62">
        <f t="shared" si="92"/>
        <v>312.22190035638084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60.696520518235296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60.696520518235296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6.1186256061773749E-14</v>
      </c>
      <c r="CA125" s="14">
        <f t="shared" si="93"/>
        <v>9.7328366192051127E-13</v>
      </c>
      <c r="CB125" s="22">
        <f t="shared" si="64"/>
        <v>1.8017017738191463E-12</v>
      </c>
      <c r="CC125" s="62">
        <f t="shared" si="65"/>
        <v>282.49424588214362</v>
      </c>
      <c r="CD125" s="62">
        <f ca="1">AVERAGE(OFFSET($CC$3,0,0,'Données projet'!$E$12+1,1))-AVERAGE(OFFSET($H$3,0,0,'Données projet'!$E$12+1,1))</f>
        <v>405.06394904053946</v>
      </c>
      <c r="CE125" s="62">
        <f t="shared" si="94"/>
        <v>393.75247087518198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65.343460224094386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65.343460224094386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5.6</v>
      </c>
      <c r="CT125" s="13">
        <f>IF('Données projet'!$A$140&gt;35,CT124+CS125-DB124,IF(A125&lt;'Données projet'!$A$140,$CQ$205^A125,IF(A125='Données projet'!$A$140,'Données projet'!$B$140,CT124+CS125-DB124)))</f>
        <v>263.39999999999992</v>
      </c>
      <c r="CU125" s="18">
        <f>CT125*VLOOKUP('Données projet'!$B$13,Paramètres!$A$1:$I$89,3,0)*VLOOKUP('Données projet'!$B$13,Paramètres!$A$1:$I$89,5,0)</f>
        <v>267.08759999999995</v>
      </c>
      <c r="CV125" s="14">
        <f t="shared" si="95"/>
        <v>64.230794913549857</v>
      </c>
      <c r="CW125" s="22">
        <f t="shared" si="67"/>
        <v>577.04620447443256</v>
      </c>
      <c r="CX125" s="62">
        <f t="shared" si="68"/>
        <v>859.54045035657441</v>
      </c>
      <c r="CY125" s="62">
        <f ca="1">AVERAGE(OFFSET($CX$3,0,0,'Données projet'!$E$13+1,1))-AVERAGE(OFFSET($H$3,0,0,'Données projet'!$E$13+1,1))</f>
        <v>474.46836359712393</v>
      </c>
      <c r="CZ125" s="62">
        <f t="shared" si="96"/>
        <v>221.28699636637722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31.216007125728094</v>
      </c>
      <c r="DG125" s="23">
        <f>EXP(-LN(2)/25)*DG124+(1-EXP(-LN(2)/25))/(LN(2)/25)*Calculateur!DB125*Calculateur!DD125*VLOOKUP('Données projet'!$B$13,Paramètres!$A$1:$I$89,3,0)*0.475*44/12</f>
        <v>21.077278223523404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52.293285349251498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4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5.6</v>
      </c>
      <c r="N126" s="14">
        <f>IF('Données projet'!$A$36&gt;35,N125+M126-V125,IF(A126&lt;'Données projet'!$A$36,$K$205^A126,IF(A126='Données projet'!$A$36,'Données projet'!$B$36,N125+M126-V125)))</f>
        <v>268.99999999999994</v>
      </c>
      <c r="O126" s="14">
        <f>N126*VLOOKUP('Données projet'!$B$9,Paramètres!$A$1:$I$89,3,0)*VLOOKUP('Données projet'!$B$9,Paramètres!$A$1:$I$89,5,0)</f>
        <v>243.39119999999994</v>
      </c>
      <c r="P126" s="14">
        <f t="shared" si="87"/>
        <v>59.168566788241527</v>
      </c>
      <c r="Q126" s="22">
        <f t="shared" si="107"/>
        <v>526.95826048952051</v>
      </c>
      <c r="R126" s="62">
        <f t="shared" si="55"/>
        <v>809.64054030637112</v>
      </c>
      <c r="S126" s="62">
        <f ca="1">AVERAGE(OFFSET($R$3,0,0,'Données projet'!$E$9+1,1))-AVERAGE(OFFSET($H$3,0,0,'Données projet'!$E$9+1,1))</f>
        <v>432.80275651765203</v>
      </c>
      <c r="T126" s="62">
        <f t="shared" si="88"/>
        <v>203.89279893419919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27.308077775705527</v>
      </c>
      <c r="AA126" s="23">
        <f>EXP(-LN(2)/25)*AA125+(1-EXP(-LN(2)/25))/(LN(2)/25)*Calculateur!V126*Calculateur!X126*VLOOKUP('Données projet'!$B$9,Paramètres!$A$1:$I$89,3,0)*0.475*44/12</f>
        <v>18.29312767140809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45.601205447113614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3.813056537183002E-14</v>
      </c>
      <c r="AK126" s="14">
        <f t="shared" si="89"/>
        <v>6.4086286045526829E-13</v>
      </c>
      <c r="AL126" s="22">
        <f t="shared" si="58"/>
        <v>1.1825802166488628E-12</v>
      </c>
      <c r="AM126" s="62">
        <f t="shared" si="59"/>
        <v>282.68227981685186</v>
      </c>
      <c r="AN126" s="62">
        <f ca="1">AVERAGE(OFFSET($AM$3,0,0,'Données projet'!$E$10+1,1))-AVERAGE(OFFSET($H$3,0,0,'Données projet'!$E$10+1,1))</f>
        <v>273.21861937609918</v>
      </c>
      <c r="AO126" s="62">
        <f t="shared" si="90"/>
        <v>268.83004886965318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49.207131676924462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49.207131676924462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4.6111381379887463E-14</v>
      </c>
      <c r="BF126" s="14">
        <f t="shared" si="91"/>
        <v>7.5804141040779151E-13</v>
      </c>
      <c r="BG126" s="22">
        <f t="shared" si="61"/>
        <v>1.4005661123635408E-12</v>
      </c>
      <c r="BH126" s="62">
        <f t="shared" si="62"/>
        <v>282.68227981685209</v>
      </c>
      <c r="BI126" s="62">
        <f ca="1">AVERAGE(OFFSET($BH$3,0,0,'Données projet'!$E$11+1,1))-AVERAGE(OFFSET($H$3,0,0,'Données projet'!$E$11+1,1))</f>
        <v>319.01020001288975</v>
      </c>
      <c r="BJ126" s="62">
        <f t="shared" si="92"/>
        <v>312.22190035638084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59.506298772094674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59.506298772094674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6.1186256061773749E-14</v>
      </c>
      <c r="CA126" s="14">
        <f t="shared" si="93"/>
        <v>9.7328366192051127E-13</v>
      </c>
      <c r="CB126" s="22">
        <f t="shared" si="64"/>
        <v>1.8017017738191463E-12</v>
      </c>
      <c r="CC126" s="62">
        <f t="shared" si="65"/>
        <v>282.68227981685249</v>
      </c>
      <c r="CD126" s="62">
        <f ca="1">AVERAGE(OFFSET($CC$3,0,0,'Données projet'!$E$12+1,1))-AVERAGE(OFFSET($H$3,0,0,'Données projet'!$E$12+1,1))</f>
        <v>405.06394904053946</v>
      </c>
      <c r="CE126" s="62">
        <f t="shared" si="94"/>
        <v>393.75247087518198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64.06211482467522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64.06211482467522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5.6</v>
      </c>
      <c r="CT126" s="13">
        <f>IF('Données projet'!$A$140&gt;35,CT125+CS126-DB125,IF(A126&lt;'Données projet'!$A$140,$CQ$205^A126,IF(A126='Données projet'!$A$140,'Données projet'!$B$140,CT125+CS126-DB125)))</f>
        <v>268.99999999999994</v>
      </c>
      <c r="CU126" s="18">
        <f>CT126*VLOOKUP('Données projet'!$B$13,Paramètres!$A$1:$I$89,3,0)*VLOOKUP('Données projet'!$B$13,Paramètres!$A$1:$I$89,5,0)</f>
        <v>272.76599999999996</v>
      </c>
      <c r="CV126" s="14">
        <f t="shared" si="95"/>
        <v>65.43593563008757</v>
      </c>
      <c r="CW126" s="22">
        <f t="shared" si="67"/>
        <v>589.03503788906914</v>
      </c>
      <c r="CX126" s="62">
        <f t="shared" si="68"/>
        <v>871.71731770591987</v>
      </c>
      <c r="CY126" s="62">
        <f ca="1">AVERAGE(OFFSET($CX$3,0,0,'Données projet'!$E$13+1,1))-AVERAGE(OFFSET($H$3,0,0,'Données projet'!$E$13+1,1))</f>
        <v>474.46836359712393</v>
      </c>
      <c r="CZ126" s="62">
        <f t="shared" si="96"/>
        <v>221.28699636637722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30.603880265876882</v>
      </c>
      <c r="DG126" s="23">
        <f>EXP(-LN(2)/25)*DG125+(1-EXP(-LN(2)/25))/(LN(2)/25)*Calculateur!DB126*Calculateur!DD126*VLOOKUP('Données projet'!$B$13,Paramètres!$A$1:$I$89,3,0)*0.475*44/12</f>
        <v>20.500918942095268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51.10479920797215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4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5.6</v>
      </c>
      <c r="N127" s="14">
        <f>IF('Données projet'!$A$36&gt;35,N126+M127-V126,IF(A127&lt;'Données projet'!$A$36,$K$205^A127,IF(A127='Données projet'!$A$36,'Données projet'!$B$36,N126+M127-V126)))</f>
        <v>274.59999999999997</v>
      </c>
      <c r="O127" s="14">
        <f>N127*VLOOKUP('Données projet'!$B$9,Paramètres!$A$1:$I$89,3,0)*VLOOKUP('Données projet'!$B$9,Paramètres!$A$1:$I$89,5,0)</f>
        <v>248.45807999999997</v>
      </c>
      <c r="P127" s="14">
        <f t="shared" si="87"/>
        <v>60.25564309762369</v>
      </c>
      <c r="Q127" s="22">
        <f t="shared" si="107"/>
        <v>537.67640106169449</v>
      </c>
      <c r="R127" s="62">
        <f t="shared" si="55"/>
        <v>820.54345284486783</v>
      </c>
      <c r="S127" s="62">
        <f ca="1">AVERAGE(OFFSET($R$3,0,0,'Données projet'!$E$9+1,1))-AVERAGE(OFFSET($H$3,0,0,'Données projet'!$E$9+1,1))</f>
        <v>432.80275651765203</v>
      </c>
      <c r="T127" s="62">
        <f t="shared" si="88"/>
        <v>203.89279893419919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26.772583026806714</v>
      </c>
      <c r="AA127" s="23">
        <f>EXP(-LN(2)/25)*AA126+(1-EXP(-LN(2)/25))/(LN(2)/25)*Calculateur!V127*Calculateur!X127*VLOOKUP('Données projet'!$B$9,Paramètres!$A$1:$I$89,3,0)*0.475*44/12</f>
        <v>17.79290113323966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44.565484160046374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3.813056537183002E-14</v>
      </c>
      <c r="AK127" s="14">
        <f t="shared" si="89"/>
        <v>6.4086286045526829E-13</v>
      </c>
      <c r="AL127" s="22">
        <f t="shared" si="58"/>
        <v>1.1825802166488628E-12</v>
      </c>
      <c r="AM127" s="62">
        <f t="shared" si="59"/>
        <v>282.86705178317453</v>
      </c>
      <c r="AN127" s="62">
        <f ca="1">AVERAGE(OFFSET($AM$3,0,0,'Données projet'!$E$10+1,1))-AVERAGE(OFFSET($H$3,0,0,'Données projet'!$E$10+1,1))</f>
        <v>273.21861937609918</v>
      </c>
      <c r="AO127" s="62">
        <f t="shared" si="90"/>
        <v>268.83004886965318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48.242209838126719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48.242209838126719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4.6111381379887463E-14</v>
      </c>
      <c r="BF127" s="14">
        <f t="shared" si="91"/>
        <v>7.5804141040779151E-13</v>
      </c>
      <c r="BG127" s="22">
        <f t="shared" si="61"/>
        <v>1.4005661123635408E-12</v>
      </c>
      <c r="BH127" s="62">
        <f t="shared" si="62"/>
        <v>282.86705178317476</v>
      </c>
      <c r="BI127" s="62">
        <f ca="1">AVERAGE(OFFSET($BH$3,0,0,'Données projet'!$E$11+1,1))-AVERAGE(OFFSET($H$3,0,0,'Données projet'!$E$11+1,1))</f>
        <v>319.01020001288975</v>
      </c>
      <c r="BJ127" s="62">
        <f t="shared" si="92"/>
        <v>312.22190035638084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58.33941654843229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58.33941654843229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6.1186256061773749E-14</v>
      </c>
      <c r="CA127" s="14">
        <f t="shared" si="93"/>
        <v>9.7328366192051127E-13</v>
      </c>
      <c r="CB127" s="22">
        <f t="shared" si="64"/>
        <v>1.8017017738191463E-12</v>
      </c>
      <c r="CC127" s="62">
        <f t="shared" si="65"/>
        <v>282.86705178317516</v>
      </c>
      <c r="CD127" s="62">
        <f ca="1">AVERAGE(OFFSET($CC$3,0,0,'Données projet'!$E$12+1,1))-AVERAGE(OFFSET($H$3,0,0,'Données projet'!$E$12+1,1))</f>
        <v>405.06394904053946</v>
      </c>
      <c r="CE127" s="62">
        <f t="shared" si="94"/>
        <v>393.75247087518198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62.80589582699514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62.80589582699514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5.6</v>
      </c>
      <c r="CT127" s="13">
        <f>IF('Données projet'!$A$140&gt;35,CT126+CS127-DB126,IF(A127&lt;'Données projet'!$A$140,$CQ$205^A127,IF(A127='Données projet'!$A$140,'Données projet'!$B$140,CT126+CS127-DB126)))</f>
        <v>274.59999999999997</v>
      </c>
      <c r="CU127" s="18">
        <f>CT127*VLOOKUP('Données projet'!$B$13,Paramètres!$A$1:$I$89,3,0)*VLOOKUP('Données projet'!$B$13,Paramètres!$A$1:$I$89,5,0)</f>
        <v>278.44439999999997</v>
      </c>
      <c r="CV127" s="14">
        <f t="shared" si="95"/>
        <v>66.638159365881364</v>
      </c>
      <c r="CW127" s="22">
        <f t="shared" si="67"/>
        <v>601.01879089557667</v>
      </c>
      <c r="CX127" s="62">
        <f t="shared" si="68"/>
        <v>883.88584267875001</v>
      </c>
      <c r="CY127" s="62">
        <f ca="1">AVERAGE(OFFSET($CX$3,0,0,'Données projet'!$E$13+1,1))-AVERAGE(OFFSET($H$3,0,0,'Données projet'!$E$13+1,1))</f>
        <v>474.46836359712393</v>
      </c>
      <c r="CZ127" s="62">
        <f t="shared" si="96"/>
        <v>221.28699636637722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30.003756840386831</v>
      </c>
      <c r="DG127" s="23">
        <f>EXP(-LN(2)/25)*DG126+(1-EXP(-LN(2)/25))/(LN(2)/25)*Calculateur!DB127*Calculateur!DD127*VLOOKUP('Données projet'!$B$13,Paramètres!$A$1:$I$89,3,0)*0.475*44/12</f>
        <v>19.940320235527203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49.944077075914038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4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5.6</v>
      </c>
      <c r="N128" s="14">
        <f>IF('Données projet'!$A$36&gt;35,N127+M128-V127,IF(A128&lt;'Données projet'!$A$36,$K$205^A128,IF(A128='Données projet'!$A$36,'Données projet'!$B$36,N127+M128-V127)))</f>
        <v>280.2</v>
      </c>
      <c r="O128" s="14">
        <f>N128*VLOOKUP('Données projet'!$B$9,Paramètres!$A$1:$I$89,3,0)*VLOOKUP('Données projet'!$B$9,Paramètres!$A$1:$I$89,5,0)</f>
        <v>253.52495999999999</v>
      </c>
      <c r="P128" s="14">
        <f t="shared" si="87"/>
        <v>61.340141798422209</v>
      </c>
      <c r="Q128" s="22">
        <f t="shared" si="107"/>
        <v>548.39005229891859</v>
      </c>
      <c r="R128" s="62">
        <f t="shared" si="55"/>
        <v>831.4386706678871</v>
      </c>
      <c r="S128" s="62">
        <f ca="1">AVERAGE(OFFSET($R$3,0,0,'Données projet'!$E$9+1,1))-AVERAGE(OFFSET($H$3,0,0,'Données projet'!$E$9+1,1))</f>
        <v>432.80275651765203</v>
      </c>
      <c r="T128" s="62">
        <f t="shared" si="88"/>
        <v>203.89279893419919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26.24758900331426</v>
      </c>
      <c r="AA128" s="23">
        <f>EXP(-LN(2)/25)*AA127+(1-EXP(-LN(2)/25))/(LN(2)/25)*Calculateur!V128*Calculateur!X128*VLOOKUP('Données projet'!$B$9,Paramètres!$A$1:$I$89,3,0)*0.475*44/12</f>
        <v>17.306353316063216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43.553942319377477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3.813056537183002E-14</v>
      </c>
      <c r="AK128" s="14">
        <f t="shared" si="89"/>
        <v>6.4086286045526829E-13</v>
      </c>
      <c r="AL128" s="22">
        <f t="shared" si="58"/>
        <v>1.1825802166488628E-12</v>
      </c>
      <c r="AM128" s="62">
        <f t="shared" si="59"/>
        <v>283.0486183689697</v>
      </c>
      <c r="AN128" s="62">
        <f ca="1">AVERAGE(OFFSET($AM$3,0,0,'Données projet'!$E$10+1,1))-AVERAGE(OFFSET($H$3,0,0,'Données projet'!$E$10+1,1))</f>
        <v>273.21861937609918</v>
      </c>
      <c r="AO128" s="62">
        <f t="shared" si="90"/>
        <v>268.83004886965318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47.29620952804359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47.29620952804359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4.6111381379887463E-14</v>
      </c>
      <c r="BF128" s="14">
        <f t="shared" si="91"/>
        <v>7.5804141040779151E-13</v>
      </c>
      <c r="BG128" s="22">
        <f t="shared" si="61"/>
        <v>1.4005661123635408E-12</v>
      </c>
      <c r="BH128" s="62">
        <f t="shared" si="62"/>
        <v>283.04861836896993</v>
      </c>
      <c r="BI128" s="62">
        <f ca="1">AVERAGE(OFFSET($BH$3,0,0,'Données projet'!$E$11+1,1))-AVERAGE(OFFSET($H$3,0,0,'Données projet'!$E$11+1,1))</f>
        <v>319.01020001288975</v>
      </c>
      <c r="BJ128" s="62">
        <f t="shared" si="92"/>
        <v>312.22190035638084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57.195416173448045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57.195416173448045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6.1186256061773749E-14</v>
      </c>
      <c r="CA128" s="14">
        <f t="shared" si="93"/>
        <v>9.7328366192051127E-13</v>
      </c>
      <c r="CB128" s="22">
        <f t="shared" si="64"/>
        <v>1.8017017738191463E-12</v>
      </c>
      <c r="CC128" s="62">
        <f t="shared" si="65"/>
        <v>283.04861836897032</v>
      </c>
      <c r="CD128" s="62">
        <f ca="1">AVERAGE(OFFSET($CC$3,0,0,'Données projet'!$E$12+1,1))-AVERAGE(OFFSET($H$3,0,0,'Données projet'!$E$12+1,1))</f>
        <v>405.06394904053946</v>
      </c>
      <c r="CE128" s="62">
        <f t="shared" si="94"/>
        <v>393.75247087518198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61.574310517641635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61.574310517641635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5.6</v>
      </c>
      <c r="CT128" s="13">
        <f>IF('Données projet'!$A$140&gt;35,CT127+CS128-DB127,IF(A128&lt;'Données projet'!$A$140,$CQ$205^A128,IF(A128='Données projet'!$A$140,'Données projet'!$B$140,CT127+CS128-DB127)))</f>
        <v>280.2</v>
      </c>
      <c r="CU128" s="18">
        <f>CT128*VLOOKUP('Données projet'!$B$13,Paramètres!$A$1:$I$89,3,0)*VLOOKUP('Données projet'!$B$13,Paramètres!$A$1:$I$89,5,0)</f>
        <v>284.12279999999998</v>
      </c>
      <c r="CV128" s="14">
        <f t="shared" si="95"/>
        <v>67.837532462585557</v>
      </c>
      <c r="CW128" s="22">
        <f t="shared" si="67"/>
        <v>612.99757903900309</v>
      </c>
      <c r="CX128" s="62">
        <f t="shared" si="68"/>
        <v>896.04619740797159</v>
      </c>
      <c r="CY128" s="62">
        <f ca="1">AVERAGE(OFFSET($CX$3,0,0,'Données projet'!$E$13+1,1))-AVERAGE(OFFSET($H$3,0,0,'Données projet'!$E$13+1,1))</f>
        <v>474.46836359712393</v>
      </c>
      <c r="CZ128" s="62">
        <f t="shared" si="96"/>
        <v>221.28699636637722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29.415401469231494</v>
      </c>
      <c r="DG128" s="23">
        <f>EXP(-LN(2)/25)*DG127+(1-EXP(-LN(2)/25))/(LN(2)/25)*Calculateur!DB128*Calculateur!DD128*VLOOKUP('Données projet'!$B$13,Paramètres!$A$1:$I$89,3,0)*0.475*44/12</f>
        <v>19.395051130070843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48.810452599302337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4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5.6</v>
      </c>
      <c r="N129" s="14">
        <f>IF('Données projet'!$A$36&gt;35,N128+M129-V128,IF(A129&lt;'Données projet'!$A$36,$K$205^A129,IF(A129='Données projet'!$A$36,'Données projet'!$B$36,N128+M129-V128)))</f>
        <v>285.8</v>
      </c>
      <c r="O129" s="14">
        <f>N129*VLOOKUP('Données projet'!$B$9,Paramètres!$A$1:$I$89,3,0)*VLOOKUP('Données projet'!$B$9,Paramètres!$A$1:$I$89,5,0)</f>
        <v>258.59183999999999</v>
      </c>
      <c r="P129" s="14">
        <f t="shared" si="87"/>
        <v>62.422120343276589</v>
      </c>
      <c r="Q129" s="22">
        <f t="shared" si="107"/>
        <v>559.09931426454011</v>
      </c>
      <c r="R129" s="62">
        <f t="shared" si="55"/>
        <v>842.32634944496226</v>
      </c>
      <c r="S129" s="62">
        <f ca="1">AVERAGE(OFFSET($R$3,0,0,'Données projet'!$E$9+1,1))-AVERAGE(OFFSET($H$3,0,0,'Données projet'!$E$9+1,1))</f>
        <v>432.80275651765203</v>
      </c>
      <c r="T129" s="62">
        <f t="shared" si="88"/>
        <v>203.89279893419919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25.732889792407757</v>
      </c>
      <c r="AA129" s="23">
        <f>EXP(-LN(2)/25)*AA128+(1-EXP(-LN(2)/25))/(LN(2)/25)*Calculateur!V129*Calculateur!X129*VLOOKUP('Données projet'!$B$9,Paramètres!$A$1:$I$89,3,0)*0.475*44/12</f>
        <v>16.8331101745339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42.565999966941661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3.813056537183002E-14</v>
      </c>
      <c r="AK129" s="14">
        <f t="shared" si="89"/>
        <v>6.4086286045526829E-13</v>
      </c>
      <c r="AL129" s="22">
        <f t="shared" si="58"/>
        <v>1.1825802166488628E-12</v>
      </c>
      <c r="AM129" s="62">
        <f t="shared" si="59"/>
        <v>283.2270351804234</v>
      </c>
      <c r="AN129" s="62">
        <f ca="1">AVERAGE(OFFSET($AM$3,0,0,'Données projet'!$E$10+1,1))-AVERAGE(OFFSET($H$3,0,0,'Données projet'!$E$10+1,1))</f>
        <v>273.21861937609918</v>
      </c>
      <c r="AO129" s="62">
        <f t="shared" si="90"/>
        <v>268.83004886965318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46.368759707037981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46.368759707037981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4.6111381379887463E-14</v>
      </c>
      <c r="BF129" s="14">
        <f t="shared" si="91"/>
        <v>7.5804141040779151E-13</v>
      </c>
      <c r="BG129" s="22">
        <f t="shared" si="61"/>
        <v>1.4005661123635408E-12</v>
      </c>
      <c r="BH129" s="62">
        <f t="shared" si="62"/>
        <v>283.22703518042363</v>
      </c>
      <c r="BI129" s="62">
        <f ca="1">AVERAGE(OFFSET($BH$3,0,0,'Données projet'!$E$11+1,1))-AVERAGE(OFFSET($H$3,0,0,'Données projet'!$E$11+1,1))</f>
        <v>319.01020001288975</v>
      </c>
      <c r="BJ129" s="62">
        <f t="shared" si="92"/>
        <v>312.22190035638084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56.073848948045914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56.073848948045914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6.1186256061773749E-14</v>
      </c>
      <c r="CA129" s="14">
        <f t="shared" si="93"/>
        <v>9.7328366192051127E-13</v>
      </c>
      <c r="CB129" s="22">
        <f t="shared" si="64"/>
        <v>1.8017017738191463E-12</v>
      </c>
      <c r="CC129" s="62">
        <f t="shared" si="65"/>
        <v>283.22703518042402</v>
      </c>
      <c r="CD129" s="62">
        <f ca="1">AVERAGE(OFFSET($CC$3,0,0,'Données projet'!$E$12+1,1))-AVERAGE(OFFSET($H$3,0,0,'Données projet'!$E$12+1,1))</f>
        <v>405.06394904053946</v>
      </c>
      <c r="CE129" s="62">
        <f t="shared" si="94"/>
        <v>393.75247087518198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60.366875845011691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60.366875845011691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5.6</v>
      </c>
      <c r="CT129" s="13">
        <f>IF('Données projet'!$A$140&gt;35,CT128+CS129-DB128,IF(A129&lt;'Données projet'!$A$140,$CQ$205^A129,IF(A129='Données projet'!$A$140,'Données projet'!$B$140,CT128+CS129-DB128)))</f>
        <v>285.8</v>
      </c>
      <c r="CU129" s="18">
        <f>CT129*VLOOKUP('Données projet'!$B$13,Paramètres!$A$1:$I$89,3,0)*VLOOKUP('Données projet'!$B$13,Paramètres!$A$1:$I$89,5,0)</f>
        <v>289.80120000000005</v>
      </c>
      <c r="CV129" s="14">
        <f t="shared" si="95"/>
        <v>69.034118458450848</v>
      </c>
      <c r="CW129" s="22">
        <f t="shared" si="67"/>
        <v>624.97151298180199</v>
      </c>
      <c r="CX129" s="62">
        <f t="shared" si="68"/>
        <v>908.19854816222414</v>
      </c>
      <c r="CY129" s="62">
        <f ca="1">AVERAGE(OFFSET($CX$3,0,0,'Données projet'!$E$13+1,1))-AVERAGE(OFFSET($H$3,0,0,'Données projet'!$E$13+1,1))</f>
        <v>474.46836359712393</v>
      </c>
      <c r="CZ129" s="62">
        <f t="shared" si="96"/>
        <v>221.28699636637722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28.838583388043173</v>
      </c>
      <c r="DG129" s="23">
        <f>EXP(-LN(2)/25)*DG128+(1-EXP(-LN(2)/25))/(LN(2)/25)*Calculateur!DB129*Calculateur!DD129*VLOOKUP('Données projet'!$B$13,Paramètres!$A$1:$I$89,3,0)*0.475*44/12</f>
        <v>18.864692436977645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47.703275825020818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4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5.6</v>
      </c>
      <c r="N130" s="14">
        <f>IF('Données projet'!$A$36&gt;35,N129+M130-V129,IF(A130&lt;'Données projet'!$A$36,$K$205^A130,IF(A130='Données projet'!$A$36,'Données projet'!$B$36,N129+M130-V129)))</f>
        <v>291.40000000000003</v>
      </c>
      <c r="O130" s="14">
        <f>N130*VLOOKUP('Données projet'!$B$9,Paramètres!$A$1:$I$89,3,0)*VLOOKUP('Données projet'!$B$9,Paramètres!$A$1:$I$89,5,0)</f>
        <v>263.65872000000002</v>
      </c>
      <c r="P130" s="14">
        <f t="shared" si="87"/>
        <v>63.50163380458158</v>
      </c>
      <c r="Q130" s="22">
        <f t="shared" si="107"/>
        <v>569.80428287631287</v>
      </c>
      <c r="R130" s="62">
        <f t="shared" si="55"/>
        <v>853.20663973539035</v>
      </c>
      <c r="S130" s="62">
        <f ca="1">AVERAGE(OFFSET($R$3,0,0,'Données projet'!$E$9+1,1))-AVERAGE(OFFSET($H$3,0,0,'Données projet'!$E$9+1,1))</f>
        <v>432.80275651765203</v>
      </c>
      <c r="T130" s="62">
        <f t="shared" si="88"/>
        <v>203.89279893419919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25.228283519091612</v>
      </c>
      <c r="AA130" s="23">
        <f>EXP(-LN(2)/25)*AA129+(1-EXP(-LN(2)/25))/(LN(2)/25)*Calculateur!V130*Calculateur!X130*VLOOKUP('Données projet'!$B$9,Paramètres!$A$1:$I$89,3,0)*0.475*44/12</f>
        <v>16.37280789159648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41.601091410688092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3.813056537183002E-14</v>
      </c>
      <c r="AK130" s="14">
        <f t="shared" si="89"/>
        <v>6.4086286045526829E-13</v>
      </c>
      <c r="AL130" s="22">
        <f t="shared" si="58"/>
        <v>1.1825802166488628E-12</v>
      </c>
      <c r="AM130" s="62">
        <f t="shared" si="59"/>
        <v>283.40235685907862</v>
      </c>
      <c r="AN130" s="62">
        <f ca="1">AVERAGE(OFFSET($AM$3,0,0,'Données projet'!$E$10+1,1))-AVERAGE(OFFSET($H$3,0,0,'Données projet'!$E$10+1,1))</f>
        <v>273.21861937609918</v>
      </c>
      <c r="AO130" s="62">
        <f t="shared" si="90"/>
        <v>268.83004886965318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45.459496611333755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45.459496611333755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4.6111381379887463E-14</v>
      </c>
      <c r="BF130" s="14">
        <f t="shared" si="91"/>
        <v>7.5804141040779151E-13</v>
      </c>
      <c r="BG130" s="22">
        <f t="shared" si="61"/>
        <v>1.4005661123635408E-12</v>
      </c>
      <c r="BH130" s="62">
        <f t="shared" si="62"/>
        <v>283.40235685907885</v>
      </c>
      <c r="BI130" s="62">
        <f ca="1">AVERAGE(OFFSET($BH$3,0,0,'Données projet'!$E$11+1,1))-AVERAGE(OFFSET($H$3,0,0,'Données projet'!$E$11+1,1))</f>
        <v>319.01020001288975</v>
      </c>
      <c r="BJ130" s="62">
        <f t="shared" si="92"/>
        <v>312.22190035638084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54.97427497184546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54.97427497184546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6.1186256061773749E-14</v>
      </c>
      <c r="CA130" s="14">
        <f t="shared" si="93"/>
        <v>9.7328366192051127E-13</v>
      </c>
      <c r="CB130" s="22">
        <f t="shared" si="64"/>
        <v>1.8017017738191463E-12</v>
      </c>
      <c r="CC130" s="62">
        <f t="shared" si="65"/>
        <v>283.40235685907925</v>
      </c>
      <c r="CD130" s="62">
        <f ca="1">AVERAGE(OFFSET($CC$3,0,0,'Données projet'!$E$12+1,1))-AVERAGE(OFFSET($H$3,0,0,'Données projet'!$E$12+1,1))</f>
        <v>405.06394904053946</v>
      </c>
      <c r="CE130" s="62">
        <f t="shared" si="94"/>
        <v>393.75247087518198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59.18311822984959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59.18311822984959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5.6</v>
      </c>
      <c r="CT130" s="13">
        <f>IF('Données projet'!$A$140&gt;35,CT129+CS130-DB129,IF(A130&lt;'Données projet'!$A$140,$CQ$205^A130,IF(A130='Données projet'!$A$140,'Données projet'!$B$140,CT129+CS130-DB129)))</f>
        <v>291.40000000000003</v>
      </c>
      <c r="CU130" s="18">
        <f>CT130*VLOOKUP('Données projet'!$B$13,Paramètres!$A$1:$I$89,3,0)*VLOOKUP('Données projet'!$B$13,Paramètres!$A$1:$I$89,5,0)</f>
        <v>295.47960000000006</v>
      </c>
      <c r="CV130" s="14">
        <f t="shared" si="95"/>
        <v>70.227978259357855</v>
      </c>
      <c r="CW130" s="22">
        <f t="shared" si="67"/>
        <v>636.94069880171492</v>
      </c>
      <c r="CX130" s="62">
        <f t="shared" si="68"/>
        <v>920.34305566079229</v>
      </c>
      <c r="CY130" s="62">
        <f ca="1">AVERAGE(OFFSET($CX$3,0,0,'Données projet'!$E$13+1,1))-AVERAGE(OFFSET($H$3,0,0,'Données projet'!$E$13+1,1))</f>
        <v>474.46836359712393</v>
      </c>
      <c r="CZ130" s="62">
        <f t="shared" si="96"/>
        <v>221.28699636637722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28.273076357602665</v>
      </c>
      <c r="DG130" s="23">
        <f>EXP(-LN(2)/25)*DG129+(1-EXP(-LN(2)/25))/(LN(2)/25)*Calculateur!DB130*Calculateur!DD130*VLOOKUP('Données projet'!$B$13,Paramètres!$A$1:$I$89,3,0)*0.475*44/12</f>
        <v>18.348836430237434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46.621912787840103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4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>
        <f>VLOOKUP(A131,'Données projet'!$A$35:$I$55,2,0)</f>
        <v>297</v>
      </c>
      <c r="L131" s="13">
        <f>VLOOKUP(A131,'Données projet'!$A$35:$I$55,9,0)</f>
        <v>5.6</v>
      </c>
      <c r="M131" s="13">
        <f t="array" ref="M131">INDEX(L:L,MIN(IF(ISNUMBER(L131:L327),ROW(L131:L327),"")))</f>
        <v>5.6</v>
      </c>
      <c r="N131" s="14">
        <f>IF('Données projet'!$A$36&gt;35,N130+M131-V130,IF(A131&lt;'Données projet'!$A$36,$K$205^A131,IF(A131='Données projet'!$A$36,'Données projet'!$B$36,N130+M131-V130)))</f>
        <v>297.00000000000006</v>
      </c>
      <c r="O131" s="14">
        <f>N131*VLOOKUP('Données projet'!$B$9,Paramètres!$A$1:$I$89,3,0)*VLOOKUP('Données projet'!$B$9,Paramètres!$A$1:$I$89,5,0)</f>
        <v>268.72560000000004</v>
      </c>
      <c r="P131" s="14">
        <f t="shared" si="87"/>
        <v>64.578735016913868</v>
      </c>
      <c r="Q131" s="22">
        <f t="shared" ref="Q131:Q153" si="108">(O131+P131)*0.475*44/12</f>
        <v>580.50505015445833</v>
      </c>
      <c r="R131" s="62">
        <f t="shared" ref="R131:R194" si="109">Q131+(I131+J131)*44/12</f>
        <v>864.0796872530268</v>
      </c>
      <c r="S131" s="62">
        <f ca="1">AVERAGE(OFFSET($R$3,0,0,'Données projet'!$E$9+1,1))-AVERAGE(OFFSET($H$3,0,0,'Données projet'!$E$9+1,1))</f>
        <v>432.80275651765203</v>
      </c>
      <c r="T131" s="62">
        <f t="shared" si="88"/>
        <v>203.89279893419919</v>
      </c>
      <c r="U131" s="16">
        <f>IF(ISNA(VLOOKUP(A131,'Données projet'!$A$35:$I$55,3,0)),0,VLOOKUP(A131,'Données projet'!$A$35:$I$55,3,0))</f>
        <v>9</v>
      </c>
      <c r="V131" s="16">
        <f>IF(ISNA(VLOOKUP(A131,'Données projet'!$A$35:$I$55,4,0)),0,VLOOKUP(A131,'Données projet'!$A$35:$I$55,4,0))</f>
        <v>39</v>
      </c>
      <c r="W131" s="17">
        <f>IF(ISNA(VLOOKUP(A131,'Données projet'!$A$35:$I$55,5,0)),0%,VLOOKUP(A131,'Données projet'!$A$35:$I$55,5,0)*VLOOKUP('Données projet'!$B$9,Paramètres!$A$1:$I$89,7,0))</f>
        <v>0.215</v>
      </c>
      <c r="X131" s="17">
        <f>IF(ISNA(VLOOKUP(A131,'Données projet'!$A$35:$I$55,6,0)),0%,VLOOKUP(A131,'Données projet'!$A$35:$I$55,6,0)*VLOOKUP('Données projet'!$B$9,Paramètres!$A$1:$I$89,7,0))</f>
        <v>0.17200000000000001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33.120497457996606</v>
      </c>
      <c r="AA131" s="23">
        <f>EXP(-LN(2)/25)*AA130+(1-EXP(-LN(2)/25))/(LN(2)/25)*Calculateur!V131*Calculateur!X131*VLOOKUP('Données projet'!$B$9,Paramètres!$A$1:$I$89,3,0)*0.475*44/12</f>
        <v>22.608214735460166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55.728712193456772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3.813056537183002E-14</v>
      </c>
      <c r="AK131" s="14">
        <f t="shared" si="89"/>
        <v>6.4086286045526829E-13</v>
      </c>
      <c r="AL131" s="22">
        <f t="shared" si="58"/>
        <v>1.1825802166488628E-12</v>
      </c>
      <c r="AM131" s="62">
        <f t="shared" si="59"/>
        <v>283.57463709856972</v>
      </c>
      <c r="AN131" s="62">
        <f ca="1">AVERAGE(OFFSET($AM$3,0,0,'Données projet'!$E$10+1,1))-AVERAGE(OFFSET($H$3,0,0,'Données projet'!$E$10+1,1))</f>
        <v>273.21861937609918</v>
      </c>
      <c r="AO131" s="62">
        <f t="shared" si="90"/>
        <v>268.83004886965318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44.568063610340566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44.568063610340566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4.6111381379887463E-14</v>
      </c>
      <c r="BF131" s="14">
        <f t="shared" si="91"/>
        <v>7.5804141040779151E-13</v>
      </c>
      <c r="BG131" s="22">
        <f t="shared" si="61"/>
        <v>1.4005661123635408E-12</v>
      </c>
      <c r="BH131" s="62">
        <f t="shared" si="62"/>
        <v>283.57463709856995</v>
      </c>
      <c r="BI131" s="62">
        <f ca="1">AVERAGE(OFFSET($BH$3,0,0,'Données projet'!$E$11+1,1))-AVERAGE(OFFSET($H$3,0,0,'Données projet'!$E$11+1,1))</f>
        <v>319.01020001288975</v>
      </c>
      <c r="BJ131" s="62">
        <f t="shared" si="92"/>
        <v>312.22190035638084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53.896262970644393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53.896262970644393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6.1186256061773749E-14</v>
      </c>
      <c r="CA131" s="14">
        <f t="shared" si="93"/>
        <v>9.7328366192051127E-13</v>
      </c>
      <c r="CB131" s="22">
        <f t="shared" si="64"/>
        <v>1.8017017738191463E-12</v>
      </c>
      <c r="CC131" s="62">
        <f t="shared" si="65"/>
        <v>283.57463709857035</v>
      </c>
      <c r="CD131" s="62">
        <f ca="1">AVERAGE(OFFSET($CC$3,0,0,'Données projet'!$E$12+1,1))-AVERAGE(OFFSET($H$3,0,0,'Données projet'!$E$12+1,1))</f>
        <v>405.06394904053946</v>
      </c>
      <c r="CE131" s="62">
        <f t="shared" si="94"/>
        <v>393.75247087518198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58.022573379499967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58.022573379499967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>
        <f>VLOOKUP(A131,'Données projet'!$A$139:$I$159,2,0)</f>
        <v>297</v>
      </c>
      <c r="CR131" s="13">
        <f>VLOOKUP(A131,'Données projet'!$A$139:$I$159,9,0)</f>
        <v>5.6</v>
      </c>
      <c r="CS131" s="13">
        <f t="array" ref="CS131">INDEX(CR:CR,MIN(IF(ISNUMBER(CR131:CR327),ROW(CR131:CR327),"")))</f>
        <v>5.6</v>
      </c>
      <c r="CT131" s="13">
        <f>IF('Données projet'!$A$140&gt;35,CT130+CS131-DB130,IF(A131&lt;'Données projet'!$A$140,$CQ$205^A131,IF(A131='Données projet'!$A$140,'Données projet'!$B$140,CT130+CS131-DB130)))</f>
        <v>297.00000000000006</v>
      </c>
      <c r="CU131" s="18">
        <f>CT131*VLOOKUP('Données projet'!$B$13,Paramètres!$A$1:$I$89,3,0)*VLOOKUP('Données projet'!$B$13,Paramètres!$A$1:$I$89,5,0)</f>
        <v>301.15800000000007</v>
      </c>
      <c r="CV131" s="14">
        <f t="shared" si="95"/>
        <v>71.419170296330975</v>
      </c>
      <c r="CW131" s="22">
        <f t="shared" si="67"/>
        <v>648.9052382661099</v>
      </c>
      <c r="CX131" s="62">
        <f t="shared" si="68"/>
        <v>932.47987536467849</v>
      </c>
      <c r="CY131" s="62">
        <f ca="1">AVERAGE(OFFSET($CX$3,0,0,'Données projet'!$E$13+1,1))-AVERAGE(OFFSET($H$3,0,0,'Données projet'!$E$13+1,1))</f>
        <v>474.46836359712393</v>
      </c>
      <c r="CZ131" s="62">
        <f t="shared" si="96"/>
        <v>221.28699636637722</v>
      </c>
      <c r="DA131" s="16">
        <f>IF(ISNA(VLOOKUP(A131,'Données projet'!$A$139:$I$159,3,0)),0,VLOOKUP(A131,'Données projet'!$A$139:$I$159,3,0))</f>
        <v>9</v>
      </c>
      <c r="DB131" s="16">
        <f>IF(ISNA(VLOOKUP(A131,'Données projet'!$A$139:$I$159,4,0)),0,VLOOKUP(A131,'Données projet'!$A$139:$I$159,4,0))</f>
        <v>39</v>
      </c>
      <c r="DC131" s="17">
        <f>IF(ISNA(VLOOKUP(A131,'Données projet'!$A$139:$I$159,5,0)),0%,VLOOKUP(A131,'Données projet'!$A$139:$I$159,5,0)*VLOOKUP('Données projet'!$B$13,Paramètres!$A$1:$I$89,7,0))</f>
        <v>0.215</v>
      </c>
      <c r="DD131" s="17">
        <f>IF(ISNA(VLOOKUP(A131,'Données projet'!$A$139:$I$159,6,0)),0%,VLOOKUP(A131,'Données projet'!$A$139:$I$159,6,0)*VLOOKUP('Données projet'!$B$13,Paramètres!$A$1:$I$89,7,0))</f>
        <v>0.17200000000000001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37.117798875341023</v>
      </c>
      <c r="DG131" s="23">
        <f>EXP(-LN(2)/25)*DG130+(1-EXP(-LN(2)/25))/(LN(2)/25)*Calculateur!DB131*Calculateur!DD131*VLOOKUP('Données projet'!$B$13,Paramètres!$A$1:$I$89,3,0)*0.475*44/12</f>
        <v>25.336792375946743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62.454591251287766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4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5.7</v>
      </c>
      <c r="N132" s="14">
        <f>IF('Données projet'!$A$36&gt;35,N131+M132-V131,IF(A132&lt;'Données projet'!$A$36,$K$205^A132,IF(A132='Données projet'!$A$36,'Données projet'!$B$36,N131+M132-V131)))</f>
        <v>263.70000000000005</v>
      </c>
      <c r="O132" s="14">
        <f>N132*VLOOKUP('Données projet'!$B$9,Paramètres!$A$1:$I$89,3,0)*VLOOKUP('Données projet'!$B$9,Paramètres!$A$1:$I$89,5,0)</f>
        <v>238.59576000000004</v>
      </c>
      <c r="P132" s="14">
        <f t="shared" si="87"/>
        <v>58.137298297430824</v>
      </c>
      <c r="Q132" s="22">
        <f t="shared" si="108"/>
        <v>516.81007653469214</v>
      </c>
      <c r="R132" s="62">
        <f t="shared" si="109"/>
        <v>800.55400519575755</v>
      </c>
      <c r="S132" s="62">
        <f ca="1">AVERAGE(OFFSET($R$3,0,0,'Données projet'!$E$9+1,1))-AVERAGE(OFFSET($H$3,0,0,'Données projet'!$E$9+1,1))</f>
        <v>432.80275651765203</v>
      </c>
      <c r="T132" s="62">
        <f t="shared" si="88"/>
        <v>203.89279893419919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32.471024704354008</v>
      </c>
      <c r="AA132" s="23">
        <f>EXP(-LN(2)/25)*AA131+(1-EXP(-LN(2)/25))/(LN(2)/25)*Calculateur!V132*Calculateur!X132*VLOOKUP('Données projet'!$B$9,Paramètres!$A$1:$I$89,3,0)*0.475*44/12</f>
        <v>21.989991914604666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54.461016618958674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3.813056537183002E-14</v>
      </c>
      <c r="AK132" s="14">
        <f t="shared" si="89"/>
        <v>6.4086286045526829E-13</v>
      </c>
      <c r="AL132" s="22">
        <f t="shared" ref="AL132:AL153" si="112">(AJ132+AK132)*0.475*44/12</f>
        <v>1.1825802166488628E-12</v>
      </c>
      <c r="AM132" s="62">
        <f t="shared" ref="AM132:AM195" si="113">AL132+(AD132+AE132)*44/12</f>
        <v>283.74392866106655</v>
      </c>
      <c r="AN132" s="62">
        <f ca="1">AVERAGE(OFFSET($AM$3,0,0,'Données projet'!$E$10+1,1))-AVERAGE(OFFSET($H$3,0,0,'Données projet'!$E$10+1,1))</f>
        <v>273.21861937609918</v>
      </c>
      <c r="AO132" s="62">
        <f t="shared" si="90"/>
        <v>268.83004886965318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43.694111066776408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43.694111066776408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4.6111381379887463E-14</v>
      </c>
      <c r="BF132" s="14">
        <f t="shared" si="91"/>
        <v>7.5804141040779151E-13</v>
      </c>
      <c r="BG132" s="22">
        <f t="shared" ref="BG132:BG153" si="115">(BE132+BF132)*0.475*44/12</f>
        <v>1.4005661123635408E-12</v>
      </c>
      <c r="BH132" s="62">
        <f t="shared" ref="BH132:BH195" si="116">BG132+(AY132+AZ132)*44/12</f>
        <v>283.74392866106678</v>
      </c>
      <c r="BI132" s="62">
        <f ca="1">AVERAGE(OFFSET($BH$3,0,0,'Données projet'!$E$11+1,1))-AVERAGE(OFFSET($H$3,0,0,'Données projet'!$E$11+1,1))</f>
        <v>319.01020001288975</v>
      </c>
      <c r="BJ132" s="62">
        <f t="shared" si="92"/>
        <v>312.22190035638084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52.83939012726448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52.83939012726448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6.1186256061773749E-14</v>
      </c>
      <c r="CA132" s="14">
        <f t="shared" si="93"/>
        <v>9.7328366192051127E-13</v>
      </c>
      <c r="CB132" s="22">
        <f t="shared" ref="CB132:CB153" si="118">(BZ132+CA132)*0.475*44/12</f>
        <v>1.8017017738191463E-12</v>
      </c>
      <c r="CC132" s="62">
        <f t="shared" ref="CC132:CC195" si="119">CB132+(BT132+BU132)*44/12</f>
        <v>283.74392866106717</v>
      </c>
      <c r="CD132" s="62">
        <f ca="1">AVERAGE(OFFSET($CC$3,0,0,'Données projet'!$E$12+1,1))-AVERAGE(OFFSET($H$3,0,0,'Données projet'!$E$12+1,1))</f>
        <v>405.06394904053946</v>
      </c>
      <c r="CE132" s="62">
        <f t="shared" si="94"/>
        <v>393.75247087518198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56.884786105803236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56.884786105803236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5.7</v>
      </c>
      <c r="CT132" s="13">
        <f>IF('Données projet'!$A$140&gt;35,CT131+CS132-DB131,IF(A132&lt;'Données projet'!$A$140,$CQ$205^A132,IF(A132='Données projet'!$A$140,'Données projet'!$B$140,CT131+CS132-DB131)))</f>
        <v>263.70000000000005</v>
      </c>
      <c r="CU132" s="18">
        <f>CT132*VLOOKUP('Données projet'!$B$13,Paramètres!$A$1:$I$89,3,0)*VLOOKUP('Données projet'!$B$13,Paramètres!$A$1:$I$89,5,0)</f>
        <v>267.39180000000005</v>
      </c>
      <c r="CV132" s="14">
        <f t="shared" si="95"/>
        <v>64.29543109795074</v>
      </c>
      <c r="CW132" s="22">
        <f t="shared" ref="CW132:CW153" si="121">(CU132+CV132)*0.475*44/12</f>
        <v>577.68859416226417</v>
      </c>
      <c r="CX132" s="62">
        <f t="shared" ref="CX132:CX195" si="122">CW132+(CO132+CP132)*44/12</f>
        <v>861.43252282332946</v>
      </c>
      <c r="CY132" s="62">
        <f ca="1">AVERAGE(OFFSET($CX$3,0,0,'Données projet'!$E$13+1,1))-AVERAGE(OFFSET($H$3,0,0,'Données projet'!$E$13+1,1))</f>
        <v>474.46836359712393</v>
      </c>
      <c r="CZ132" s="62">
        <f t="shared" si="96"/>
        <v>221.28699636637722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36.389941479017423</v>
      </c>
      <c r="DG132" s="23">
        <f>EXP(-LN(2)/25)*DG131+(1-EXP(-LN(2)/25))/(LN(2)/25)*Calculateur!DB132*Calculateur!DD132*VLOOKUP('Données projet'!$B$13,Paramètres!$A$1:$I$89,3,0)*0.475*44/12</f>
        <v>24.643956456022476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61.033897935039903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4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5.7</v>
      </c>
      <c r="N133" s="14">
        <f>IF('Données projet'!$A$36&gt;35,N132+M133-V132,IF(A133&lt;'Données projet'!$A$36,$K$205^A133,IF(A133='Données projet'!$A$36,'Données projet'!$B$36,N132+M133-V132)))</f>
        <v>269.40000000000003</v>
      </c>
      <c r="O133" s="14">
        <f>N133*VLOOKUP('Données projet'!$B$9,Paramètres!$A$1:$I$89,3,0)*VLOOKUP('Données projet'!$B$9,Paramètres!$A$1:$I$89,5,0)</f>
        <v>243.75312000000002</v>
      </c>
      <c r="P133" s="14">
        <f t="shared" ref="P133:P196" si="141">EXP(-1.0587+0.8836*LN(O133)+0.284)</f>
        <v>59.246301841839156</v>
      </c>
      <c r="Q133" s="22">
        <f t="shared" si="108"/>
        <v>527.72399304120324</v>
      </c>
      <c r="R133" s="62">
        <f t="shared" si="109"/>
        <v>811.63427643463535</v>
      </c>
      <c r="S133" s="62">
        <f ca="1">AVERAGE(OFFSET($R$3,0,0,'Données projet'!$E$9+1,1))-AVERAGE(OFFSET($H$3,0,0,'Données projet'!$E$9+1,1))</f>
        <v>432.80275651765203</v>
      </c>
      <c r="T133" s="62">
        <f t="shared" ref="T133:T196" si="142">$T$3</f>
        <v>203.89279893419919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31.834287715271078</v>
      </c>
      <c r="AA133" s="23">
        <f>EXP(-LN(2)/25)*AA132+(1-EXP(-LN(2)/25))/(LN(2)/25)*Calculateur!V133*Calculateur!X133*VLOOKUP('Données projet'!$B$9,Paramètres!$A$1:$I$89,3,0)*0.475*44/12</f>
        <v>21.388674429296383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53.222962144567461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3.813056537183002E-14</v>
      </c>
      <c r="AK133" s="14">
        <f t="shared" ref="AK133:AK153" si="143">EXP(-1.0587+0.8836*LN(AJ133)+0.284)</f>
        <v>6.4086286045526829E-13</v>
      </c>
      <c r="AL133" s="22">
        <f t="shared" si="112"/>
        <v>1.1825802166488628E-12</v>
      </c>
      <c r="AM133" s="62">
        <f t="shared" si="113"/>
        <v>283.9102833934333</v>
      </c>
      <c r="AN133" s="62">
        <f ca="1">AVERAGE(OFFSET($AM$3,0,0,'Données projet'!$E$10+1,1))-AVERAGE(OFFSET($H$3,0,0,'Données projet'!$E$10+1,1))</f>
        <v>273.21861937609918</v>
      </c>
      <c r="AO133" s="62">
        <f t="shared" ref="AO133:AO196" si="144">$AO$3</f>
        <v>268.83004886965318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42.837296199533128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42.837296199533128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4.6111381379887463E-14</v>
      </c>
      <c r="BF133" s="14">
        <f t="shared" ref="BF133:BF153" si="145">EXP(-1.0587+0.8836*LN(BE133)+0.284)</f>
        <v>7.5804141040779151E-13</v>
      </c>
      <c r="BG133" s="22">
        <f t="shared" si="115"/>
        <v>1.4005661123635408E-12</v>
      </c>
      <c r="BH133" s="62">
        <f t="shared" si="116"/>
        <v>283.91028339343353</v>
      </c>
      <c r="BI133" s="62">
        <f ca="1">AVERAGE(OFFSET($BH$3,0,0,'Données projet'!$E$11+1,1))-AVERAGE(OFFSET($H$3,0,0,'Données projet'!$E$11+1,1))</f>
        <v>319.01020001288975</v>
      </c>
      <c r="BJ133" s="62">
        <f t="shared" ref="BJ133:BJ196" si="146">$BJ$3</f>
        <v>312.22190035638084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51.803241915714466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51.803241915714466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6.1186256061773749E-14</v>
      </c>
      <c r="CA133" s="14">
        <f t="shared" ref="CA133:CA153" si="147">EXP(-1.0587+0.8836*LN(BZ133)+0.284)</f>
        <v>9.7328366192051127E-13</v>
      </c>
      <c r="CB133" s="22">
        <f t="shared" si="118"/>
        <v>1.8017017738191463E-12</v>
      </c>
      <c r="CC133" s="62">
        <f t="shared" si="119"/>
        <v>283.91028339343393</v>
      </c>
      <c r="CD133" s="62">
        <f ca="1">AVERAGE(OFFSET($CC$3,0,0,'Données projet'!$E$12+1,1))-AVERAGE(OFFSET($H$3,0,0,'Données projet'!$E$12+1,1))</f>
        <v>405.06394904053946</v>
      </c>
      <c r="CE133" s="62">
        <f t="shared" ref="CE133:CE196" si="148">$CE$3</f>
        <v>393.75247087518198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55.769310146561985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55.769310146561985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5.7</v>
      </c>
      <c r="CT133" s="13">
        <f>IF('Données projet'!$A$140&gt;35,CT132+CS133-DB132,IF(A133&lt;'Données projet'!$A$140,$CQ$205^A133,IF(A133='Données projet'!$A$140,'Données projet'!$B$140,CT132+CS133-DB132)))</f>
        <v>269.40000000000003</v>
      </c>
      <c r="CU133" s="18">
        <f>CT133*VLOOKUP('Données projet'!$B$13,Paramètres!$A$1:$I$89,3,0)*VLOOKUP('Données projet'!$B$13,Paramètres!$A$1:$I$89,5,0)</f>
        <v>273.17160000000007</v>
      </c>
      <c r="CV133" s="14">
        <f t="shared" ref="CV133:CV153" si="149">EXP(-1.0587+0.8836*LN(CU133)+0.284)</f>
        <v>65.521904688314322</v>
      </c>
      <c r="CW133" s="22">
        <f t="shared" si="121"/>
        <v>589.89118733214752</v>
      </c>
      <c r="CX133" s="62">
        <f t="shared" si="122"/>
        <v>873.80147072557963</v>
      </c>
      <c r="CY133" s="62">
        <f ca="1">AVERAGE(OFFSET($CX$3,0,0,'Données projet'!$E$13+1,1))-AVERAGE(OFFSET($H$3,0,0,'Données projet'!$E$13+1,1))</f>
        <v>474.46836359712393</v>
      </c>
      <c r="CZ133" s="62">
        <f t="shared" ref="CZ133:CZ196" si="150">$CZ$3</f>
        <v>221.28699636637722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35.676356922286551</v>
      </c>
      <c r="DG133" s="23">
        <f>EXP(-LN(2)/25)*DG132+(1-EXP(-LN(2)/25))/(LN(2)/25)*Calculateur!DB133*Calculateur!DD133*VLOOKUP('Données projet'!$B$13,Paramètres!$A$1:$I$89,3,0)*0.475*44/12</f>
        <v>23.970066170763197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59.646423093049748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4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5.7</v>
      </c>
      <c r="N134" s="14">
        <f>IF('Données projet'!$A$36&gt;35,N133+M134-V133,IF(A134&lt;'Données projet'!$A$36,$K$205^A134,IF(A134='Données projet'!$A$36,'Données projet'!$B$36,N133+M134-V133)))</f>
        <v>275.10000000000002</v>
      </c>
      <c r="O134" s="14">
        <f>N134*VLOOKUP('Données projet'!$B$9,Paramètres!$A$1:$I$89,3,0)*VLOOKUP('Données projet'!$B$9,Paramètres!$A$1:$I$89,5,0)</f>
        <v>248.91048000000001</v>
      </c>
      <c r="P134" s="14">
        <f t="shared" si="141"/>
        <v>60.352577270773921</v>
      </c>
      <c r="Q134" s="22">
        <f t="shared" si="108"/>
        <v>538.63315807993115</v>
      </c>
      <c r="R134" s="62">
        <f t="shared" si="109"/>
        <v>822.70691032303694</v>
      </c>
      <c r="S134" s="62">
        <f ca="1">AVERAGE(OFFSET($R$3,0,0,'Données projet'!$E$9+1,1))-AVERAGE(OFFSET($H$3,0,0,'Données projet'!$E$9+1,1))</f>
        <v>432.80275651765203</v>
      </c>
      <c r="T134" s="62">
        <f t="shared" si="142"/>
        <v>203.89279893419919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31.210036750172851</v>
      </c>
      <c r="AA134" s="23">
        <f>EXP(-LN(2)/25)*AA133+(1-EXP(-LN(2)/25))/(LN(2)/25)*Calculateur!V134*Calculateur!X134*VLOOKUP('Données projet'!$B$9,Paramètres!$A$1:$I$89,3,0)*0.475*44/12</f>
        <v>20.803800002245769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52.013836752418619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3.813056537183002E-14</v>
      </c>
      <c r="AK134" s="14">
        <f t="shared" si="143"/>
        <v>6.4086286045526829E-13</v>
      </c>
      <c r="AL134" s="22">
        <f t="shared" si="112"/>
        <v>1.1825802166488628E-12</v>
      </c>
      <c r="AM134" s="62">
        <f t="shared" si="113"/>
        <v>284.07375224310692</v>
      </c>
      <c r="AN134" s="62">
        <f ca="1">AVERAGE(OFFSET($AM$3,0,0,'Données projet'!$E$10+1,1))-AVERAGE(OFFSET($H$3,0,0,'Données projet'!$E$10+1,1))</f>
        <v>273.21861937609918</v>
      </c>
      <c r="AO134" s="62">
        <f t="shared" si="144"/>
        <v>268.83004886965318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41.997282949231021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41.997282949231021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4.6111381379887463E-14</v>
      </c>
      <c r="BF134" s="14">
        <f t="shared" si="145"/>
        <v>7.5804141040779151E-13</v>
      </c>
      <c r="BG134" s="22">
        <f t="shared" si="115"/>
        <v>1.4005661123635408E-12</v>
      </c>
      <c r="BH134" s="62">
        <f t="shared" si="116"/>
        <v>284.07375224310715</v>
      </c>
      <c r="BI134" s="62">
        <f ca="1">AVERAGE(OFFSET($BH$3,0,0,'Données projet'!$E$11+1,1))-AVERAGE(OFFSET($H$3,0,0,'Données projet'!$E$11+1,1))</f>
        <v>319.01020001288975</v>
      </c>
      <c r="BJ134" s="62">
        <f t="shared" si="146"/>
        <v>312.22190035638084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50.78741193860494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50.78741193860494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6.1186256061773749E-14</v>
      </c>
      <c r="CA134" s="14">
        <f t="shared" si="147"/>
        <v>9.7328366192051127E-13</v>
      </c>
      <c r="CB134" s="22">
        <f t="shared" si="118"/>
        <v>1.8017017738191463E-12</v>
      </c>
      <c r="CC134" s="62">
        <f t="shared" si="119"/>
        <v>284.07375224310755</v>
      </c>
      <c r="CD134" s="62">
        <f ca="1">AVERAGE(OFFSET($CC$3,0,0,'Données projet'!$E$12+1,1))-AVERAGE(OFFSET($H$3,0,0,'Données projet'!$E$12+1,1))</f>
        <v>405.06394904053946</v>
      </c>
      <c r="CE134" s="62">
        <f t="shared" si="148"/>
        <v>393.75247087518198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54.6757079905083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54.6757079905083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5.7</v>
      </c>
      <c r="CT134" s="13">
        <f>IF('Données projet'!$A$140&gt;35,CT133+CS134-DB133,IF(A134&lt;'Données projet'!$A$140,$CQ$205^A134,IF(A134='Données projet'!$A$140,'Données projet'!$B$140,CT133+CS134-DB133)))</f>
        <v>275.10000000000002</v>
      </c>
      <c r="CU134" s="18">
        <f>CT134*VLOOKUP('Données projet'!$B$13,Paramètres!$A$1:$I$89,3,0)*VLOOKUP('Données projet'!$B$13,Paramètres!$A$1:$I$89,5,0)</f>
        <v>278.95140000000004</v>
      </c>
      <c r="CV134" s="14">
        <f t="shared" si="149"/>
        <v>66.745361190412879</v>
      </c>
      <c r="CW134" s="22">
        <f t="shared" si="121"/>
        <v>602.08852573996921</v>
      </c>
      <c r="CX134" s="62">
        <f t="shared" si="122"/>
        <v>886.162277983075</v>
      </c>
      <c r="CY134" s="62">
        <f ca="1">AVERAGE(OFFSET($CX$3,0,0,'Données projet'!$E$13+1,1))-AVERAGE(OFFSET($H$3,0,0,'Données projet'!$E$13+1,1))</f>
        <v>474.46836359712393</v>
      </c>
      <c r="CZ134" s="62">
        <f t="shared" si="150"/>
        <v>221.28699636637722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34.976765323469571</v>
      </c>
      <c r="DG134" s="23">
        <f>EXP(-LN(2)/25)*DG133+(1-EXP(-LN(2)/25))/(LN(2)/25)*Calculateur!DB134*Calculateur!DD134*VLOOKUP('Données projet'!$B$13,Paramètres!$A$1:$I$89,3,0)*0.475*44/12</f>
        <v>23.314603450792681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58.291368774262253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4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5.7</v>
      </c>
      <c r="N135" s="14">
        <f>IF('Données projet'!$A$36&gt;35,N134+M135-V134,IF(A135&lt;'Données projet'!$A$36,$K$205^A135,IF(A135='Données projet'!$A$36,'Données projet'!$B$36,N134+M135-V134)))</f>
        <v>280.8</v>
      </c>
      <c r="O135" s="14">
        <f>N135*VLOOKUP('Données projet'!$B$9,Paramètres!$A$1:$I$89,3,0)*VLOOKUP('Données projet'!$B$9,Paramètres!$A$1:$I$89,5,0)</f>
        <v>254.06784000000002</v>
      </c>
      <c r="P135" s="14">
        <f t="shared" si="141"/>
        <v>61.456187622750775</v>
      </c>
      <c r="Q135" s="22">
        <f t="shared" si="108"/>
        <v>549.53768144295771</v>
      </c>
      <c r="R135" s="62">
        <f t="shared" si="109"/>
        <v>833.77206671665681</v>
      </c>
      <c r="S135" s="62">
        <f ca="1">AVERAGE(OFFSET($R$3,0,0,'Données projet'!$E$9+1,1))-AVERAGE(OFFSET($H$3,0,0,'Données projet'!$E$9+1,1))</f>
        <v>432.80275651765203</v>
      </c>
      <c r="T135" s="62">
        <f t="shared" si="142"/>
        <v>203.89279893419919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30.598026965744705</v>
      </c>
      <c r="AA135" s="23">
        <f>EXP(-LN(2)/25)*AA134+(1-EXP(-LN(2)/25))/(LN(2)/25)*Calculateur!V135*Calculateur!X135*VLOOKUP('Données projet'!$B$9,Paramètres!$A$1:$I$89,3,0)*0.475*44/12</f>
        <v>20.234918997160065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50.832945962904773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3.813056537183002E-14</v>
      </c>
      <c r="AK135" s="14">
        <f t="shared" si="143"/>
        <v>6.4086286045526829E-13</v>
      </c>
      <c r="AL135" s="22">
        <f t="shared" si="112"/>
        <v>1.1825802166488628E-12</v>
      </c>
      <c r="AM135" s="62">
        <f t="shared" si="113"/>
        <v>284.23438527370035</v>
      </c>
      <c r="AN135" s="62">
        <f ca="1">AVERAGE(OFFSET($AM$3,0,0,'Données projet'!$E$10+1,1))-AVERAGE(OFFSET($H$3,0,0,'Données projet'!$E$10+1,1))</f>
        <v>273.21861937609918</v>
      </c>
      <c r="AO135" s="62">
        <f t="shared" si="144"/>
        <v>268.83004886965318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41.173741846409847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41.173741846409847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4.6111381379887463E-14</v>
      </c>
      <c r="BF135" s="14">
        <f t="shared" si="145"/>
        <v>7.5804141040779151E-13</v>
      </c>
      <c r="BG135" s="22">
        <f t="shared" si="115"/>
        <v>1.4005661123635408E-12</v>
      </c>
      <c r="BH135" s="62">
        <f t="shared" si="116"/>
        <v>284.23438527370058</v>
      </c>
      <c r="BI135" s="62">
        <f ca="1">AVERAGE(OFFSET($BH$3,0,0,'Données projet'!$E$11+1,1))-AVERAGE(OFFSET($H$3,0,0,'Données projet'!$E$11+1,1))</f>
        <v>319.01020001288975</v>
      </c>
      <c r="BJ135" s="62">
        <f t="shared" si="146"/>
        <v>312.22190035638084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49.791501767751427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49.791501767751427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6.1186256061773749E-14</v>
      </c>
      <c r="CA135" s="14">
        <f t="shared" si="147"/>
        <v>9.7328366192051127E-13</v>
      </c>
      <c r="CB135" s="22">
        <f t="shared" si="118"/>
        <v>1.8017017738191463E-12</v>
      </c>
      <c r="CC135" s="62">
        <f t="shared" si="119"/>
        <v>284.23438527370098</v>
      </c>
      <c r="CD135" s="62">
        <f ca="1">AVERAGE(OFFSET($CC$3,0,0,'Données projet'!$E$12+1,1))-AVERAGE(OFFSET($H$3,0,0,'Données projet'!$E$12+1,1))</f>
        <v>405.06394904053946</v>
      </c>
      <c r="CE135" s="62">
        <f t="shared" si="148"/>
        <v>393.75247087518198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53.603550705703377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53.603550705703377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5.7</v>
      </c>
      <c r="CT135" s="13">
        <f>IF('Données projet'!$A$140&gt;35,CT134+CS135-DB134,IF(A135&lt;'Données projet'!$A$140,$CQ$205^A135,IF(A135='Données projet'!$A$140,'Données projet'!$B$140,CT134+CS135-DB134)))</f>
        <v>280.8</v>
      </c>
      <c r="CU135" s="18">
        <f>CT135*VLOOKUP('Données projet'!$B$13,Paramètres!$A$1:$I$89,3,0)*VLOOKUP('Données projet'!$B$13,Paramètres!$A$1:$I$89,5,0)</f>
        <v>284.7312</v>
      </c>
      <c r="CV135" s="14">
        <f t="shared" si="149"/>
        <v>67.96587032005101</v>
      </c>
      <c r="CW135" s="22">
        <f t="shared" si="121"/>
        <v>614.28073080742217</v>
      </c>
      <c r="CX135" s="62">
        <f t="shared" si="122"/>
        <v>898.51511608112128</v>
      </c>
      <c r="CY135" s="62">
        <f ca="1">AVERAGE(OFFSET($CX$3,0,0,'Données projet'!$E$13+1,1))-AVERAGE(OFFSET($H$3,0,0,'Données projet'!$E$13+1,1))</f>
        <v>474.46836359712393</v>
      </c>
      <c r="CZ135" s="62">
        <f t="shared" si="150"/>
        <v>221.28699636637722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34.290892289196648</v>
      </c>
      <c r="DG135" s="23">
        <f>EXP(-LN(2)/25)*DG134+(1-EXP(-LN(2)/25))/(LN(2)/25)*Calculateur!DB135*Calculateur!DD135*VLOOKUP('Données projet'!$B$13,Paramètres!$A$1:$I$89,3,0)*0.475*44/12</f>
        <v>22.677064393369047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56.967956682565699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4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5.7</v>
      </c>
      <c r="N136" s="14">
        <f>IF('Données projet'!$A$36&gt;35,N135+M136-V135,IF(A136&lt;'Données projet'!$A$36,$K$205^A136,IF(A136='Données projet'!$A$36,'Données projet'!$B$36,N135+M136-V135)))</f>
        <v>286.5</v>
      </c>
      <c r="O136" s="14">
        <f>N136*VLOOKUP('Données projet'!$B$9,Paramètres!$A$1:$I$89,3,0)*VLOOKUP('Données projet'!$B$9,Paramètres!$A$1:$I$89,5,0)</f>
        <v>259.22519999999997</v>
      </c>
      <c r="P136" s="14">
        <f t="shared" si="141"/>
        <v>62.557193230719982</v>
      </c>
      <c r="Q136" s="22">
        <f t="shared" si="108"/>
        <v>560.4376682101705</v>
      </c>
      <c r="R136" s="62">
        <f t="shared" si="109"/>
        <v>844.82989989050384</v>
      </c>
      <c r="S136" s="62">
        <f ca="1">AVERAGE(OFFSET($R$3,0,0,'Données projet'!$E$9+1,1))-AVERAGE(OFFSET($H$3,0,0,'Données projet'!$E$9+1,1))</f>
        <v>432.80275651765203</v>
      </c>
      <c r="T136" s="62">
        <f t="shared" si="142"/>
        <v>203.89279893419919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29.998018319900087</v>
      </c>
      <c r="AA136" s="23">
        <f>EXP(-LN(2)/25)*AA135+(1-EXP(-LN(2)/25))/(LN(2)/25)*Calculateur!V136*Calculateur!X136*VLOOKUP('Données projet'!$B$9,Paramètres!$A$1:$I$89,3,0)*0.475*44/12</f>
        <v>19.681594073074582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49.679612392974668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3.813056537183002E-14</v>
      </c>
      <c r="AK136" s="14">
        <f t="shared" si="143"/>
        <v>6.4086286045526829E-13</v>
      </c>
      <c r="AL136" s="22">
        <f t="shared" si="112"/>
        <v>1.1825802166488628E-12</v>
      </c>
      <c r="AM136" s="62">
        <f t="shared" si="113"/>
        <v>284.39223168033459</v>
      </c>
      <c r="AN136" s="62">
        <f ca="1">AVERAGE(OFFSET($AM$3,0,0,'Données projet'!$E$10+1,1))-AVERAGE(OFFSET($H$3,0,0,'Données projet'!$E$10+1,1))</f>
        <v>273.21861937609918</v>
      </c>
      <c r="AO136" s="62">
        <f t="shared" si="144"/>
        <v>268.83004886965318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40.366349882304526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40.366349882304526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4.6111381379887463E-14</v>
      </c>
      <c r="BF136" s="14">
        <f t="shared" si="145"/>
        <v>7.5804141040779151E-13</v>
      </c>
      <c r="BG136" s="22">
        <f t="shared" si="115"/>
        <v>1.4005661123635408E-12</v>
      </c>
      <c r="BH136" s="62">
        <f t="shared" si="116"/>
        <v>284.39223168033482</v>
      </c>
      <c r="BI136" s="62">
        <f ca="1">AVERAGE(OFFSET($BH$3,0,0,'Données projet'!$E$11+1,1))-AVERAGE(OFFSET($H$3,0,0,'Données projet'!$E$11+1,1))</f>
        <v>319.01020001288975</v>
      </c>
      <c r="BJ136" s="62">
        <f t="shared" si="146"/>
        <v>312.22190035638084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48.815120787903126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48.815120787903126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6.1186256061773749E-14</v>
      </c>
      <c r="CA136" s="14">
        <f t="shared" si="147"/>
        <v>9.7328366192051127E-13</v>
      </c>
      <c r="CB136" s="22">
        <f t="shared" si="118"/>
        <v>1.8017017738191463E-12</v>
      </c>
      <c r="CC136" s="62">
        <f t="shared" si="119"/>
        <v>284.39223168033521</v>
      </c>
      <c r="CD136" s="62">
        <f ca="1">AVERAGE(OFFSET($CC$3,0,0,'Données projet'!$E$12+1,1))-AVERAGE(OFFSET($H$3,0,0,'Données projet'!$E$12+1,1))</f>
        <v>405.06394904053946</v>
      </c>
      <c r="CE136" s="62">
        <f t="shared" si="148"/>
        <v>393.75247087518198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52.55241777130211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52.55241777130211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5.7</v>
      </c>
      <c r="CT136" s="13">
        <f>IF('Données projet'!$A$140&gt;35,CT135+CS136-DB135,IF(A136&lt;'Données projet'!$A$140,$CQ$205^A136,IF(A136='Données projet'!$A$140,'Données projet'!$B$140,CT135+CS136-DB135)))</f>
        <v>286.5</v>
      </c>
      <c r="CU136" s="18">
        <f>CT136*VLOOKUP('Données projet'!$B$13,Paramètres!$A$1:$I$89,3,0)*VLOOKUP('Données projet'!$B$13,Paramètres!$A$1:$I$89,5,0)</f>
        <v>290.51100000000002</v>
      </c>
      <c r="CV136" s="14">
        <f t="shared" si="149"/>
        <v>69.183498800884109</v>
      </c>
      <c r="CW136" s="22">
        <f t="shared" si="121"/>
        <v>626.46791874487326</v>
      </c>
      <c r="CX136" s="62">
        <f t="shared" si="122"/>
        <v>910.86015042520671</v>
      </c>
      <c r="CY136" s="62">
        <f ca="1">AVERAGE(OFFSET($CX$3,0,0,'Données projet'!$E$13+1,1))-AVERAGE(OFFSET($H$3,0,0,'Données projet'!$E$13+1,1))</f>
        <v>474.46836359712393</v>
      </c>
      <c r="CZ136" s="62">
        <f t="shared" si="150"/>
        <v>221.28699636637722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33.618468806784577</v>
      </c>
      <c r="DG136" s="23">
        <f>EXP(-LN(2)/25)*DG135+(1-EXP(-LN(2)/25))/(LN(2)/25)*Calculateur!DB136*Calculateur!DD136*VLOOKUP('Données projet'!$B$13,Paramètres!$A$1:$I$89,3,0)*0.475*44/12</f>
        <v>22.056958874997385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55.675427681781962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4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5.7</v>
      </c>
      <c r="N137" s="14">
        <f>IF('Données projet'!$A$36&gt;35,N136+M137-V136,IF(A137&lt;'Données projet'!$A$36,$K$205^A137,IF(A137='Données projet'!$A$36,'Données projet'!$B$36,N136+M137-V136)))</f>
        <v>292.2</v>
      </c>
      <c r="O137" s="14">
        <f>N137*VLOOKUP('Données projet'!$B$9,Paramètres!$A$1:$I$89,3,0)*VLOOKUP('Données projet'!$B$9,Paramètres!$A$1:$I$89,5,0)</f>
        <v>264.38255999999996</v>
      </c>
      <c r="P137" s="14">
        <f t="shared" si="141"/>
        <v>63.655651889666466</v>
      </c>
      <c r="Q137" s="22">
        <f t="shared" si="108"/>
        <v>571.33321904116895</v>
      </c>
      <c r="R137" s="62">
        <f t="shared" si="109"/>
        <v>855.88055884587322</v>
      </c>
      <c r="S137" s="62">
        <f ca="1">AVERAGE(OFFSET($R$3,0,0,'Données projet'!$E$9+1,1))-AVERAGE(OFFSET($H$3,0,0,'Données projet'!$E$9+1,1))</f>
        <v>432.80275651765203</v>
      </c>
      <c r="T137" s="62">
        <f t="shared" si="142"/>
        <v>203.89279893419919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29.409775477631346</v>
      </c>
      <c r="AA137" s="23">
        <f>EXP(-LN(2)/25)*AA136+(1-EXP(-LN(2)/25))/(LN(2)/25)*Calculateur!V137*Calculateur!X137*VLOOKUP('Données projet'!$B$9,Paramètres!$A$1:$I$89,3,0)*0.475*44/12</f>
        <v>19.143399848136308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48.553175325767654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3.813056537183002E-14</v>
      </c>
      <c r="AK137" s="14">
        <f t="shared" si="143"/>
        <v>6.4086286045526829E-13</v>
      </c>
      <c r="AL137" s="22">
        <f t="shared" si="112"/>
        <v>1.1825802166488628E-12</v>
      </c>
      <c r="AM137" s="62">
        <f t="shared" si="113"/>
        <v>284.54733980470547</v>
      </c>
      <c r="AN137" s="62">
        <f ca="1">AVERAGE(OFFSET($AM$3,0,0,'Données projet'!$E$10+1,1))-AVERAGE(OFFSET($H$3,0,0,'Données projet'!$E$10+1,1))</f>
        <v>273.21861937609918</v>
      </c>
      <c r="AO137" s="62">
        <f t="shared" si="144"/>
        <v>268.83004886965318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39.574790382154838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39.574790382154838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4.6111381379887463E-14</v>
      </c>
      <c r="BF137" s="14">
        <f t="shared" si="145"/>
        <v>7.5804141040779151E-13</v>
      </c>
      <c r="BG137" s="22">
        <f t="shared" si="115"/>
        <v>1.4005661123635408E-12</v>
      </c>
      <c r="BH137" s="62">
        <f t="shared" si="116"/>
        <v>284.5473398047057</v>
      </c>
      <c r="BI137" s="62">
        <f ca="1">AVERAGE(OFFSET($BH$3,0,0,'Données projet'!$E$11+1,1))-AVERAGE(OFFSET($H$3,0,0,'Données projet'!$E$11+1,1))</f>
        <v>319.01020001288975</v>
      </c>
      <c r="BJ137" s="62">
        <f t="shared" si="146"/>
        <v>312.22190035638084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47.857886043536062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47.857886043536062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6.1186256061773749E-14</v>
      </c>
      <c r="CA137" s="14">
        <f t="shared" si="147"/>
        <v>9.7328366192051127E-13</v>
      </c>
      <c r="CB137" s="22">
        <f t="shared" si="118"/>
        <v>1.8017017738191463E-12</v>
      </c>
      <c r="CC137" s="62">
        <f t="shared" si="119"/>
        <v>284.5473398047061</v>
      </c>
      <c r="CD137" s="62">
        <f ca="1">AVERAGE(OFFSET($CC$3,0,0,'Données projet'!$E$12+1,1))-AVERAGE(OFFSET($H$3,0,0,'Données projet'!$E$12+1,1))</f>
        <v>405.06394904053946</v>
      </c>
      <c r="CE137" s="62">
        <f t="shared" si="148"/>
        <v>393.75247087518198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51.521896912616668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51.521896912616668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5.7</v>
      </c>
      <c r="CT137" s="13">
        <f>IF('Données projet'!$A$140&gt;35,CT136+CS137-DB136,IF(A137&lt;'Données projet'!$A$140,$CQ$205^A137,IF(A137='Données projet'!$A$140,'Données projet'!$B$140,CT136+CS137-DB136)))</f>
        <v>292.2</v>
      </c>
      <c r="CU137" s="18">
        <f>CT137*VLOOKUP('Données projet'!$B$13,Paramètres!$A$1:$I$89,3,0)*VLOOKUP('Données projet'!$B$13,Paramètres!$A$1:$I$89,5,0)</f>
        <v>296.29080000000005</v>
      </c>
      <c r="CV137" s="14">
        <f t="shared" si="149"/>
        <v>70.398310549770713</v>
      </c>
      <c r="CW137" s="22">
        <f t="shared" si="121"/>
        <v>638.65020087418407</v>
      </c>
      <c r="CX137" s="62">
        <f t="shared" si="122"/>
        <v>923.19754067888834</v>
      </c>
      <c r="CY137" s="62">
        <f ca="1">AVERAGE(OFFSET($CX$3,0,0,'Données projet'!$E$13+1,1))-AVERAGE(OFFSET($H$3,0,0,'Données projet'!$E$13+1,1))</f>
        <v>474.46836359712393</v>
      </c>
      <c r="CZ137" s="62">
        <f t="shared" si="150"/>
        <v>221.28699636637722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32.959231138724782</v>
      </c>
      <c r="DG137" s="23">
        <f>EXP(-LN(2)/25)*DG136+(1-EXP(-LN(2)/25))/(LN(2)/25)*Calculateur!DB137*Calculateur!DD137*VLOOKUP('Données projet'!$B$13,Paramètres!$A$1:$I$89,3,0)*0.475*44/12</f>
        <v>21.453810174635525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54.41304131336031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4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5.7</v>
      </c>
      <c r="N138" s="14">
        <f>IF('Données projet'!$A$36&gt;35,N137+M138-V137,IF(A138&lt;'Données projet'!$A$36,$K$205^A138,IF(A138='Données projet'!$A$36,'Données projet'!$B$36,N137+M138-V137)))</f>
        <v>297.89999999999998</v>
      </c>
      <c r="O138" s="14">
        <f>N138*VLOOKUP('Données projet'!$B$9,Paramètres!$A$1:$I$89,3,0)*VLOOKUP('Données projet'!$B$9,Paramètres!$A$1:$I$89,5,0)</f>
        <v>269.53992</v>
      </c>
      <c r="P138" s="14">
        <f t="shared" si="141"/>
        <v>64.751619010762369</v>
      </c>
      <c r="Q138" s="22">
        <f t="shared" si="108"/>
        <v>582.22443044374438</v>
      </c>
      <c r="R138" s="62">
        <f t="shared" si="109"/>
        <v>866.92418759363159</v>
      </c>
      <c r="S138" s="62">
        <f ca="1">AVERAGE(OFFSET($R$3,0,0,'Données projet'!$E$9+1,1))-AVERAGE(OFFSET($H$3,0,0,'Données projet'!$E$9+1,1))</f>
        <v>432.80275651765203</v>
      </c>
      <c r="T138" s="62">
        <f t="shared" si="142"/>
        <v>203.89279893419919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28.833067718706786</v>
      </c>
      <c r="AA138" s="23">
        <f>EXP(-LN(2)/25)*AA137+(1-EXP(-LN(2)/25))/(LN(2)/25)*Calculateur!V138*Calculateur!X138*VLOOKUP('Données projet'!$B$9,Paramètres!$A$1:$I$89,3,0)*0.475*44/12</f>
        <v>18.619922572581377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47.45299029128816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3.813056537183002E-14</v>
      </c>
      <c r="AK138" s="14">
        <f t="shared" si="143"/>
        <v>6.4086286045526829E-13</v>
      </c>
      <c r="AL138" s="22">
        <f t="shared" si="112"/>
        <v>1.1825802166488628E-12</v>
      </c>
      <c r="AM138" s="62">
        <f t="shared" si="113"/>
        <v>284.69975714988834</v>
      </c>
      <c r="AN138" s="62">
        <f ca="1">AVERAGE(OFFSET($AM$3,0,0,'Données projet'!$E$10+1,1))-AVERAGE(OFFSET($H$3,0,0,'Données projet'!$E$10+1,1))</f>
        <v>273.21861937609918</v>
      </c>
      <c r="AO138" s="62">
        <f t="shared" si="144"/>
        <v>268.83004886965318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38.798752880999459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38.798752880999459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4.6111381379887463E-14</v>
      </c>
      <c r="BF138" s="14">
        <f t="shared" si="145"/>
        <v>7.5804141040779151E-13</v>
      </c>
      <c r="BG138" s="22">
        <f t="shared" si="115"/>
        <v>1.4005661123635408E-12</v>
      </c>
      <c r="BH138" s="62">
        <f t="shared" si="116"/>
        <v>284.69975714988857</v>
      </c>
      <c r="BI138" s="62">
        <f ca="1">AVERAGE(OFFSET($BH$3,0,0,'Données projet'!$E$11+1,1))-AVERAGE(OFFSET($H$3,0,0,'Données projet'!$E$11+1,1))</f>
        <v>319.01020001288975</v>
      </c>
      <c r="BJ138" s="62">
        <f t="shared" si="146"/>
        <v>312.22190035638084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46.919422088650492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46.919422088650492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6.1186256061773749E-14</v>
      </c>
      <c r="CA138" s="14">
        <f t="shared" si="147"/>
        <v>9.7328366192051127E-13</v>
      </c>
      <c r="CB138" s="22">
        <f t="shared" si="118"/>
        <v>1.8017017738191463E-12</v>
      </c>
      <c r="CC138" s="62">
        <f t="shared" si="119"/>
        <v>284.69975714988897</v>
      </c>
      <c r="CD138" s="62">
        <f ca="1">AVERAGE(OFFSET($CC$3,0,0,'Données projet'!$E$12+1,1))-AVERAGE(OFFSET($H$3,0,0,'Données projet'!$E$12+1,1))</f>
        <v>405.06394904053946</v>
      </c>
      <c r="CE138" s="62">
        <f t="shared" si="148"/>
        <v>393.75247087518198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50.511583939414386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50.511583939414386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5.7</v>
      </c>
      <c r="CT138" s="13">
        <f>IF('Données projet'!$A$140&gt;35,CT137+CS138-DB137,IF(A138&lt;'Données projet'!$A$140,$CQ$205^A138,IF(A138='Données projet'!$A$140,'Données projet'!$B$140,CT137+CS138-DB137)))</f>
        <v>297.89999999999998</v>
      </c>
      <c r="CU138" s="18">
        <f>CT138*VLOOKUP('Données projet'!$B$13,Paramètres!$A$1:$I$89,3,0)*VLOOKUP('Données projet'!$B$13,Paramètres!$A$1:$I$89,5,0)</f>
        <v>302.07060000000001</v>
      </c>
      <c r="CV138" s="14">
        <f t="shared" si="149"/>
        <v>71.61036684725353</v>
      </c>
      <c r="CW138" s="22">
        <f t="shared" si="121"/>
        <v>650.82768392563321</v>
      </c>
      <c r="CX138" s="62">
        <f t="shared" si="122"/>
        <v>935.5274410755203</v>
      </c>
      <c r="CY138" s="62">
        <f ca="1">AVERAGE(OFFSET($CX$3,0,0,'Données projet'!$E$13+1,1))-AVERAGE(OFFSET($H$3,0,0,'Données projet'!$E$13+1,1))</f>
        <v>474.46836359712393</v>
      </c>
      <c r="CZ138" s="62">
        <f t="shared" si="150"/>
        <v>221.28699636637722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32.31292071924036</v>
      </c>
      <c r="DG138" s="23">
        <f>EXP(-LN(2)/25)*DG137+(1-EXP(-LN(2)/25))/(LN(2)/25)*Calculateur!DB138*Calculateur!DD138*VLOOKUP('Données projet'!$B$13,Paramètres!$A$1:$I$89,3,0)*0.475*44/12</f>
        <v>20.867154607203272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53.180075326443628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4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5.7</v>
      </c>
      <c r="N139" s="14">
        <f>IF('Données projet'!$A$36&gt;35,N138+M139-V138,IF(A139&lt;'Données projet'!$A$36,$K$205^A139,IF(A139='Données projet'!$A$36,'Données projet'!$B$36,N138+M139-V138)))</f>
        <v>303.59999999999997</v>
      </c>
      <c r="O139" s="14">
        <f>N139*VLOOKUP('Données projet'!$B$9,Paramètres!$A$1:$I$89,3,0)*VLOOKUP('Données projet'!$B$9,Paramètres!$A$1:$I$89,5,0)</f>
        <v>274.69727999999998</v>
      </c>
      <c r="P139" s="14">
        <f t="shared" si="141"/>
        <v>65.845147763387502</v>
      </c>
      <c r="Q139" s="22">
        <f t="shared" si="108"/>
        <v>593.11139502123308</v>
      </c>
      <c r="R139" s="62">
        <f t="shared" si="109"/>
        <v>877.96092541611824</v>
      </c>
      <c r="S139" s="62">
        <f ca="1">AVERAGE(OFFSET($R$3,0,0,'Données projet'!$E$9+1,1))-AVERAGE(OFFSET($H$3,0,0,'Données projet'!$E$9+1,1))</f>
        <v>432.80275651765203</v>
      </c>
      <c r="T139" s="62">
        <f t="shared" si="142"/>
        <v>203.89279893419919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28.267668847177738</v>
      </c>
      <c r="AA139" s="23">
        <f>EXP(-LN(2)/25)*AA138+(1-EXP(-LN(2)/25))/(LN(2)/25)*Calculateur!V139*Calculateur!X139*VLOOKUP('Données projet'!$B$9,Paramètres!$A$1:$I$89,3,0)*0.475*44/12</f>
        <v>18.110759810654969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46.378428657832707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3.813056537183002E-14</v>
      </c>
      <c r="AK139" s="14">
        <f t="shared" si="143"/>
        <v>6.4086286045526829E-13</v>
      </c>
      <c r="AL139" s="22">
        <f t="shared" si="112"/>
        <v>1.1825802166488628E-12</v>
      </c>
      <c r="AM139" s="62">
        <f t="shared" si="113"/>
        <v>284.84953039488641</v>
      </c>
      <c r="AN139" s="62">
        <f ca="1">AVERAGE(OFFSET($AM$3,0,0,'Données projet'!$E$10+1,1))-AVERAGE(OFFSET($H$3,0,0,'Données projet'!$E$10+1,1))</f>
        <v>273.21861937609918</v>
      </c>
      <c r="AO139" s="62">
        <f t="shared" si="144"/>
        <v>268.83004886965318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38.0379330019056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38.0379330019056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4.6111381379887463E-14</v>
      </c>
      <c r="BF139" s="14">
        <f t="shared" si="145"/>
        <v>7.5804141040779151E-13</v>
      </c>
      <c r="BG139" s="22">
        <f t="shared" si="115"/>
        <v>1.4005661123635408E-12</v>
      </c>
      <c r="BH139" s="62">
        <f t="shared" si="116"/>
        <v>284.84953039488664</v>
      </c>
      <c r="BI139" s="62">
        <f ca="1">AVERAGE(OFFSET($BH$3,0,0,'Données projet'!$E$11+1,1))-AVERAGE(OFFSET($H$3,0,0,'Données projet'!$E$11+1,1))</f>
        <v>319.01020001288975</v>
      </c>
      <c r="BJ139" s="62">
        <f t="shared" si="146"/>
        <v>312.22190035638084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45.999360839513734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45.999360839513734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6.1186256061773749E-14</v>
      </c>
      <c r="CA139" s="14">
        <f t="shared" si="147"/>
        <v>9.7328366192051127E-13</v>
      </c>
      <c r="CB139" s="22">
        <f t="shared" si="118"/>
        <v>1.8017017738191463E-12</v>
      </c>
      <c r="CC139" s="62">
        <f t="shared" si="119"/>
        <v>284.84953039488704</v>
      </c>
      <c r="CD139" s="62">
        <f ca="1">AVERAGE(OFFSET($CC$3,0,0,'Données projet'!$E$12+1,1))-AVERAGE(OFFSET($H$3,0,0,'Données projet'!$E$12+1,1))</f>
        <v>405.06394904053946</v>
      </c>
      <c r="CE139" s="62">
        <f t="shared" si="148"/>
        <v>393.75247087518198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49.521082587386537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49.521082587386537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5.7</v>
      </c>
      <c r="CT139" s="13">
        <f>IF('Données projet'!$A$140&gt;35,CT138+CS139-DB138,IF(A139&lt;'Données projet'!$A$140,$CQ$205^A139,IF(A139='Données projet'!$A$140,'Données projet'!$B$140,CT138+CS139-DB138)))</f>
        <v>303.59999999999997</v>
      </c>
      <c r="CU139" s="18">
        <f>CT139*VLOOKUP('Données projet'!$B$13,Paramètres!$A$1:$I$89,3,0)*VLOOKUP('Données projet'!$B$13,Paramètres!$A$1:$I$89,5,0)</f>
        <v>307.85039999999998</v>
      </c>
      <c r="CV139" s="14">
        <f t="shared" si="149"/>
        <v>72.819726494623794</v>
      </c>
      <c r="CW139" s="22">
        <f t="shared" si="121"/>
        <v>663.00047031146971</v>
      </c>
      <c r="CX139" s="62">
        <f t="shared" si="122"/>
        <v>947.85000070635488</v>
      </c>
      <c r="CY139" s="62">
        <f ca="1">AVERAGE(OFFSET($CX$3,0,0,'Données projet'!$E$13+1,1))-AVERAGE(OFFSET($H$3,0,0,'Données projet'!$E$13+1,1))</f>
        <v>474.46836359712393</v>
      </c>
      <c r="CZ139" s="62">
        <f t="shared" si="150"/>
        <v>221.28699636637722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31.679284052871598</v>
      </c>
      <c r="DG139" s="23">
        <f>EXP(-LN(2)/25)*DG138+(1-EXP(-LN(2)/25))/(LN(2)/25)*Calculateur!DB139*Calculateur!DD139*VLOOKUP('Données projet'!$B$13,Paramètres!$A$1:$I$89,3,0)*0.475*44/12</f>
        <v>20.296541167113329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51.975825219984927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4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5.7</v>
      </c>
      <c r="N140" s="14">
        <f>IF('Données projet'!$A$36&gt;35,N139+M140-V139,IF(A140&lt;'Données projet'!$A$36,$K$205^A140,IF(A140='Données projet'!$A$36,'Données projet'!$B$36,N139+M140-V139)))</f>
        <v>309.29999999999995</v>
      </c>
      <c r="O140" s="14">
        <f>N140*VLOOKUP('Données projet'!$B$9,Paramètres!$A$1:$I$89,3,0)*VLOOKUP('Données projet'!$B$9,Paramètres!$A$1:$I$89,5,0)</f>
        <v>279.8546399999999</v>
      </c>
      <c r="P140" s="14">
        <f t="shared" si="141"/>
        <v>66.936289206183446</v>
      </c>
      <c r="Q140" s="22">
        <f t="shared" si="108"/>
        <v>603.99420170076939</v>
      </c>
      <c r="R140" s="62">
        <f t="shared" si="109"/>
        <v>888.99090710969472</v>
      </c>
      <c r="S140" s="62">
        <f ca="1">AVERAGE(OFFSET($R$3,0,0,'Données projet'!$E$9+1,1))-AVERAGE(OFFSET($H$3,0,0,'Données projet'!$E$9+1,1))</f>
        <v>432.80275651765203</v>
      </c>
      <c r="T140" s="62">
        <f t="shared" si="142"/>
        <v>203.89279893419919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27.713357102660115</v>
      </c>
      <c r="AA140" s="23">
        <f>EXP(-LN(2)/25)*AA139+(1-EXP(-LN(2)/25))/(LN(2)/25)*Calculateur!V140*Calculateur!X140*VLOOKUP('Données projet'!$B$9,Paramètres!$A$1:$I$89,3,0)*0.475*44/12</f>
        <v>17.615520131229143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45.328877233889258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3.813056537183002E-14</v>
      </c>
      <c r="AK140" s="14">
        <f t="shared" si="143"/>
        <v>6.4086286045526829E-13</v>
      </c>
      <c r="AL140" s="22">
        <f t="shared" si="112"/>
        <v>1.1825802166488628E-12</v>
      </c>
      <c r="AM140" s="62">
        <f t="shared" si="113"/>
        <v>284.99670540892657</v>
      </c>
      <c r="AN140" s="62">
        <f ca="1">AVERAGE(OFFSET($AM$3,0,0,'Données projet'!$E$10+1,1))-AVERAGE(OFFSET($H$3,0,0,'Données projet'!$E$10+1,1))</f>
        <v>273.21861937609918</v>
      </c>
      <c r="AO140" s="62">
        <f t="shared" si="144"/>
        <v>268.83004886965318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37.292032336586466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37.292032336586466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4.6111381379887463E-14</v>
      </c>
      <c r="BF140" s="14">
        <f t="shared" si="145"/>
        <v>7.5804141040779151E-13</v>
      </c>
      <c r="BG140" s="22">
        <f t="shared" si="115"/>
        <v>1.4005661123635408E-12</v>
      </c>
      <c r="BH140" s="62">
        <f t="shared" si="116"/>
        <v>284.9967054089268</v>
      </c>
      <c r="BI140" s="62">
        <f ca="1">AVERAGE(OFFSET($BH$3,0,0,'Données projet'!$E$11+1,1))-AVERAGE(OFFSET($H$3,0,0,'Données projet'!$E$11+1,1))</f>
        <v>319.01020001288975</v>
      </c>
      <c r="BJ140" s="62">
        <f t="shared" si="146"/>
        <v>312.22190035638084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45.097341430290598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45.097341430290598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6.1186256061773749E-14</v>
      </c>
      <c r="CA140" s="14">
        <f t="shared" si="147"/>
        <v>9.7328366192051127E-13</v>
      </c>
      <c r="CB140" s="22">
        <f t="shared" si="118"/>
        <v>1.8017017738191463E-12</v>
      </c>
      <c r="CC140" s="62">
        <f t="shared" si="119"/>
        <v>284.9967054089272</v>
      </c>
      <c r="CD140" s="62">
        <f ca="1">AVERAGE(OFFSET($CC$3,0,0,'Données projet'!$E$12+1,1))-AVERAGE(OFFSET($H$3,0,0,'Données projet'!$E$12+1,1))</f>
        <v>405.06394904053946</v>
      </c>
      <c r="CE140" s="62">
        <f t="shared" si="148"/>
        <v>393.75247087518198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48.55000436272578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48.55000436272578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5.7</v>
      </c>
      <c r="CT140" s="13">
        <f>IF('Données projet'!$A$140&gt;35,CT139+CS140-DB139,IF(A140&lt;'Données projet'!$A$140,$CQ$205^A140,IF(A140='Données projet'!$A$140,'Données projet'!$B$140,CT139+CS140-DB139)))</f>
        <v>309.29999999999995</v>
      </c>
      <c r="CU140" s="18">
        <f>CT140*VLOOKUP('Données projet'!$B$13,Paramètres!$A$1:$I$89,3,0)*VLOOKUP('Données projet'!$B$13,Paramètres!$A$1:$I$89,5,0)</f>
        <v>313.6302</v>
      </c>
      <c r="CV140" s="14">
        <f t="shared" si="149"/>
        <v>74.026445958856385</v>
      </c>
      <c r="CW140" s="22">
        <f t="shared" si="121"/>
        <v>675.16865837834155</v>
      </c>
      <c r="CX140" s="62">
        <f t="shared" si="122"/>
        <v>960.16536378726687</v>
      </c>
      <c r="CY140" s="62">
        <f ca="1">AVERAGE(OFFSET($CX$3,0,0,'Données projet'!$E$13+1,1))-AVERAGE(OFFSET($H$3,0,0,'Données projet'!$E$13+1,1))</f>
        <v>474.46836359712393</v>
      </c>
      <c r="CZ140" s="62">
        <f t="shared" si="150"/>
        <v>221.28699636637722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31.058072615050126</v>
      </c>
      <c r="DG140" s="23">
        <f>EXP(-LN(2)/25)*DG139+(1-EXP(-LN(2)/25))/(LN(2)/25)*Calculateur!DB140*Calculateur!DD140*VLOOKUP('Données projet'!$B$13,Paramètres!$A$1:$I$89,3,0)*0.475*44/12</f>
        <v>19.741531181549902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50.799603796600024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4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>
        <f>VLOOKUP(A141,'Données projet'!$A$35:$I$55,2,0)</f>
        <v>315</v>
      </c>
      <c r="L141" s="13">
        <f>VLOOKUP(A141,'Données projet'!$A$35:$I$55,9,0)</f>
        <v>5.7</v>
      </c>
      <c r="M141" s="13">
        <f t="array" ref="M141">INDEX(L:L,MIN(IF(ISNUMBER(L141:L337),ROW(L141:L337),"")))</f>
        <v>5.7</v>
      </c>
      <c r="N141" s="14">
        <f>IF('Données projet'!$A$36&gt;35,N140+M141-V140,IF(A141&lt;'Données projet'!$A$36,$K$205^A141,IF(A141='Données projet'!$A$36,'Données projet'!$B$36,N140+M141-V140)))</f>
        <v>314.99999999999994</v>
      </c>
      <c r="O141" s="14">
        <f>N141*VLOOKUP('Données projet'!$B$9,Paramètres!$A$1:$I$89,3,0)*VLOOKUP('Données projet'!$B$9,Paramètres!$A$1:$I$89,5,0)</f>
        <v>285.01199999999994</v>
      </c>
      <c r="P141" s="14">
        <f t="shared" si="141"/>
        <v>68.025092408173109</v>
      </c>
      <c r="Q141" s="22">
        <f t="shared" si="108"/>
        <v>614.87293594423477</v>
      </c>
      <c r="R141" s="62">
        <f t="shared" si="109"/>
        <v>900.01426320974065</v>
      </c>
      <c r="S141" s="62">
        <f ca="1">AVERAGE(OFFSET($R$3,0,0,'Données projet'!$E$9+1,1))-AVERAGE(OFFSET($H$3,0,0,'Données projet'!$E$9+1,1))</f>
        <v>432.80275651765203</v>
      </c>
      <c r="T141" s="62">
        <f t="shared" si="142"/>
        <v>203.89279893419919</v>
      </c>
      <c r="U141" s="16">
        <f>IF(ISNA(VLOOKUP(A141,'Données projet'!$A$35:$I$55,3,0)),0,VLOOKUP(A141,'Données projet'!$A$35:$I$55,3,0))</f>
        <v>10</v>
      </c>
      <c r="V141" s="16">
        <f>IF(ISNA(VLOOKUP(A141,'Données projet'!$A$35:$I$55,4,0)),0,VLOOKUP(A141,'Données projet'!$A$35:$I$55,4,0))</f>
        <v>39</v>
      </c>
      <c r="W141" s="17">
        <f>IF(ISNA(VLOOKUP(A141,'Données projet'!$A$35:$I$55,5,0)),0%,VLOOKUP(A141,'Données projet'!$A$35:$I$55,5,0)*VLOOKUP('Données projet'!$B$9,Paramètres!$A$1:$I$89,7,0))</f>
        <v>0.215</v>
      </c>
      <c r="X141" s="17">
        <f>IF(ISNA(VLOOKUP(A141,'Données projet'!$A$35:$I$55,6,0)),0%,VLOOKUP(A141,'Données projet'!$A$35:$I$55,6,0)*VLOOKUP('Données projet'!$B$9,Paramètres!$A$1:$I$89,7,0))</f>
        <v>0.17200000000000001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35.556840264336557</v>
      </c>
      <c r="AA141" s="23">
        <f>EXP(-LN(2)/25)*AA140+(1-EXP(-LN(2)/25))/(LN(2)/25)*Calculateur!V141*Calculateur!X141*VLOOKUP('Données projet'!$B$9,Paramètres!$A$1:$I$89,3,0)*0.475*44/12</f>
        <v>23.81694494354868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59.373785207885234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3.813056537183002E-14</v>
      </c>
      <c r="AK141" s="14">
        <f t="shared" si="143"/>
        <v>6.4086286045526829E-13</v>
      </c>
      <c r="AL141" s="22">
        <f t="shared" si="112"/>
        <v>1.1825802166488628E-12</v>
      </c>
      <c r="AM141" s="62">
        <f t="shared" si="113"/>
        <v>285.14132726550713</v>
      </c>
      <c r="AN141" s="62">
        <f ca="1">AVERAGE(OFFSET($AM$3,0,0,'Données projet'!$E$10+1,1))-AVERAGE(OFFSET($H$3,0,0,'Données projet'!$E$10+1,1))</f>
        <v>273.21861937609918</v>
      </c>
      <c r="AO141" s="62">
        <f t="shared" si="144"/>
        <v>268.83004886965318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36.560758328359761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36.560758328359761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4.6111381379887463E-14</v>
      </c>
      <c r="BF141" s="14">
        <f t="shared" si="145"/>
        <v>7.5804141040779151E-13</v>
      </c>
      <c r="BG141" s="22">
        <f t="shared" si="115"/>
        <v>1.4005661123635408E-12</v>
      </c>
      <c r="BH141" s="62">
        <f t="shared" si="116"/>
        <v>285.14132726550736</v>
      </c>
      <c r="BI141" s="62">
        <f ca="1">AVERAGE(OFFSET($BH$3,0,0,'Données projet'!$E$11+1,1))-AVERAGE(OFFSET($H$3,0,0,'Données projet'!$E$11+1,1))</f>
        <v>319.01020001288975</v>
      </c>
      <c r="BJ141" s="62">
        <f t="shared" si="146"/>
        <v>312.22190035638084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44.213010071504812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44.213010071504812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6.1186256061773749E-14</v>
      </c>
      <c r="CA141" s="14">
        <f t="shared" si="147"/>
        <v>9.7328366192051127E-13</v>
      </c>
      <c r="CB141" s="22">
        <f t="shared" si="118"/>
        <v>1.8017017738191463E-12</v>
      </c>
      <c r="CC141" s="62">
        <f t="shared" si="119"/>
        <v>285.14132726550775</v>
      </c>
      <c r="CD141" s="62">
        <f ca="1">AVERAGE(OFFSET($CC$3,0,0,'Données projet'!$E$12+1,1))-AVERAGE(OFFSET($H$3,0,0,'Données projet'!$E$12+1,1))</f>
        <v>405.06394904053946</v>
      </c>
      <c r="CE141" s="62">
        <f t="shared" si="148"/>
        <v>393.75247087518198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47.597968389751387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47.597968389751387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>
        <f>VLOOKUP(A141,'Données projet'!$A$139:$I$159,2,0)</f>
        <v>315</v>
      </c>
      <c r="CR141" s="13">
        <f>VLOOKUP(A141,'Données projet'!$A$139:$I$159,9,0)</f>
        <v>5.7</v>
      </c>
      <c r="CS141" s="13">
        <f t="array" ref="CS141">INDEX(CR:CR,MIN(IF(ISNUMBER(CR141:CR337),ROW(CR141:CR337),"")))</f>
        <v>5.7</v>
      </c>
      <c r="CT141" s="13">
        <f>IF('Données projet'!$A$140&gt;35,CT140+CS141-DB140,IF(A141&lt;'Données projet'!$A$140,$CQ$205^A141,IF(A141='Données projet'!$A$140,'Données projet'!$B$140,CT140+CS141-DB140)))</f>
        <v>314.99999999999994</v>
      </c>
      <c r="CU141" s="18">
        <f>CT141*VLOOKUP('Données projet'!$B$13,Paramètres!$A$1:$I$89,3,0)*VLOOKUP('Données projet'!$B$13,Paramètres!$A$1:$I$89,5,0)</f>
        <v>319.40999999999997</v>
      </c>
      <c r="CV141" s="14">
        <f t="shared" si="149"/>
        <v>75.230579506559337</v>
      </c>
      <c r="CW141" s="22">
        <f t="shared" si="121"/>
        <v>687.33234264059081</v>
      </c>
      <c r="CX141" s="62">
        <f t="shared" si="122"/>
        <v>972.4736699060968</v>
      </c>
      <c r="CY141" s="62">
        <f ca="1">AVERAGE(OFFSET($CX$3,0,0,'Données projet'!$E$13+1,1))-AVERAGE(OFFSET($H$3,0,0,'Données projet'!$E$13+1,1))</f>
        <v>474.46836359712393</v>
      </c>
      <c r="CZ141" s="62">
        <f t="shared" si="150"/>
        <v>221.28699636637722</v>
      </c>
      <c r="DA141" s="16">
        <f>IF(ISNA(VLOOKUP(A141,'Données projet'!$A$139:$I$159,3,0)),0,VLOOKUP(A141,'Données projet'!$A$139:$I$159,3,0))</f>
        <v>10</v>
      </c>
      <c r="DB141" s="16">
        <f>IF(ISNA(VLOOKUP(A141,'Données projet'!$A$139:$I$159,4,0)),0,VLOOKUP(A141,'Données projet'!$A$139:$I$159,4,0))</f>
        <v>39</v>
      </c>
      <c r="DC141" s="17">
        <f>IF(ISNA(VLOOKUP(A141,'Données projet'!$A$139:$I$159,5,0)),0%,VLOOKUP(A141,'Données projet'!$A$139:$I$159,5,0)*VLOOKUP('Données projet'!$B$13,Paramètres!$A$1:$I$89,7,0))</f>
        <v>0.215</v>
      </c>
      <c r="DD141" s="17">
        <f>IF(ISNA(VLOOKUP(A141,'Données projet'!$A$139:$I$159,6,0)),0%,VLOOKUP(A141,'Données projet'!$A$139:$I$159,6,0)*VLOOKUP('Données projet'!$B$13,Paramètres!$A$1:$I$89,7,0))</f>
        <v>0.17200000000000001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39.848183054859923</v>
      </c>
      <c r="DG141" s="23">
        <f>EXP(-LN(2)/25)*DG140+(1-EXP(-LN(2)/25))/(LN(2)/25)*Calculateur!DB141*Calculateur!DD141*VLOOKUP('Données projet'!$B$13,Paramètres!$A$1:$I$89,3,0)*0.475*44/12</f>
        <v>26.691403816045938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66.539586870905865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4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5.8</v>
      </c>
      <c r="N142" s="14">
        <f>IF('Données projet'!$A$36&gt;35,N141+M142-V141,IF(A142&lt;'Données projet'!$A$36,$K$205^A142,IF(A142='Données projet'!$A$36,'Données projet'!$B$36,N141+M142-V141)))</f>
        <v>281.79999999999995</v>
      </c>
      <c r="O142" s="14">
        <f>N142*VLOOKUP('Données projet'!$B$9,Paramètres!$A$1:$I$89,3,0)*VLOOKUP('Données projet'!$B$9,Paramètres!$A$1:$I$89,5,0)</f>
        <v>254.97263999999996</v>
      </c>
      <c r="P142" s="14">
        <f t="shared" si="141"/>
        <v>61.649533232533919</v>
      </c>
      <c r="Q142" s="22">
        <f t="shared" si="108"/>
        <v>551.45028504666311</v>
      </c>
      <c r="R142" s="62">
        <f t="shared" si="109"/>
        <v>836.73372530286406</v>
      </c>
      <c r="S142" s="62">
        <f ca="1">AVERAGE(OFFSET($R$3,0,0,'Données projet'!$E$9+1,1))-AVERAGE(OFFSET($H$3,0,0,'Données projet'!$E$9+1,1))</f>
        <v>432.80275651765203</v>
      </c>
      <c r="T142" s="62">
        <f t="shared" si="142"/>
        <v>203.89279893419919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34.859592314284015</v>
      </c>
      <c r="AA142" s="23">
        <f>EXP(-LN(2)/25)*AA141+(1-EXP(-LN(2)/25))/(LN(2)/25)*Calculateur!V142*Calculateur!X142*VLOOKUP('Données projet'!$B$9,Paramètres!$A$1:$I$89,3,0)*0.475*44/12</f>
        <v>23.165669331588642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58.025261645872661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3.813056537183002E-14</v>
      </c>
      <c r="AK142" s="14">
        <f t="shared" si="143"/>
        <v>6.4086286045526829E-13</v>
      </c>
      <c r="AL142" s="22">
        <f t="shared" si="112"/>
        <v>1.1825802166488628E-12</v>
      </c>
      <c r="AM142" s="62">
        <f t="shared" si="113"/>
        <v>285.28344025620208</v>
      </c>
      <c r="AN142" s="62">
        <f ca="1">AVERAGE(OFFSET($AM$3,0,0,'Données projet'!$E$10+1,1))-AVERAGE(OFFSET($H$3,0,0,'Données projet'!$E$10+1,1))</f>
        <v>273.21861937609918</v>
      </c>
      <c r="AO142" s="62">
        <f t="shared" si="144"/>
        <v>268.83004886965318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35.843824157401279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35.843824157401279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4.6111381379887463E-14</v>
      </c>
      <c r="BF142" s="14">
        <f t="shared" si="145"/>
        <v>7.5804141040779151E-13</v>
      </c>
      <c r="BG142" s="22">
        <f t="shared" si="115"/>
        <v>1.4005661123635408E-12</v>
      </c>
      <c r="BH142" s="62">
        <f t="shared" si="116"/>
        <v>285.28344025620231</v>
      </c>
      <c r="BI142" s="62">
        <f ca="1">AVERAGE(OFFSET($BH$3,0,0,'Données projet'!$E$11+1,1))-AVERAGE(OFFSET($H$3,0,0,'Données projet'!$E$11+1,1))</f>
        <v>319.01020001288975</v>
      </c>
      <c r="BJ142" s="62">
        <f t="shared" si="146"/>
        <v>312.22190035638084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43.346019911275945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43.346019911275945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6.1186256061773749E-14</v>
      </c>
      <c r="CA142" s="14">
        <f t="shared" si="147"/>
        <v>9.7328366192051127E-13</v>
      </c>
      <c r="CB142" s="22">
        <f t="shared" si="118"/>
        <v>1.8017017738191463E-12</v>
      </c>
      <c r="CC142" s="62">
        <f t="shared" si="119"/>
        <v>285.28344025620271</v>
      </c>
      <c r="CD142" s="62">
        <f ca="1">AVERAGE(OFFSET($CC$3,0,0,'Données projet'!$E$12+1,1))-AVERAGE(OFFSET($H$3,0,0,'Données projet'!$E$12+1,1))</f>
        <v>405.06394904053946</v>
      </c>
      <c r="CE142" s="62">
        <f t="shared" si="148"/>
        <v>393.75247087518198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46.664601261522421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46.664601261522421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5.8</v>
      </c>
      <c r="CT142" s="13">
        <f>IF('Données projet'!$A$140&gt;35,CT141+CS142-DB141,IF(A142&lt;'Données projet'!$A$140,$CQ$205^A142,IF(A142='Données projet'!$A$140,'Données projet'!$B$140,CT141+CS142-DB141)))</f>
        <v>281.79999999999995</v>
      </c>
      <c r="CU142" s="18">
        <f>CT142*VLOOKUP('Données projet'!$B$13,Paramètres!$A$1:$I$89,3,0)*VLOOKUP('Données projet'!$B$13,Paramètres!$A$1:$I$89,5,0)</f>
        <v>285.74520000000001</v>
      </c>
      <c r="CV142" s="14">
        <f t="shared" si="149"/>
        <v>68.179695862275295</v>
      </c>
      <c r="CW142" s="22">
        <f t="shared" si="121"/>
        <v>616.41919362679607</v>
      </c>
      <c r="CX142" s="62">
        <f t="shared" si="122"/>
        <v>901.70263388299691</v>
      </c>
      <c r="CY142" s="62">
        <f ca="1">AVERAGE(OFFSET($CX$3,0,0,'Données projet'!$E$13+1,1))-AVERAGE(OFFSET($H$3,0,0,'Données projet'!$E$13+1,1))</f>
        <v>474.46836359712393</v>
      </c>
      <c r="CZ142" s="62">
        <f t="shared" si="150"/>
        <v>221.28699636637722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39.066784490145864</v>
      </c>
      <c r="DG142" s="23">
        <f>EXP(-LN(2)/25)*DG141+(1-EXP(-LN(2)/25))/(LN(2)/25)*Calculateur!DB142*Calculateur!DD142*VLOOKUP('Données projet'!$B$13,Paramètres!$A$1:$I$89,3,0)*0.475*44/12</f>
        <v>25.96152597505624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65.028310465202111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4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5.8</v>
      </c>
      <c r="N143" s="14">
        <f>IF('Données projet'!$A$36&gt;35,N142+M143-V142,IF(A143&lt;'Données projet'!$A$36,$K$205^A143,IF(A143='Données projet'!$A$36,'Données projet'!$B$36,N142+M143-V142)))</f>
        <v>287.59999999999997</v>
      </c>
      <c r="O143" s="14">
        <f>N143*VLOOKUP('Données projet'!$B$9,Paramètres!$A$1:$I$89,3,0)*VLOOKUP('Données projet'!$B$9,Paramètres!$A$1:$I$89,5,0)</f>
        <v>260.22047999999995</v>
      </c>
      <c r="P143" s="14">
        <f t="shared" si="141"/>
        <v>62.769373063603602</v>
      </c>
      <c r="Q143" s="22">
        <f t="shared" si="108"/>
        <v>562.54066075244293</v>
      </c>
      <c r="R143" s="62">
        <f t="shared" si="109"/>
        <v>847.96374865666735</v>
      </c>
      <c r="S143" s="62">
        <f ca="1">AVERAGE(OFFSET($R$3,0,0,'Données projet'!$E$9+1,1))-AVERAGE(OFFSET($H$3,0,0,'Données projet'!$E$9+1,1))</f>
        <v>432.80275651765203</v>
      </c>
      <c r="T143" s="62">
        <f t="shared" si="142"/>
        <v>203.89279893419919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34.176016971252743</v>
      </c>
      <c r="AA143" s="23">
        <f>EXP(-LN(2)/25)*AA142+(1-EXP(-LN(2)/25))/(LN(2)/25)*Calculateur!V143*Calculateur!X143*VLOOKUP('Données projet'!$B$9,Paramètres!$A$1:$I$89,3,0)*0.475*44/12</f>
        <v>22.532202885486747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56.70821985673949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3.813056537183002E-14</v>
      </c>
      <c r="AK143" s="14">
        <f t="shared" si="143"/>
        <v>6.4086286045526829E-13</v>
      </c>
      <c r="AL143" s="22">
        <f t="shared" si="112"/>
        <v>1.1825802166488628E-12</v>
      </c>
      <c r="AM143" s="62">
        <f t="shared" si="113"/>
        <v>285.42308790422555</v>
      </c>
      <c r="AN143" s="62">
        <f ca="1">AVERAGE(OFFSET($AM$3,0,0,'Données projet'!$E$10+1,1))-AVERAGE(OFFSET($H$3,0,0,'Données projet'!$E$10+1,1))</f>
        <v>273.21861937609918</v>
      </c>
      <c r="AO143" s="62">
        <f t="shared" si="144"/>
        <v>268.83004886965318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35.140948628248623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35.140948628248623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4.6111381379887463E-14</v>
      </c>
      <c r="BF143" s="14">
        <f t="shared" si="145"/>
        <v>7.5804141040779151E-13</v>
      </c>
      <c r="BG143" s="22">
        <f t="shared" si="115"/>
        <v>1.4005661123635408E-12</v>
      </c>
      <c r="BH143" s="62">
        <f t="shared" si="116"/>
        <v>285.42308790422578</v>
      </c>
      <c r="BI143" s="62">
        <f ca="1">AVERAGE(OFFSET($BH$3,0,0,'Données projet'!$E$11+1,1))-AVERAGE(OFFSET($H$3,0,0,'Données projet'!$E$11+1,1))</f>
        <v>319.01020001288975</v>
      </c>
      <c r="BJ143" s="62">
        <f t="shared" si="146"/>
        <v>312.22190035638084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42.496030899277386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42.496030899277386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6.1186256061773749E-14</v>
      </c>
      <c r="CA143" s="14">
        <f t="shared" si="147"/>
        <v>9.7328366192051127E-13</v>
      </c>
      <c r="CB143" s="22">
        <f t="shared" si="118"/>
        <v>1.8017017738191463E-12</v>
      </c>
      <c r="CC143" s="62">
        <f t="shared" si="119"/>
        <v>285.42308790422618</v>
      </c>
      <c r="CD143" s="62">
        <f ca="1">AVERAGE(OFFSET($CC$3,0,0,'Données projet'!$E$12+1,1))-AVERAGE(OFFSET($H$3,0,0,'Données projet'!$E$12+1,1))</f>
        <v>405.06394904053946</v>
      </c>
      <c r="CE143" s="62">
        <f t="shared" si="148"/>
        <v>393.75247087518198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45.749536893380288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45.749536893380288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5.8</v>
      </c>
      <c r="CT143" s="13">
        <f>IF('Données projet'!$A$140&gt;35,CT142+CS143-DB142,IF(A143&lt;'Données projet'!$A$140,$CQ$205^A143,IF(A143='Données projet'!$A$140,'Données projet'!$B$140,CT142+CS143-DB142)))</f>
        <v>287.59999999999997</v>
      </c>
      <c r="CU143" s="18">
        <f>CT143*VLOOKUP('Données projet'!$B$13,Paramètres!$A$1:$I$89,3,0)*VLOOKUP('Données projet'!$B$13,Paramètres!$A$1:$I$89,5,0)</f>
        <v>291.62639999999999</v>
      </c>
      <c r="CV143" s="14">
        <f t="shared" si="149"/>
        <v>69.418153561684136</v>
      </c>
      <c r="CW143" s="22">
        <f t="shared" si="121"/>
        <v>628.81926411993311</v>
      </c>
      <c r="CX143" s="62">
        <f t="shared" si="122"/>
        <v>914.24235202415753</v>
      </c>
      <c r="CY143" s="62">
        <f ca="1">AVERAGE(OFFSET($CX$3,0,0,'Données projet'!$E$13+1,1))-AVERAGE(OFFSET($H$3,0,0,'Données projet'!$E$13+1,1))</f>
        <v>474.46836359712393</v>
      </c>
      <c r="CZ143" s="62">
        <f t="shared" si="150"/>
        <v>221.28699636637722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38.300708674679782</v>
      </c>
      <c r="DG143" s="23">
        <f>EXP(-LN(2)/25)*DG142+(1-EXP(-LN(2)/25))/(LN(2)/25)*Calculateur!DB143*Calculateur!DD143*VLOOKUP('Données projet'!$B$13,Paramètres!$A$1:$I$89,3,0)*0.475*44/12</f>
        <v>25.251606682011012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63.552315356690798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4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5.8</v>
      </c>
      <c r="N144" s="14">
        <f>IF('Données projet'!$A$36&gt;35,N143+M144-V143,IF(A144&lt;'Données projet'!$A$36,$K$205^A144,IF(A144='Données projet'!$A$36,'Données projet'!$B$36,N143+M144-V143)))</f>
        <v>293.39999999999998</v>
      </c>
      <c r="O144" s="14">
        <f>N144*VLOOKUP('Données projet'!$B$9,Paramètres!$A$1:$I$89,3,0)*VLOOKUP('Données projet'!$B$9,Paramètres!$A$1:$I$89,5,0)</f>
        <v>265.46831999999995</v>
      </c>
      <c r="P144" s="14">
        <f t="shared" si="141"/>
        <v>63.886587047268755</v>
      </c>
      <c r="Q144" s="22">
        <f t="shared" si="108"/>
        <v>573.62646310732623</v>
      </c>
      <c r="R144" s="62">
        <f t="shared" si="109"/>
        <v>859.18677608508619</v>
      </c>
      <c r="S144" s="62">
        <f ca="1">AVERAGE(OFFSET($R$3,0,0,'Données projet'!$E$9+1,1))-AVERAGE(OFFSET($H$3,0,0,'Données projet'!$E$9+1,1))</f>
        <v>432.80275651765203</v>
      </c>
      <c r="T144" s="62">
        <f t="shared" si="142"/>
        <v>203.89279893419919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33.505846123758523</v>
      </c>
      <c r="AA144" s="23">
        <f>EXP(-LN(2)/25)*AA143+(1-EXP(-LN(2)/25))/(LN(2)/25)*Calculateur!V144*Calculateur!X144*VLOOKUP('Données projet'!$B$9,Paramètres!$A$1:$I$89,3,0)*0.475*44/12</f>
        <v>21.91605861266606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55.42190473642458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3.813056537183002E-14</v>
      </c>
      <c r="AK144" s="14">
        <f t="shared" si="143"/>
        <v>6.4086286045526829E-13</v>
      </c>
      <c r="AL144" s="22">
        <f t="shared" si="112"/>
        <v>1.1825802166488628E-12</v>
      </c>
      <c r="AM144" s="62">
        <f t="shared" si="113"/>
        <v>285.56031297776121</v>
      </c>
      <c r="AN144" s="62">
        <f ca="1">AVERAGE(OFFSET($AM$3,0,0,'Données projet'!$E$10+1,1))-AVERAGE(OFFSET($H$3,0,0,'Données projet'!$E$10+1,1))</f>
        <v>273.21861937609918</v>
      </c>
      <c r="AO144" s="62">
        <f t="shared" si="144"/>
        <v>268.83004886965318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34.451856059510909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34.451856059510909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4.6111381379887463E-14</v>
      </c>
      <c r="BF144" s="14">
        <f t="shared" si="145"/>
        <v>7.5804141040779151E-13</v>
      </c>
      <c r="BG144" s="22">
        <f t="shared" si="115"/>
        <v>1.4005661123635408E-12</v>
      </c>
      <c r="BH144" s="62">
        <f t="shared" si="116"/>
        <v>285.56031297776144</v>
      </c>
      <c r="BI144" s="62">
        <f ca="1">AVERAGE(OFFSET($BH$3,0,0,'Données projet'!$E$11+1,1))-AVERAGE(OFFSET($H$3,0,0,'Données projet'!$E$11+1,1))</f>
        <v>319.01020001288975</v>
      </c>
      <c r="BJ144" s="62">
        <f t="shared" si="146"/>
        <v>312.22190035638084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41.662709653362015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41.662709653362015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6.1186256061773749E-14</v>
      </c>
      <c r="CA144" s="14">
        <f t="shared" si="147"/>
        <v>9.7328366192051127E-13</v>
      </c>
      <c r="CB144" s="22">
        <f t="shared" si="118"/>
        <v>1.8017017738191463E-12</v>
      </c>
      <c r="CC144" s="62">
        <f t="shared" si="119"/>
        <v>285.56031297776184</v>
      </c>
      <c r="CD144" s="62">
        <f ca="1">AVERAGE(OFFSET($CC$3,0,0,'Données projet'!$E$12+1,1))-AVERAGE(OFFSET($H$3,0,0,'Données projet'!$E$12+1,1))</f>
        <v>405.06394904053946</v>
      </c>
      <c r="CE144" s="62">
        <f t="shared" si="148"/>
        <v>393.75247087518198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44.85241637936327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44.85241637936327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5.8</v>
      </c>
      <c r="CT144" s="13">
        <f>IF('Données projet'!$A$140&gt;35,CT143+CS144-DB143,IF(A144&lt;'Données projet'!$A$140,$CQ$205^A144,IF(A144='Données projet'!$A$140,'Données projet'!$B$140,CT143+CS144-DB143)))</f>
        <v>293.39999999999998</v>
      </c>
      <c r="CU144" s="18">
        <f>CT144*VLOOKUP('Données projet'!$B$13,Paramètres!$A$1:$I$89,3,0)*VLOOKUP('Données projet'!$B$13,Paramètres!$A$1:$I$89,5,0)</f>
        <v>297.50759999999997</v>
      </c>
      <c r="CV144" s="14">
        <f t="shared" si="149"/>
        <v>70.653707273535787</v>
      </c>
      <c r="CW144" s="22">
        <f t="shared" si="121"/>
        <v>641.21427683474133</v>
      </c>
      <c r="CX144" s="62">
        <f t="shared" si="122"/>
        <v>926.77458981250129</v>
      </c>
      <c r="CY144" s="62">
        <f ca="1">AVERAGE(OFFSET($CX$3,0,0,'Données projet'!$E$13+1,1))-AVERAGE(OFFSET($H$3,0,0,'Données projet'!$E$13+1,1))</f>
        <v>474.46836359712393</v>
      </c>
      <c r="CZ144" s="62">
        <f t="shared" si="150"/>
        <v>221.28699636637722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37.549655138694881</v>
      </c>
      <c r="DG144" s="23">
        <f>EXP(-LN(2)/25)*DG143+(1-EXP(-LN(2)/25))/(LN(2)/25)*Calculateur!DB144*Calculateur!DD144*VLOOKUP('Données projet'!$B$13,Paramètres!$A$1:$I$89,3,0)*0.475*44/12</f>
        <v>24.561100169367137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62.110755308062018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4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5.8</v>
      </c>
      <c r="N145" s="14">
        <f>IF('Données projet'!$A$36&gt;35,N144+M145-V144,IF(A145&lt;'Données projet'!$A$36,$K$205^A145,IF(A145='Données projet'!$A$36,'Données projet'!$B$36,N144+M145-V144)))</f>
        <v>299.2</v>
      </c>
      <c r="O145" s="14">
        <f>N145*VLOOKUP('Données projet'!$B$9,Paramètres!$A$1:$I$89,3,0)*VLOOKUP('Données projet'!$B$9,Paramètres!$A$1:$I$89,5,0)</f>
        <v>270.71615999999995</v>
      </c>
      <c r="P145" s="14">
        <f t="shared" si="141"/>
        <v>65.001233075018177</v>
      </c>
      <c r="Q145" s="22">
        <f t="shared" si="108"/>
        <v>584.70779293898988</v>
      </c>
      <c r="R145" s="62">
        <f t="shared" si="109"/>
        <v>870.4029504420489</v>
      </c>
      <c r="S145" s="62">
        <f ca="1">AVERAGE(OFFSET($R$3,0,0,'Données projet'!$E$9+1,1))-AVERAGE(OFFSET($H$3,0,0,'Données projet'!$E$9+1,1))</f>
        <v>432.80275651765203</v>
      </c>
      <c r="T145" s="62">
        <f t="shared" si="142"/>
        <v>203.89279893419919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32.848816917819811</v>
      </c>
      <c r="AA145" s="23">
        <f>EXP(-LN(2)/25)*AA144+(1-EXP(-LN(2)/25))/(LN(2)/25)*Calculateur!V145*Calculateur!X145*VLOOKUP('Données projet'!$B$9,Paramètres!$A$1:$I$89,3,0)*0.475*44/12</f>
        <v>21.316762837387273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54.165579755207084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3.813056537183002E-14</v>
      </c>
      <c r="AK145" s="14">
        <f t="shared" si="143"/>
        <v>6.4086286045526829E-13</v>
      </c>
      <c r="AL145" s="22">
        <f t="shared" si="112"/>
        <v>1.1825802166488628E-12</v>
      </c>
      <c r="AM145" s="62">
        <f t="shared" si="113"/>
        <v>285.69515750306027</v>
      </c>
      <c r="AN145" s="62">
        <f ca="1">AVERAGE(OFFSET($AM$3,0,0,'Données projet'!$E$10+1,1))-AVERAGE(OFFSET($H$3,0,0,'Données projet'!$E$10+1,1))</f>
        <v>273.21861937609918</v>
      </c>
      <c r="AO145" s="62">
        <f t="shared" si="144"/>
        <v>268.83004886965318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33.776276175741181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33.776276175741181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4.6111381379887463E-14</v>
      </c>
      <c r="BF145" s="14">
        <f t="shared" si="145"/>
        <v>7.5804141040779151E-13</v>
      </c>
      <c r="BG145" s="22">
        <f t="shared" si="115"/>
        <v>1.4005661123635408E-12</v>
      </c>
      <c r="BH145" s="62">
        <f t="shared" si="116"/>
        <v>285.6951575030605</v>
      </c>
      <c r="BI145" s="62">
        <f ca="1">AVERAGE(OFFSET($BH$3,0,0,'Données projet'!$E$11+1,1))-AVERAGE(OFFSET($H$3,0,0,'Données projet'!$E$11+1,1))</f>
        <v>319.01020001288975</v>
      </c>
      <c r="BJ145" s="62">
        <f t="shared" si="146"/>
        <v>312.22190035638084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40.845729328803273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40.845729328803273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6.1186256061773749E-14</v>
      </c>
      <c r="CA145" s="14">
        <f t="shared" si="147"/>
        <v>9.7328366192051127E-13</v>
      </c>
      <c r="CB145" s="22">
        <f t="shared" si="118"/>
        <v>1.8017017738191463E-12</v>
      </c>
      <c r="CC145" s="62">
        <f t="shared" si="119"/>
        <v>285.6951575030609</v>
      </c>
      <c r="CD145" s="62">
        <f ca="1">AVERAGE(OFFSET($CC$3,0,0,'Données projet'!$E$12+1,1))-AVERAGE(OFFSET($H$3,0,0,'Données projet'!$E$12+1,1))</f>
        <v>405.06394904053946</v>
      </c>
      <c r="CE145" s="62">
        <f t="shared" si="148"/>
        <v>393.75247087518198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43.972887851436639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43.972887851436639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5.8</v>
      </c>
      <c r="CT145" s="13">
        <f>IF('Données projet'!$A$140&gt;35,CT144+CS145-DB144,IF(A145&lt;'Données projet'!$A$140,$CQ$205^A145,IF(A145='Données projet'!$A$140,'Données projet'!$B$140,CT144+CS145-DB144)))</f>
        <v>299.2</v>
      </c>
      <c r="CU145" s="18">
        <f>CT145*VLOOKUP('Données projet'!$B$13,Paramètres!$A$1:$I$89,3,0)*VLOOKUP('Données projet'!$B$13,Paramètres!$A$1:$I$89,5,0)</f>
        <v>303.3888</v>
      </c>
      <c r="CV145" s="14">
        <f t="shared" si="149"/>
        <v>71.886421021414407</v>
      </c>
      <c r="CW145" s="22">
        <f t="shared" si="121"/>
        <v>653.60434327896337</v>
      </c>
      <c r="CX145" s="62">
        <f t="shared" si="122"/>
        <v>939.29950078202251</v>
      </c>
      <c r="CY145" s="62">
        <f ca="1">AVERAGE(OFFSET($CX$3,0,0,'Données projet'!$E$13+1,1))-AVERAGE(OFFSET($H$3,0,0,'Données projet'!$E$13+1,1))</f>
        <v>474.46836359712393</v>
      </c>
      <c r="CZ145" s="62">
        <f t="shared" si="150"/>
        <v>221.28699636637722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36.813329304453219</v>
      </c>
      <c r="DG145" s="23">
        <f>EXP(-LN(2)/25)*DG144+(1-EXP(-LN(2)/25))/(LN(2)/25)*Calculateur!DB145*Calculateur!DD145*VLOOKUP('Données projet'!$B$13,Paramètres!$A$1:$I$89,3,0)*0.475*44/12</f>
        <v>23.889475593623668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60.702804898076892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4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5.8</v>
      </c>
      <c r="N146" s="14">
        <f>IF('Données projet'!$A$36&gt;35,N145+M146-V145,IF(A146&lt;'Données projet'!$A$36,$K$205^A146,IF(A146='Données projet'!$A$36,'Données projet'!$B$36,N145+M146-V145)))</f>
        <v>305</v>
      </c>
      <c r="O146" s="14">
        <f>N146*VLOOKUP('Données projet'!$B$9,Paramètres!$A$1:$I$89,3,0)*VLOOKUP('Données projet'!$B$9,Paramètres!$A$1:$I$89,5,0)</f>
        <v>275.964</v>
      </c>
      <c r="P146" s="14">
        <f t="shared" si="141"/>
        <v>66.113366665488911</v>
      </c>
      <c r="Q146" s="22">
        <f t="shared" si="108"/>
        <v>595.7847469423931</v>
      </c>
      <c r="R146" s="62">
        <f t="shared" si="109"/>
        <v>881.6124097197046</v>
      </c>
      <c r="S146" s="62">
        <f ca="1">AVERAGE(OFFSET($R$3,0,0,'Données projet'!$E$9+1,1))-AVERAGE(OFFSET($H$3,0,0,'Données projet'!$E$9+1,1))</f>
        <v>432.80275651765203</v>
      </c>
      <c r="T146" s="62">
        <f t="shared" si="142"/>
        <v>203.89279893419919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32.204671653861311</v>
      </c>
      <c r="AA146" s="23">
        <f>EXP(-LN(2)/25)*AA145+(1-EXP(-LN(2)/25))/(LN(2)/25)*Calculateur!V146*Calculateur!X146*VLOOKUP('Données projet'!$B$9,Paramètres!$A$1:$I$89,3,0)*0.475*44/12</f>
        <v>20.733854836599079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52.93852649046039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3.813056537183002E-14</v>
      </c>
      <c r="AK146" s="14">
        <f t="shared" si="143"/>
        <v>6.4086286045526829E-13</v>
      </c>
      <c r="AL146" s="22">
        <f t="shared" si="112"/>
        <v>1.1825802166488628E-12</v>
      </c>
      <c r="AM146" s="62">
        <f t="shared" si="113"/>
        <v>285.82766277731264</v>
      </c>
      <c r="AN146" s="62">
        <f ca="1">AVERAGE(OFFSET($AM$3,0,0,'Données projet'!$E$10+1,1))-AVERAGE(OFFSET($H$3,0,0,'Données projet'!$E$10+1,1))</f>
        <v>273.21861937609918</v>
      </c>
      <c r="AO146" s="62">
        <f t="shared" si="144"/>
        <v>268.83004886965318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33.113944001429132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33.113944001429132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4.6111381379887463E-14</v>
      </c>
      <c r="BF146" s="14">
        <f t="shared" si="145"/>
        <v>7.5804141040779151E-13</v>
      </c>
      <c r="BG146" s="22">
        <f t="shared" si="115"/>
        <v>1.4005661123635408E-12</v>
      </c>
      <c r="BH146" s="62">
        <f t="shared" si="116"/>
        <v>285.82766277731287</v>
      </c>
      <c r="BI146" s="62">
        <f ca="1">AVERAGE(OFFSET($BH$3,0,0,'Données projet'!$E$11+1,1))-AVERAGE(OFFSET($H$3,0,0,'Données projet'!$E$11+1,1))</f>
        <v>319.01020001288975</v>
      </c>
      <c r="BJ146" s="62">
        <f t="shared" si="146"/>
        <v>312.22190035638084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40.044769490100336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40.044769490100336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6.1186256061773749E-14</v>
      </c>
      <c r="CA146" s="14">
        <f t="shared" si="147"/>
        <v>9.7328366192051127E-13</v>
      </c>
      <c r="CB146" s="22">
        <f t="shared" si="118"/>
        <v>1.8017017738191463E-12</v>
      </c>
      <c r="CC146" s="62">
        <f t="shared" si="119"/>
        <v>285.82766277731326</v>
      </c>
      <c r="CD146" s="62">
        <f ca="1">AVERAGE(OFFSET($CC$3,0,0,'Données projet'!$E$12+1,1))-AVERAGE(OFFSET($H$3,0,0,'Données projet'!$E$12+1,1))</f>
        <v>405.06394904053946</v>
      </c>
      <c r="CE146" s="62">
        <f t="shared" si="148"/>
        <v>393.75247087518198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43.110606341483219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43.110606341483219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5.8</v>
      </c>
      <c r="CT146" s="13">
        <f>IF('Données projet'!$A$140&gt;35,CT145+CS146-DB145,IF(A146&lt;'Données projet'!$A$140,$CQ$205^A146,IF(A146='Données projet'!$A$140,'Données projet'!$B$140,CT145+CS146-DB145)))</f>
        <v>305</v>
      </c>
      <c r="CU146" s="18">
        <f>CT146*VLOOKUP('Données projet'!$B$13,Paramètres!$A$1:$I$89,3,0)*VLOOKUP('Données projet'!$B$13,Paramètres!$A$1:$I$89,5,0)</f>
        <v>309.27000000000004</v>
      </c>
      <c r="CV146" s="14">
        <f t="shared" si="149"/>
        <v>73.116356204711096</v>
      </c>
      <c r="CW146" s="22">
        <f t="shared" si="121"/>
        <v>665.9895703898718</v>
      </c>
      <c r="CX146" s="62">
        <f t="shared" si="122"/>
        <v>951.8172331671833</v>
      </c>
      <c r="CY146" s="62">
        <f ca="1">AVERAGE(OFFSET($CX$3,0,0,'Données projet'!$E$13+1,1))-AVERAGE(OFFSET($H$3,0,0,'Données projet'!$E$13+1,1))</f>
        <v>474.46836359712393</v>
      </c>
      <c r="CZ146" s="62">
        <f t="shared" si="150"/>
        <v>221.28699636637722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36.091442370706631</v>
      </c>
      <c r="DG146" s="23">
        <f>EXP(-LN(2)/25)*DG145+(1-EXP(-LN(2)/25))/(LN(2)/25)*Calculateur!DB146*Calculateur!DD146*VLOOKUP('Données projet'!$B$13,Paramètres!$A$1:$I$89,3,0)*0.475*44/12</f>
        <v>23.236216627223108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59.327658997929738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4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5.8</v>
      </c>
      <c r="N147" s="14">
        <f>IF('Données projet'!$A$36&gt;35,N146+M147-V146,IF(A147&lt;'Données projet'!$A$36,$K$205^A147,IF(A147='Données projet'!$A$36,'Données projet'!$B$36,N146+M147-V146)))</f>
        <v>310.8</v>
      </c>
      <c r="O147" s="14">
        <f>N147*VLOOKUP('Données projet'!$B$9,Paramètres!$A$1:$I$89,3,0)*VLOOKUP('Données projet'!$B$9,Paramètres!$A$1:$I$89,5,0)</f>
        <v>281.21184</v>
      </c>
      <c r="P147" s="14">
        <f t="shared" si="141"/>
        <v>67.22304110496664</v>
      </c>
      <c r="Q147" s="22">
        <f t="shared" si="108"/>
        <v>606.85741792448357</v>
      </c>
      <c r="R147" s="62">
        <f t="shared" si="109"/>
        <v>892.81528730577645</v>
      </c>
      <c r="S147" s="62">
        <f ca="1">AVERAGE(OFFSET($R$3,0,0,'Données projet'!$E$9+1,1))-AVERAGE(OFFSET($H$3,0,0,'Données projet'!$E$9+1,1))</f>
        <v>432.80275651765203</v>
      </c>
      <c r="T147" s="62">
        <f t="shared" si="142"/>
        <v>203.89279893419919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31.573157685639224</v>
      </c>
      <c r="AA147" s="23">
        <f>EXP(-LN(2)/25)*AA146+(1-EXP(-LN(2)/25))/(LN(2)/25)*Calculateur!V147*Calculateur!X147*VLOOKUP('Données projet'!$B$9,Paramètres!$A$1:$I$89,3,0)*0.475*44/12</f>
        <v>20.16688648574624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51.740044171385463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3.813056537183002E-14</v>
      </c>
      <c r="AK147" s="14">
        <f t="shared" si="143"/>
        <v>6.4086286045526829E-13</v>
      </c>
      <c r="AL147" s="22">
        <f t="shared" si="112"/>
        <v>1.1825802166488628E-12</v>
      </c>
      <c r="AM147" s="62">
        <f t="shared" si="113"/>
        <v>285.95786938129407</v>
      </c>
      <c r="AN147" s="62">
        <f ca="1">AVERAGE(OFFSET($AM$3,0,0,'Données projet'!$E$10+1,1))-AVERAGE(OFFSET($H$3,0,0,'Données projet'!$E$10+1,1))</f>
        <v>273.21861937609918</v>
      </c>
      <c r="AO147" s="62">
        <f t="shared" si="144"/>
        <v>268.83004886965318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32.464599757072612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32.464599757072612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4.6111381379887463E-14</v>
      </c>
      <c r="BF147" s="14">
        <f t="shared" si="145"/>
        <v>7.5804141040779151E-13</v>
      </c>
      <c r="BG147" s="22">
        <f t="shared" si="115"/>
        <v>1.4005661123635408E-12</v>
      </c>
      <c r="BH147" s="62">
        <f t="shared" si="116"/>
        <v>285.9578693812943</v>
      </c>
      <c r="BI147" s="62">
        <f ca="1">AVERAGE(OFFSET($BH$3,0,0,'Données projet'!$E$11+1,1))-AVERAGE(OFFSET($H$3,0,0,'Données projet'!$E$11+1,1))</f>
        <v>319.01020001288975</v>
      </c>
      <c r="BJ147" s="62">
        <f t="shared" si="146"/>
        <v>312.22190035638084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39.259515985297099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39.259515985297099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6.1186256061773749E-14</v>
      </c>
      <c r="CA147" s="14">
        <f t="shared" si="147"/>
        <v>9.7328366192051127E-13</v>
      </c>
      <c r="CB147" s="22">
        <f t="shared" si="118"/>
        <v>1.8017017738191463E-12</v>
      </c>
      <c r="CC147" s="62">
        <f t="shared" si="119"/>
        <v>285.9578693812947</v>
      </c>
      <c r="CD147" s="62">
        <f ca="1">AVERAGE(OFFSET($CC$3,0,0,'Données projet'!$E$12+1,1))-AVERAGE(OFFSET($H$3,0,0,'Données projet'!$E$12+1,1))</f>
        <v>405.06394904053946</v>
      </c>
      <c r="CE147" s="62">
        <f t="shared" si="148"/>
        <v>393.75247087518198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42.265233646000198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42.265233646000198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5.8</v>
      </c>
      <c r="CT147" s="13">
        <f>IF('Données projet'!$A$140&gt;35,CT146+CS147-DB146,IF(A147&lt;'Données projet'!$A$140,$CQ$205^A147,IF(A147='Données projet'!$A$140,'Données projet'!$B$140,CT146+CS147-DB146)))</f>
        <v>310.8</v>
      </c>
      <c r="CU147" s="18">
        <f>CT147*VLOOKUP('Données projet'!$B$13,Paramètres!$A$1:$I$89,3,0)*VLOOKUP('Données projet'!$B$13,Paramètres!$A$1:$I$89,5,0)</f>
        <v>315.15120000000002</v>
      </c>
      <c r="CV147" s="14">
        <f t="shared" si="149"/>
        <v>74.343571754005879</v>
      </c>
      <c r="CW147" s="22">
        <f t="shared" si="121"/>
        <v>678.37006080489357</v>
      </c>
      <c r="CX147" s="62">
        <f t="shared" si="122"/>
        <v>964.32793018618645</v>
      </c>
      <c r="CY147" s="62">
        <f ca="1">AVERAGE(OFFSET($CX$3,0,0,'Données projet'!$E$13+1,1))-AVERAGE(OFFSET($H$3,0,0,'Données projet'!$E$13+1,1))</f>
        <v>474.46836359712393</v>
      </c>
      <c r="CZ147" s="62">
        <f t="shared" si="150"/>
        <v>221.28699636637722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35.38371119942326</v>
      </c>
      <c r="DG147" s="23">
        <f>EXP(-LN(2)/25)*DG146+(1-EXP(-LN(2)/25))/(LN(2)/25)*Calculateur!DB147*Calculateur!DD147*VLOOKUP('Données projet'!$B$13,Paramètres!$A$1:$I$89,3,0)*0.475*44/12</f>
        <v>22.600821061612166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57.984532261035426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4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5.8</v>
      </c>
      <c r="N148" s="14">
        <f>IF('Données projet'!$A$36&gt;35,N147+M148-V147,IF(A148&lt;'Données projet'!$A$36,$K$205^A148,IF(A148='Données projet'!$A$36,'Données projet'!$B$36,N147+M148-V147)))</f>
        <v>316.60000000000002</v>
      </c>
      <c r="O148" s="14">
        <f>N148*VLOOKUP('Données projet'!$B$9,Paramètres!$A$1:$I$89,3,0)*VLOOKUP('Données projet'!$B$9,Paramètres!$A$1:$I$89,5,0)</f>
        <v>286.45968000000005</v>
      </c>
      <c r="P148" s="14">
        <f t="shared" si="141"/>
        <v>68.330307577101138</v>
      </c>
      <c r="Q148" s="22">
        <f t="shared" si="108"/>
        <v>617.92589503011789</v>
      </c>
      <c r="R148" s="62">
        <f t="shared" si="109"/>
        <v>904.01171222191147</v>
      </c>
      <c r="S148" s="62">
        <f ca="1">AVERAGE(OFFSET($R$3,0,0,'Données projet'!$E$9+1,1))-AVERAGE(OFFSET($H$3,0,0,'Données projet'!$E$9+1,1))</f>
        <v>432.80275651765203</v>
      </c>
      <c r="T148" s="62">
        <f t="shared" si="142"/>
        <v>203.89279893419919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30.954027321148484</v>
      </c>
      <c r="AA148" s="23">
        <f>EXP(-LN(2)/25)*AA147+(1-EXP(-LN(2)/25))/(LN(2)/25)*Calculateur!V148*Calculateur!X148*VLOOKUP('Données projet'!$B$9,Paramètres!$A$1:$I$89,3,0)*0.475*44/12</f>
        <v>19.615421914263042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50.569449235411525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3.813056537183002E-14</v>
      </c>
      <c r="AK148" s="14">
        <f t="shared" si="143"/>
        <v>6.4086286045526829E-13</v>
      </c>
      <c r="AL148" s="22">
        <f t="shared" si="112"/>
        <v>1.1825802166488628E-12</v>
      </c>
      <c r="AM148" s="62">
        <f t="shared" si="113"/>
        <v>286.08581719179477</v>
      </c>
      <c r="AN148" s="62">
        <f ca="1">AVERAGE(OFFSET($AM$3,0,0,'Données projet'!$E$10+1,1))-AVERAGE(OFFSET($H$3,0,0,'Données projet'!$E$10+1,1))</f>
        <v>273.21861937609918</v>
      </c>
      <c r="AO148" s="62">
        <f t="shared" si="144"/>
        <v>268.83004886965318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31.827988757287038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31.827988757287038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4.6111381379887463E-14</v>
      </c>
      <c r="BF148" s="14">
        <f t="shared" si="145"/>
        <v>7.5804141040779151E-13</v>
      </c>
      <c r="BG148" s="22">
        <f t="shared" si="115"/>
        <v>1.4005661123635408E-12</v>
      </c>
      <c r="BH148" s="62">
        <f t="shared" si="116"/>
        <v>286.085817191795</v>
      </c>
      <c r="BI148" s="62">
        <f ca="1">AVERAGE(OFFSET($BH$3,0,0,'Données projet'!$E$11+1,1))-AVERAGE(OFFSET($H$3,0,0,'Données projet'!$E$11+1,1))</f>
        <v>319.01020001288975</v>
      </c>
      <c r="BJ148" s="62">
        <f t="shared" si="146"/>
        <v>312.22190035638084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38.489660822765707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38.489660822765707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6.1186256061773749E-14</v>
      </c>
      <c r="CA148" s="14">
        <f t="shared" si="147"/>
        <v>9.7328366192051127E-13</v>
      </c>
      <c r="CB148" s="22">
        <f t="shared" si="118"/>
        <v>1.8017017738191463E-12</v>
      </c>
      <c r="CC148" s="62">
        <f t="shared" si="119"/>
        <v>286.0858171917954</v>
      </c>
      <c r="CD148" s="62">
        <f ca="1">AVERAGE(OFFSET($CC$3,0,0,'Données projet'!$E$12+1,1))-AVERAGE(OFFSET($H$3,0,0,'Données projet'!$E$12+1,1))</f>
        <v>405.06394904053946</v>
      </c>
      <c r="CE148" s="62">
        <f t="shared" si="148"/>
        <v>393.75247087518198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41.43643819344917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41.43643819344917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5.8</v>
      </c>
      <c r="CT148" s="13">
        <f>IF('Données projet'!$A$140&gt;35,CT147+CS148-DB147,IF(A148&lt;'Données projet'!$A$140,$CQ$205^A148,IF(A148='Données projet'!$A$140,'Données projet'!$B$140,CT147+CS148-DB147)))</f>
        <v>316.60000000000002</v>
      </c>
      <c r="CU148" s="18">
        <f>CT148*VLOOKUP('Données projet'!$B$13,Paramètres!$A$1:$I$89,3,0)*VLOOKUP('Données projet'!$B$13,Paramètres!$A$1:$I$89,5,0)</f>
        <v>321.03240000000005</v>
      </c>
      <c r="CV148" s="14">
        <f t="shared" si="149"/>
        <v>75.568124274523356</v>
      </c>
      <c r="CW148" s="22">
        <f t="shared" si="121"/>
        <v>690.74591311146162</v>
      </c>
      <c r="CX148" s="62">
        <f t="shared" si="122"/>
        <v>976.8317303032552</v>
      </c>
      <c r="CY148" s="62">
        <f ca="1">AVERAGE(OFFSET($CX$3,0,0,'Données projet'!$E$13+1,1))-AVERAGE(OFFSET($H$3,0,0,'Données projet'!$E$13+1,1))</f>
        <v>474.46836359712393</v>
      </c>
      <c r="CZ148" s="62">
        <f t="shared" si="150"/>
        <v>221.28699636637722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34.689858204735366</v>
      </c>
      <c r="DG148" s="23">
        <f>EXP(-LN(2)/25)*DG147+(1-EXP(-LN(2)/25))/(LN(2)/25)*Calculateur!DB148*Calculateur!DD148*VLOOKUP('Données projet'!$B$13,Paramètres!$A$1:$I$89,3,0)*0.475*44/12</f>
        <v>21.982800421156856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56.672658625892225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4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5.8</v>
      </c>
      <c r="N149" s="14">
        <f>IF('Données projet'!$A$36&gt;35,N148+M149-V148,IF(A149&lt;'Données projet'!$A$36,$K$205^A149,IF(A149='Données projet'!$A$36,'Données projet'!$B$36,N148+M149-V148)))</f>
        <v>322.40000000000003</v>
      </c>
      <c r="O149" s="14">
        <f>N149*VLOOKUP('Données projet'!$B$9,Paramètres!$A$1:$I$89,3,0)*VLOOKUP('Données projet'!$B$9,Paramètres!$A$1:$I$89,5,0)</f>
        <v>291.70752000000005</v>
      </c>
      <c r="P149" s="14">
        <f t="shared" si="141"/>
        <v>69.435215282847324</v>
      </c>
      <c r="Q149" s="22">
        <f t="shared" si="108"/>
        <v>628.99026395095905</v>
      </c>
      <c r="R149" s="62">
        <f t="shared" si="109"/>
        <v>915.20180934478969</v>
      </c>
      <c r="S149" s="62">
        <f ca="1">AVERAGE(OFFSET($R$3,0,0,'Données projet'!$E$9+1,1))-AVERAGE(OFFSET($H$3,0,0,'Données projet'!$E$9+1,1))</f>
        <v>432.80275651765203</v>
      </c>
      <c r="T149" s="62">
        <f t="shared" si="142"/>
        <v>203.89279893419919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30.347037725473175</v>
      </c>
      <c r="AA149" s="23">
        <f>EXP(-LN(2)/25)*AA148+(1-EXP(-LN(2)/25))/(LN(2)/25)*Calculateur!V149*Calculateur!X149*VLOOKUP('Données projet'!$B$9,Paramètres!$A$1:$I$89,3,0)*0.475*44/12</f>
        <v>19.079037170487311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49.426074895960483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3.813056537183002E-14</v>
      </c>
      <c r="AK149" s="14">
        <f t="shared" si="143"/>
        <v>6.4086286045526829E-13</v>
      </c>
      <c r="AL149" s="22">
        <f t="shared" si="112"/>
        <v>1.1825802166488628E-12</v>
      </c>
      <c r="AM149" s="62">
        <f t="shared" si="113"/>
        <v>286.21154539383184</v>
      </c>
      <c r="AN149" s="62">
        <f ca="1">AVERAGE(OFFSET($AM$3,0,0,'Données projet'!$E$10+1,1))-AVERAGE(OFFSET($H$3,0,0,'Données projet'!$E$10+1,1))</f>
        <v>273.21861937609918</v>
      </c>
      <c r="AO149" s="62">
        <f t="shared" si="144"/>
        <v>268.83004886965318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31.203861310912892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31.203861310912892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4.6111381379887463E-14</v>
      </c>
      <c r="BF149" s="14">
        <f t="shared" si="145"/>
        <v>7.5804141040779151E-13</v>
      </c>
      <c r="BG149" s="22">
        <f t="shared" si="115"/>
        <v>1.4005661123635408E-12</v>
      </c>
      <c r="BH149" s="62">
        <f t="shared" si="116"/>
        <v>286.21154539383207</v>
      </c>
      <c r="BI149" s="62">
        <f ca="1">AVERAGE(OFFSET($BH$3,0,0,'Données projet'!$E$11+1,1))-AVERAGE(OFFSET($H$3,0,0,'Données projet'!$E$11+1,1))</f>
        <v>319.01020001288975</v>
      </c>
      <c r="BJ149" s="62">
        <f t="shared" si="146"/>
        <v>312.22190035638084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37.734902050406276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37.734902050406276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6.1186256061773749E-14</v>
      </c>
      <c r="CA149" s="14">
        <f t="shared" si="147"/>
        <v>9.7328366192051127E-13</v>
      </c>
      <c r="CB149" s="22">
        <f t="shared" si="118"/>
        <v>1.8017017738191463E-12</v>
      </c>
      <c r="CC149" s="62">
        <f t="shared" si="119"/>
        <v>286.21154539383247</v>
      </c>
      <c r="CD149" s="62">
        <f ca="1">AVERAGE(OFFSET($CC$3,0,0,'Données projet'!$E$12+1,1))-AVERAGE(OFFSET($H$3,0,0,'Données projet'!$E$12+1,1))</f>
        <v>405.06394904053946</v>
      </c>
      <c r="CE149" s="62">
        <f t="shared" si="148"/>
        <v>393.75247087518198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40.623894914207355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40.623894914207355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5.8</v>
      </c>
      <c r="CT149" s="13">
        <f>IF('Données projet'!$A$140&gt;35,CT148+CS149-DB148,IF(A149&lt;'Données projet'!$A$140,$CQ$205^A149,IF(A149='Données projet'!$A$140,'Données projet'!$B$140,CT148+CS149-DB148)))</f>
        <v>322.40000000000003</v>
      </c>
      <c r="CU149" s="18">
        <f>CT149*VLOOKUP('Données projet'!$B$13,Paramètres!$A$1:$I$89,3,0)*VLOOKUP('Données projet'!$B$13,Paramètres!$A$1:$I$89,5,0)</f>
        <v>326.91360000000003</v>
      </c>
      <c r="CV149" s="14">
        <f t="shared" si="149"/>
        <v>76.790068178778327</v>
      </c>
      <c r="CW149" s="22">
        <f t="shared" si="121"/>
        <v>703.11722207803894</v>
      </c>
      <c r="CX149" s="62">
        <f t="shared" si="122"/>
        <v>989.32876747186958</v>
      </c>
      <c r="CY149" s="62">
        <f ca="1">AVERAGE(OFFSET($CX$3,0,0,'Données projet'!$E$13+1,1))-AVERAGE(OFFSET($H$3,0,0,'Données projet'!$E$13+1,1))</f>
        <v>474.46836359712393</v>
      </c>
      <c r="CZ149" s="62">
        <f t="shared" si="150"/>
        <v>221.28699636637722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34.009611244064757</v>
      </c>
      <c r="DG149" s="23">
        <f>EXP(-LN(2)/25)*DG148+(1-EXP(-LN(2)/25))/(LN(2)/25)*Calculateur!DB149*Calculateur!DD149*VLOOKUP('Données projet'!$B$13,Paramètres!$A$1:$I$89,3,0)*0.475*44/12</f>
        <v>21.381679587615089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55.391290831679846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4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5.8</v>
      </c>
      <c r="N150" s="14">
        <f>IF('Données projet'!$A$36&gt;35,N149+M150-V149,IF(A150&lt;'Données projet'!$A$36,$K$205^A150,IF(A150='Données projet'!$A$36,'Données projet'!$B$36,N149+M150-V149)))</f>
        <v>328.20000000000005</v>
      </c>
      <c r="O150" s="14">
        <f>N150*VLOOKUP('Données projet'!$B$9,Paramètres!$A$1:$I$89,3,0)*VLOOKUP('Données projet'!$B$9,Paramètres!$A$1:$I$89,5,0)</f>
        <v>296.95536000000004</v>
      </c>
      <c r="P150" s="14">
        <f t="shared" si="141"/>
        <v>70.537811551531092</v>
      </c>
      <c r="Q150" s="22">
        <f t="shared" si="108"/>
        <v>640.05060711891667</v>
      </c>
      <c r="R150" s="62">
        <f t="shared" si="109"/>
        <v>926.38569961156509</v>
      </c>
      <c r="S150" s="62">
        <f ca="1">AVERAGE(OFFSET($R$3,0,0,'Données projet'!$E$9+1,1))-AVERAGE(OFFSET($H$3,0,0,'Données projet'!$E$9+1,1))</f>
        <v>432.80275651765203</v>
      </c>
      <c r="T150" s="62">
        <f t="shared" si="142"/>
        <v>203.89279893419919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29.751950825541961</v>
      </c>
      <c r="AA150" s="23">
        <f>EXP(-LN(2)/25)*AA149+(1-EXP(-LN(2)/25))/(LN(2)/25)*Calculateur!V150*Calculateur!X150*VLOOKUP('Données projet'!$B$9,Paramètres!$A$1:$I$89,3,0)*0.475*44/12</f>
        <v>18.557319895737376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48.309270721279333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3.813056537183002E-14</v>
      </c>
      <c r="AK150" s="14">
        <f t="shared" si="143"/>
        <v>6.4086286045526829E-13</v>
      </c>
      <c r="AL150" s="22">
        <f t="shared" si="112"/>
        <v>1.1825802166488628E-12</v>
      </c>
      <c r="AM150" s="62">
        <f t="shared" si="113"/>
        <v>286.33509249264961</v>
      </c>
      <c r="AN150" s="62">
        <f ca="1">AVERAGE(OFFSET($AM$3,0,0,'Données projet'!$E$10+1,1))-AVERAGE(OFFSET($H$3,0,0,'Données projet'!$E$10+1,1))</f>
        <v>273.21861937609918</v>
      </c>
      <c r="AO150" s="62">
        <f t="shared" si="144"/>
        <v>268.83004886965318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30.59197262308199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30.59197262308199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4.6111381379887463E-14</v>
      </c>
      <c r="BF150" s="14">
        <f t="shared" si="145"/>
        <v>7.5804141040779151E-13</v>
      </c>
      <c r="BG150" s="22">
        <f t="shared" si="115"/>
        <v>1.4005661123635408E-12</v>
      </c>
      <c r="BH150" s="62">
        <f t="shared" si="116"/>
        <v>286.33509249264984</v>
      </c>
      <c r="BI150" s="62">
        <f ca="1">AVERAGE(OFFSET($BH$3,0,0,'Données projet'!$E$11+1,1))-AVERAGE(OFFSET($H$3,0,0,'Données projet'!$E$11+1,1))</f>
        <v>319.01020001288975</v>
      </c>
      <c r="BJ150" s="62">
        <f t="shared" si="146"/>
        <v>312.22190035638084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36.994943637215414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36.994943637215414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6.1186256061773749E-14</v>
      </c>
      <c r="CA150" s="14">
        <f t="shared" si="147"/>
        <v>9.7328366192051127E-13</v>
      </c>
      <c r="CB150" s="22">
        <f t="shared" si="118"/>
        <v>1.8017017738191463E-12</v>
      </c>
      <c r="CC150" s="62">
        <f t="shared" si="119"/>
        <v>286.33509249265023</v>
      </c>
      <c r="CD150" s="62">
        <f ca="1">AVERAGE(OFFSET($CC$3,0,0,'Données projet'!$E$12+1,1))-AVERAGE(OFFSET($H$3,0,0,'Données projet'!$E$12+1,1))</f>
        <v>405.06394904053946</v>
      </c>
      <c r="CE150" s="62">
        <f t="shared" si="148"/>
        <v>393.75247087518198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39.82728511306901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39.82728511306901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5.8</v>
      </c>
      <c r="CT150" s="13">
        <f>IF('Données projet'!$A$140&gt;35,CT149+CS150-DB149,IF(A150&lt;'Données projet'!$A$140,$CQ$205^A150,IF(A150='Données projet'!$A$140,'Données projet'!$B$140,CT149+CS150-DB149)))</f>
        <v>328.20000000000005</v>
      </c>
      <c r="CU150" s="18">
        <f>CT150*VLOOKUP('Données projet'!$B$13,Paramètres!$A$1:$I$89,3,0)*VLOOKUP('Données projet'!$B$13,Paramètres!$A$1:$I$89,5,0)</f>
        <v>332.79480000000007</v>
      </c>
      <c r="CV150" s="14">
        <f t="shared" si="149"/>
        <v>78.00945580940629</v>
      </c>
      <c r="CW150" s="22">
        <f t="shared" si="121"/>
        <v>715.48407886804944</v>
      </c>
      <c r="CX150" s="62">
        <f t="shared" si="122"/>
        <v>1001.8191713606979</v>
      </c>
      <c r="CY150" s="62">
        <f ca="1">AVERAGE(OFFSET($CX$3,0,0,'Données projet'!$E$13+1,1))-AVERAGE(OFFSET($H$3,0,0,'Données projet'!$E$13+1,1))</f>
        <v>474.46836359712393</v>
      </c>
      <c r="CZ150" s="62">
        <f t="shared" si="150"/>
        <v>221.28699636637722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33.342703511383228</v>
      </c>
      <c r="DG150" s="23">
        <f>EXP(-LN(2)/25)*DG149+(1-EXP(-LN(2)/25))/(LN(2)/25)*Calculateur!DB150*Calculateur!DD150*VLOOKUP('Données projet'!$B$13,Paramètres!$A$1:$I$89,3,0)*0.475*44/12</f>
        <v>20.796996434878093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54.139699946261317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4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>
        <f>VLOOKUP(A151,'Données projet'!$A$35:$I$55,2,0)</f>
        <v>334</v>
      </c>
      <c r="L151" s="13">
        <f>VLOOKUP(A151,'Données projet'!$A$35:$I$55,9,0)</f>
        <v>5.8</v>
      </c>
      <c r="M151" s="13">
        <f t="array" ref="M151">INDEX(L:L,MIN(IF(ISNUMBER(L151:L347),ROW(L151:L347),"")))</f>
        <v>5.8</v>
      </c>
      <c r="N151" s="14">
        <f>IF('Données projet'!$A$36&gt;35,N150+M151-V150,IF(A151&lt;'Données projet'!$A$36,$K$205^A151,IF(A151='Données projet'!$A$36,'Données projet'!$B$36,N150+M151-V150)))</f>
        <v>334.00000000000006</v>
      </c>
      <c r="O151" s="14">
        <f>N151*VLOOKUP('Données projet'!$B$9,Paramètres!$A$1:$I$89,3,0)*VLOOKUP('Données projet'!$B$9,Paramètres!$A$1:$I$89,5,0)</f>
        <v>302.20320000000004</v>
      </c>
      <c r="P151" s="14">
        <f t="shared" si="141"/>
        <v>71.638141943842299</v>
      </c>
      <c r="Q151" s="22">
        <f t="shared" si="108"/>
        <v>651.10700388552539</v>
      </c>
      <c r="R151" s="62">
        <f t="shared" si="109"/>
        <v>937.56350021103708</v>
      </c>
      <c r="S151" s="62">
        <f ca="1">AVERAGE(OFFSET($R$3,0,0,'Données projet'!$E$9+1,1))-AVERAGE(OFFSET($H$3,0,0,'Données projet'!$E$9+1,1))</f>
        <v>432.80275651765203</v>
      </c>
      <c r="T151" s="62">
        <f t="shared" si="142"/>
        <v>203.89279893419919</v>
      </c>
      <c r="U151" s="16">
        <f>IF(ISNA(VLOOKUP(A151,'Données projet'!$A$35:$I$55,3,0)),0,VLOOKUP(A151,'Données projet'!$A$35:$I$55,3,0))</f>
        <v>11</v>
      </c>
      <c r="V151" s="16">
        <f>IF(ISNA(VLOOKUP(A151,'Données projet'!$A$35:$I$55,4,0)),0,VLOOKUP(A151,'Données projet'!$A$35:$I$55,4,0))</f>
        <v>41</v>
      </c>
      <c r="W151" s="17">
        <f>IF(ISNA(VLOOKUP(A151,'Données projet'!$A$35:$I$55,5,0)),0%,VLOOKUP(A151,'Données projet'!$A$35:$I$55,5,0)*VLOOKUP('Données projet'!$B$9,Paramètres!$A$1:$I$89,7,0))</f>
        <v>0.215</v>
      </c>
      <c r="X151" s="17">
        <f>IF(ISNA(VLOOKUP(A151,'Données projet'!$A$35:$I$55,6,0)),0%,VLOOKUP(A151,'Données projet'!$A$35:$I$55,6,0)*VLOOKUP('Données projet'!$B$9,Paramètres!$A$1:$I$89,7,0))</f>
        <v>0.17200000000000001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37.985557135474686</v>
      </c>
      <c r="AA151" s="23">
        <f>EXP(-LN(2)/25)*AA150+(1-EXP(-LN(2)/25))/(LN(2)/25)*Calculateur!V151*Calculateur!X151*VLOOKUP('Données projet'!$B$9,Paramètres!$A$1:$I$89,3,0)*0.475*44/12</f>
        <v>25.075715356106155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63.061272491580837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3.813056537183002E-14</v>
      </c>
      <c r="AK151" s="14">
        <f t="shared" si="143"/>
        <v>6.4086286045526829E-13</v>
      </c>
      <c r="AL151" s="22">
        <f t="shared" si="112"/>
        <v>1.1825802166488628E-12</v>
      </c>
      <c r="AM151" s="62">
        <f t="shared" si="113"/>
        <v>286.45649632551289</v>
      </c>
      <c r="AN151" s="62">
        <f ca="1">AVERAGE(OFFSET($AM$3,0,0,'Données projet'!$E$10+1,1))-AVERAGE(OFFSET($H$3,0,0,'Données projet'!$E$10+1,1))</f>
        <v>273.21861937609918</v>
      </c>
      <c r="AO151" s="62">
        <f t="shared" si="144"/>
        <v>268.83004886965318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29.992082699204204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29.992082699204204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4.6111381379887463E-14</v>
      </c>
      <c r="BF151" s="14">
        <f t="shared" si="145"/>
        <v>7.5804141040779151E-13</v>
      </c>
      <c r="BG151" s="22">
        <f t="shared" si="115"/>
        <v>1.4005661123635408E-12</v>
      </c>
      <c r="BH151" s="62">
        <f t="shared" si="116"/>
        <v>286.45649632551311</v>
      </c>
      <c r="BI151" s="62">
        <f ca="1">AVERAGE(OFFSET($BH$3,0,0,'Données projet'!$E$11+1,1))-AVERAGE(OFFSET($H$3,0,0,'Données projet'!$E$11+1,1))</f>
        <v>319.01020001288975</v>
      </c>
      <c r="BJ151" s="62">
        <f t="shared" si="146"/>
        <v>312.22190035638084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36.269495357177163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36.269495357177163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6.1186256061773749E-14</v>
      </c>
      <c r="CA151" s="14">
        <f t="shared" si="147"/>
        <v>9.7328366192051127E-13</v>
      </c>
      <c r="CB151" s="22">
        <f t="shared" si="118"/>
        <v>1.8017017738191463E-12</v>
      </c>
      <c r="CC151" s="62">
        <f t="shared" si="119"/>
        <v>286.45649632551351</v>
      </c>
      <c r="CD151" s="62">
        <f ca="1">AVERAGE(OFFSET($CC$3,0,0,'Données projet'!$E$12+1,1))-AVERAGE(OFFSET($H$3,0,0,'Données projet'!$E$12+1,1))</f>
        <v>405.06394904053946</v>
      </c>
      <c r="CE151" s="62">
        <f t="shared" si="148"/>
        <v>393.75247087518198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39.046296344246983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39.046296344246983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>
        <f>VLOOKUP(A151,'Données projet'!$A$139:$I$159,2,0)</f>
        <v>334</v>
      </c>
      <c r="CR151" s="13">
        <f>VLOOKUP(A151,'Données projet'!$A$139:$I$159,9,0)</f>
        <v>5.8</v>
      </c>
      <c r="CS151" s="13">
        <f t="array" ref="CS151">INDEX(CR:CR,MIN(IF(ISNUMBER(CR151:CR347),ROW(CR151:CR347),"")))</f>
        <v>5.8</v>
      </c>
      <c r="CT151" s="13">
        <f>IF('Données projet'!$A$140&gt;35,CT150+CS151-DB150,IF(A151&lt;'Données projet'!$A$140,$CQ$205^A151,IF(A151='Données projet'!$A$140,'Données projet'!$B$140,CT150+CS151-DB150)))</f>
        <v>334.00000000000006</v>
      </c>
      <c r="CU151" s="18">
        <f>CT151*VLOOKUP('Données projet'!$B$13,Paramètres!$A$1:$I$89,3,0)*VLOOKUP('Données projet'!$B$13,Paramètres!$A$1:$I$89,5,0)</f>
        <v>338.6760000000001</v>
      </c>
      <c r="CV151" s="14">
        <f t="shared" si="149"/>
        <v>79.226337553065719</v>
      </c>
      <c r="CW151" s="22">
        <f t="shared" si="121"/>
        <v>727.84657123825627</v>
      </c>
      <c r="CX151" s="62">
        <f t="shared" si="122"/>
        <v>1014.303067563768</v>
      </c>
      <c r="CY151" s="62">
        <f ca="1">AVERAGE(OFFSET($CX$3,0,0,'Données projet'!$E$13+1,1))-AVERAGE(OFFSET($H$3,0,0,'Données projet'!$E$13+1,1))</f>
        <v>474.46836359712393</v>
      </c>
      <c r="CZ151" s="62">
        <f t="shared" si="150"/>
        <v>221.28699636637722</v>
      </c>
      <c r="DA151" s="16">
        <f>IF(ISNA(VLOOKUP(A151,'Données projet'!$A$139:$I$159,3,0)),0,VLOOKUP(A151,'Données projet'!$A$139:$I$159,3,0))</f>
        <v>11</v>
      </c>
      <c r="DB151" s="16">
        <f>IF(ISNA(VLOOKUP(A151,'Données projet'!$A$139:$I$159,4,0)),0,VLOOKUP(A151,'Données projet'!$A$139:$I$159,4,0))</f>
        <v>41</v>
      </c>
      <c r="DC151" s="17">
        <f>IF(ISNA(VLOOKUP(A151,'Données projet'!$A$139:$I$159,5,0)),0%,VLOOKUP(A151,'Données projet'!$A$139:$I$159,5,0)*VLOOKUP('Données projet'!$B$13,Paramètres!$A$1:$I$89,7,0))</f>
        <v>0.215</v>
      </c>
      <c r="DD151" s="17">
        <f>IF(ISNA(VLOOKUP(A151,'Données projet'!$A$139:$I$159,6,0)),0%,VLOOKUP(A151,'Données projet'!$A$139:$I$159,6,0)*VLOOKUP('Données projet'!$B$13,Paramètres!$A$1:$I$89,7,0))</f>
        <v>0.17200000000000001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42.570020927687146</v>
      </c>
      <c r="DG151" s="23">
        <f>EXP(-LN(2)/25)*DG150+(1-EXP(-LN(2)/25))/(LN(2)/25)*Calculateur!DB151*Calculateur!DD151*VLOOKUP('Données projet'!$B$13,Paramètres!$A$1:$I$89,3,0)*0.475*44/12</f>
        <v>28.102094795636209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70.672115723323358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4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-3.4705882352941178</v>
      </c>
      <c r="N152" s="14">
        <f>IF('Données projet'!$A$36&gt;35,N151+M152-V151,IF(A152&lt;'Données projet'!$A$36,$K$205^A152,IF(A152='Données projet'!$A$36,'Données projet'!$B$36,N151+M152-V151)))</f>
        <v>289.52941176470591</v>
      </c>
      <c r="O152" s="14">
        <f>N152*VLOOKUP('Données projet'!$B$9,Paramètres!$A$1:$I$89,3,0)*VLOOKUP('Données projet'!$B$9,Paramètres!$A$1:$I$89,5,0)</f>
        <v>261.96621176470592</v>
      </c>
      <c r="P152" s="14">
        <f t="shared" si="141"/>
        <v>63.141310899563408</v>
      </c>
      <c r="Q152" s="22">
        <f t="shared" si="108"/>
        <v>566.22893530693568</v>
      </c>
      <c r="R152" s="62">
        <f t="shared" si="109"/>
        <v>852.80472938022876</v>
      </c>
      <c r="S152" s="62">
        <f ca="1">AVERAGE(OFFSET($R$3,0,0,'Données projet'!$E$9+1,1))-AVERAGE(OFFSET($H$3,0,0,'Données projet'!$E$9+1,1))</f>
        <v>432.80275651765203</v>
      </c>
      <c r="T152" s="62">
        <f t="shared" si="142"/>
        <v>203.89279893419919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37.240683528950143</v>
      </c>
      <c r="AA152" s="23">
        <f>EXP(-LN(2)/25)*AA151+(1-EXP(-LN(2)/25))/(LN(2)/25)*Calculateur!V152*Calculateur!X152*VLOOKUP('Données projet'!$B$9,Paramètres!$A$1:$I$89,3,0)*0.475*44/12</f>
        <v>24.390018601018873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61.630702129969016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3.813056537183002E-14</v>
      </c>
      <c r="AK152" s="14">
        <f t="shared" si="143"/>
        <v>6.4086286045526829E-13</v>
      </c>
      <c r="AL152" s="22">
        <f t="shared" si="112"/>
        <v>1.1825802166488628E-12</v>
      </c>
      <c r="AM152" s="62">
        <f t="shared" si="113"/>
        <v>286.57579407329428</v>
      </c>
      <c r="AN152" s="62">
        <f ca="1">AVERAGE(OFFSET($AM$3,0,0,'Données projet'!$E$10+1,1))-AVERAGE(OFFSET($H$3,0,0,'Données projet'!$E$10+1,1))</f>
        <v>273.21861937609918</v>
      </c>
      <c r="AO152" s="62">
        <f t="shared" si="144"/>
        <v>268.83004886965318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29.403956250836938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29.403956250836938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4.6111381379887463E-14</v>
      </c>
      <c r="BF152" s="14">
        <f t="shared" si="145"/>
        <v>7.5804141040779151E-13</v>
      </c>
      <c r="BG152" s="22">
        <f t="shared" si="115"/>
        <v>1.4005661123635408E-12</v>
      </c>
      <c r="BH152" s="62">
        <f t="shared" si="116"/>
        <v>286.5757940732945</v>
      </c>
      <c r="BI152" s="62">
        <f ca="1">AVERAGE(OFFSET($BH$3,0,0,'Données projet'!$E$11+1,1))-AVERAGE(OFFSET($H$3,0,0,'Données projet'!$E$11+1,1))</f>
        <v>319.01020001288975</v>
      </c>
      <c r="BJ152" s="62">
        <f t="shared" si="146"/>
        <v>312.22190035638084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35.5582726754307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35.5582726754307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6.1186256061773749E-14</v>
      </c>
      <c r="CA152" s="14">
        <f t="shared" si="147"/>
        <v>9.7328366192051127E-13</v>
      </c>
      <c r="CB152" s="22">
        <f t="shared" si="118"/>
        <v>1.8017017738191463E-12</v>
      </c>
      <c r="CC152" s="62">
        <f t="shared" si="119"/>
        <v>286.5757940732949</v>
      </c>
      <c r="CD152" s="62">
        <f ca="1">AVERAGE(OFFSET($CC$3,0,0,'Données projet'!$E$12+1,1))-AVERAGE(OFFSET($H$3,0,0,'Données projet'!$E$12+1,1))</f>
        <v>405.06394904053946</v>
      </c>
      <c r="CE152" s="62">
        <f t="shared" si="148"/>
        <v>393.75247087518198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38.280622288825448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38.280622288825448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-3.4705882352941178</v>
      </c>
      <c r="CT152" s="13">
        <f>IF('Données projet'!$A$140&gt;35,CT151+CS152-DB151,IF(A152&lt;'Données projet'!$A$140,$CQ$205^A152,IF(A152='Données projet'!$A$140,'Données projet'!$B$140,CT151+CS152-DB151)))</f>
        <v>289.52941176470591</v>
      </c>
      <c r="CU152" s="18">
        <f>CT152*VLOOKUP('Données projet'!$B$13,Paramètres!$A$1:$I$89,3,0)*VLOOKUP('Données projet'!$B$13,Paramètres!$A$1:$I$89,5,0)</f>
        <v>293.58282352941183</v>
      </c>
      <c r="CV152" s="14">
        <f t="shared" si="149"/>
        <v>69.829488525726163</v>
      </c>
      <c r="CW152" s="22">
        <f t="shared" si="121"/>
        <v>632.94311016269864</v>
      </c>
      <c r="CX152" s="62">
        <f t="shared" si="122"/>
        <v>919.51890423599173</v>
      </c>
      <c r="CY152" s="62">
        <f ca="1">AVERAGE(OFFSET($CX$3,0,0,'Données projet'!$E$13+1,1))-AVERAGE(OFFSET($H$3,0,0,'Données projet'!$E$13+1,1))</f>
        <v>474.46836359712393</v>
      </c>
      <c r="CZ152" s="62">
        <f t="shared" si="150"/>
        <v>221.28699636637722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41.735248782444124</v>
      </c>
      <c r="DG152" s="23">
        <f>EXP(-LN(2)/25)*DG151+(1-EXP(-LN(2)/25))/(LN(2)/25)*Calculateur!DB152*Calculateur!DD152*VLOOKUP('Données projet'!$B$13,Paramètres!$A$1:$I$89,3,0)*0.475*44/12</f>
        <v>27.333641535624601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69.068890318068725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4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-3.4705882352941178</v>
      </c>
      <c r="N153" s="14">
        <f>IF('Données projet'!$A$36&gt;35,N152+M153-V152,IF(A153&lt;'Données projet'!$A$36,$K$205^A153,IF(A153='Données projet'!$A$36,'Données projet'!$B$36,N152+M153-V152)))</f>
        <v>286.05882352941177</v>
      </c>
      <c r="O153" s="14">
        <f>N153*VLOOKUP('Données projet'!$B$9,Paramètres!$A$1:$I$89,3,0)*VLOOKUP('Données projet'!$B$9,Paramètres!$A$1:$I$89,5,0)</f>
        <v>258.82602352941177</v>
      </c>
      <c r="P153" s="14">
        <f t="shared" si="141"/>
        <v>62.472067741593087</v>
      </c>
      <c r="Q153" s="22">
        <f t="shared" si="108"/>
        <v>559.59417563033344</v>
      </c>
      <c r="R153" s="62">
        <f t="shared" si="109"/>
        <v>846.28719790219384</v>
      </c>
      <c r="S153" s="62">
        <f ca="1">AVERAGE(OFFSET($R$3,0,0,'Données projet'!$E$9+1,1))-AVERAGE(OFFSET($H$3,0,0,'Données projet'!$E$9+1,1))</f>
        <v>432.80275651765203</v>
      </c>
      <c r="T153" s="62">
        <f t="shared" si="142"/>
        <v>203.89279893419919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36.510416439521507</v>
      </c>
      <c r="AA153" s="23">
        <f>EXP(-LN(2)/25)*AA152+(1-EXP(-LN(2)/25))/(LN(2)/25)*Calculateur!V153*Calculateur!X153*VLOOKUP('Données projet'!$B$9,Paramètres!$A$1:$I$89,3,0)*0.475*44/12</f>
        <v>23.723072259758677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60.233488699280187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3.813056537183002E-14</v>
      </c>
      <c r="AK153" s="14">
        <f t="shared" si="143"/>
        <v>6.4086286045526829E-13</v>
      </c>
      <c r="AL153" s="22">
        <f t="shared" si="112"/>
        <v>1.1825802166488628E-12</v>
      </c>
      <c r="AM153" s="62">
        <f t="shared" si="113"/>
        <v>286.69302227186154</v>
      </c>
      <c r="AN153" s="62">
        <f ca="1">AVERAGE(OFFSET($AM$3,0,0,'Données projet'!$E$10+1,1))-AVERAGE(OFFSET($H$3,0,0,'Données projet'!$E$10+1,1))</f>
        <v>273.21861937609918</v>
      </c>
      <c r="AO153" s="62">
        <f t="shared" si="144"/>
        <v>268.83004886965318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28.827362603400438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28.827362603400438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4.6111381379887463E-14</v>
      </c>
      <c r="BF153" s="14">
        <f t="shared" si="145"/>
        <v>7.5804141040779151E-13</v>
      </c>
      <c r="BG153" s="22">
        <f t="shared" si="115"/>
        <v>1.4005661123635408E-12</v>
      </c>
      <c r="BH153" s="62">
        <f t="shared" si="116"/>
        <v>286.69302227186176</v>
      </c>
      <c r="BI153" s="62">
        <f ca="1">AVERAGE(OFFSET($BH$3,0,0,'Données projet'!$E$11+1,1))-AVERAGE(OFFSET($H$3,0,0,'Données projet'!$E$11+1,1))</f>
        <v>319.01020001288975</v>
      </c>
      <c r="BJ153" s="62">
        <f t="shared" si="146"/>
        <v>312.22190035638084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34.860996636670286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34.860996636670286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6.1186256061773749E-14</v>
      </c>
      <c r="CA153" s="14">
        <f t="shared" si="147"/>
        <v>9.7328366192051127E-13</v>
      </c>
      <c r="CB153" s="22">
        <f t="shared" si="118"/>
        <v>1.8017017738191463E-12</v>
      </c>
      <c r="CC153" s="62">
        <f t="shared" si="119"/>
        <v>286.69302227186216</v>
      </c>
      <c r="CD153" s="62">
        <f ca="1">AVERAGE(OFFSET($CC$3,0,0,'Données projet'!$E$12+1,1))-AVERAGE(OFFSET($H$3,0,0,'Données projet'!$E$12+1,1))</f>
        <v>405.06394904053946</v>
      </c>
      <c r="CE153" s="62">
        <f t="shared" si="148"/>
        <v>393.75247087518198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37.529962634615664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37.529962634615664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-3.4705882352941178</v>
      </c>
      <c r="CT153" s="13">
        <f>IF('Données projet'!$A$140&gt;35,CT152+CS153-DB152,IF(A153&lt;'Données projet'!$A$140,$CQ$205^A153,IF(A153='Données projet'!$A$140,'Données projet'!$B$140,CT152+CS153-DB152)))</f>
        <v>286.05882352941177</v>
      </c>
      <c r="CU153" s="18">
        <f>CT153*VLOOKUP('Données projet'!$B$13,Paramètres!$A$1:$I$89,3,0)*VLOOKUP('Données projet'!$B$13,Paramètres!$A$1:$I$89,5,0)</f>
        <v>290.06364705882356</v>
      </c>
      <c r="CV153" s="14">
        <f t="shared" si="149"/>
        <v>69.089356482938115</v>
      </c>
      <c r="CW153" s="22">
        <f t="shared" si="121"/>
        <v>625.52481450190146</v>
      </c>
      <c r="CX153" s="62">
        <f t="shared" si="122"/>
        <v>912.21783677376175</v>
      </c>
      <c r="CY153" s="62">
        <f ca="1">AVERAGE(OFFSET($CX$3,0,0,'Données projet'!$E$13+1,1))-AVERAGE(OFFSET($H$3,0,0,'Données projet'!$E$13+1,1))</f>
        <v>474.46836359712393</v>
      </c>
      <c r="CZ153" s="62">
        <f t="shared" si="150"/>
        <v>221.28699636637722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40.91684600980858</v>
      </c>
      <c r="DG153" s="23">
        <f>EXP(-LN(2)/25)*DG152+(1-EXP(-LN(2)/25))/(LN(2)/25)*Calculateur!DB153*Calculateur!DD153*VLOOKUP('Données projet'!$B$13,Paramètres!$A$1:$I$89,3,0)*0.475*44/12</f>
        <v>26.586201670419211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67.503047680227795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4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-3.4705882352941178</v>
      </c>
      <c r="N154" s="14">
        <f>IF('Données projet'!$A$36&gt;35,N153+M154-V153,IF(A154&lt;'Données projet'!$A$36,$K$205^A154,IF(A154='Données projet'!$A$36,'Données projet'!$B$36,N153+M154-V153)))</f>
        <v>282.58823529411762</v>
      </c>
      <c r="O154" s="14">
        <f>N154*VLOOKUP('Données projet'!$B$9,Paramètres!$A$1:$I$89,3,0)*VLOOKUP('Données projet'!$B$9,Paramètres!$A$1:$I$89,5,0)</f>
        <v>255.68583529411762</v>
      </c>
      <c r="P154" s="14">
        <f t="shared" si="141"/>
        <v>61.80187877637033</v>
      </c>
      <c r="Q154" s="22">
        <f t="shared" ref="Q154:Q203" si="162">(O154+P154)*0.475*44/12</f>
        <v>552.95776867276652</v>
      </c>
      <c r="R154" s="62">
        <f t="shared" si="109"/>
        <v>839.76598549603182</v>
      </c>
      <c r="S154" s="62">
        <f ca="1">AVERAGE(OFFSET($R$3,0,0,'Données projet'!$E$9+1,1))-AVERAGE(OFFSET($H$3,0,0,'Données projet'!$E$9+1,1))</f>
        <v>432.80275651765203</v>
      </c>
      <c r="T154" s="62">
        <f t="shared" si="142"/>
        <v>203.89279893419919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35.794469442297618</v>
      </c>
      <c r="AA154" s="23">
        <f>EXP(-LN(2)/25)*AA153+(1-EXP(-LN(2)/25))/(LN(2)/25)*Calculateur!V154*Calculateur!X154*VLOOKUP('Données projet'!$B$9,Paramètres!$A$1:$I$89,3,0)*0.475*44/12</f>
        <v>23.074363601273426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58.868833043571044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3.813056537183002E-14</v>
      </c>
      <c r="AK154" s="14">
        <f t="shared" ref="AK154:AK203" si="164">EXP(-1.0587+0.8836*LN(AJ154)+0.284)</f>
        <v>6.4086286045526829E-13</v>
      </c>
      <c r="AL154" s="22">
        <f t="shared" ref="AL154:AL203" si="165">(AJ154+AK154)*0.475*44/12</f>
        <v>1.1825802166488628E-12</v>
      </c>
      <c r="AM154" s="62">
        <f t="shared" si="113"/>
        <v>286.80821682326655</v>
      </c>
      <c r="AN154" s="62">
        <f ca="1">AVERAGE(OFFSET($AM$3,0,0,'Données projet'!$E$10+1,1))-AVERAGE(OFFSET($H$3,0,0,'Données projet'!$E$10+1,1))</f>
        <v>273.21861937609918</v>
      </c>
      <c r="AO154" s="62">
        <f t="shared" si="144"/>
        <v>268.83004886965318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28.262075605702769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28.262075605702769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4.6111381379887463E-14</v>
      </c>
      <c r="BF154" s="14">
        <f t="shared" ref="BF154:BF203" si="167">EXP(-1.0587+0.8836*LN(BE154)+0.284)</f>
        <v>7.5804141040779151E-13</v>
      </c>
      <c r="BG154" s="22">
        <f t="shared" ref="BG154:BG203" si="168">(BE154+BF154)*0.475*44/12</f>
        <v>1.4005661123635408E-12</v>
      </c>
      <c r="BH154" s="62">
        <f t="shared" si="116"/>
        <v>286.80821682326678</v>
      </c>
      <c r="BI154" s="62">
        <f ca="1">AVERAGE(OFFSET($BH$3,0,0,'Données projet'!$E$11+1,1))-AVERAGE(OFFSET($H$3,0,0,'Données projet'!$E$11+1,1))</f>
        <v>319.01020001288975</v>
      </c>
      <c r="BJ154" s="62">
        <f t="shared" si="146"/>
        <v>312.22190035638084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34.177393755733576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34.177393755733576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6.1186256061773749E-14</v>
      </c>
      <c r="CA154" s="14">
        <f t="shared" ref="CA154:CA203" si="170">EXP(-1.0587+0.8836*LN(BZ154)+0.284)</f>
        <v>9.7328366192051127E-13</v>
      </c>
      <c r="CB154" s="22">
        <f t="shared" ref="CB154:CB203" si="171">(BZ154+CA154)*0.475*44/12</f>
        <v>1.8017017738191463E-12</v>
      </c>
      <c r="CC154" s="62">
        <f t="shared" si="119"/>
        <v>286.80821682326717</v>
      </c>
      <c r="CD154" s="62">
        <f ca="1">AVERAGE(OFFSET($CC$3,0,0,'Données projet'!$E$12+1,1))-AVERAGE(OFFSET($H$3,0,0,'Données projet'!$E$12+1,1))</f>
        <v>405.06394904053946</v>
      </c>
      <c r="CE154" s="62">
        <f t="shared" si="148"/>
        <v>393.75247087518198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36.794022958367755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36.794022958367755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-3.4705882352941178</v>
      </c>
      <c r="CT154" s="13">
        <f>IF('Données projet'!$A$140&gt;35,CT153+CS154-DB153,IF(A154&lt;'Données projet'!$A$140,$CQ$205^A154,IF(A154='Données projet'!$A$140,'Données projet'!$B$140,CT153+CS154-DB153)))</f>
        <v>282.58823529411762</v>
      </c>
      <c r="CU154" s="18">
        <f>CT154*VLOOKUP('Données projet'!$B$13,Paramètres!$A$1:$I$89,3,0)*VLOOKUP('Données projet'!$B$13,Paramètres!$A$1:$I$89,5,0)</f>
        <v>286.5444705882353</v>
      </c>
      <c r="CV154" s="14">
        <f t="shared" ref="CV154:CV203" si="173">EXP(-1.0587+0.8836*LN(CU154)+0.284)</f>
        <v>68.348178449249076</v>
      </c>
      <c r="CW154" s="22">
        <f t="shared" ref="CW154:CW203" si="174">(CU154+CV154)*0.475*44/12</f>
        <v>618.10469707361858</v>
      </c>
      <c r="CX154" s="62">
        <f t="shared" si="122"/>
        <v>904.91291389688399</v>
      </c>
      <c r="CY154" s="62">
        <f ca="1">AVERAGE(OFFSET($CX$3,0,0,'Données projet'!$E$13+1,1))-AVERAGE(OFFSET($H$3,0,0,'Données projet'!$E$13+1,1))</f>
        <v>474.46836359712393</v>
      </c>
      <c r="CZ154" s="62">
        <f t="shared" si="150"/>
        <v>221.28699636637722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40.114491616368021</v>
      </c>
      <c r="DG154" s="23">
        <f>EXP(-LN(2)/25)*DG153+(1-EXP(-LN(2)/25))/(LN(2)/25)*Calculateur!DB154*Calculateur!DD154*VLOOKUP('Données projet'!$B$13,Paramètres!$A$1:$I$89,3,0)*0.475*44/12</f>
        <v>25.859200587634014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65.973692204002035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4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-3.4705882352941178</v>
      </c>
      <c r="N155" s="14">
        <f>IF('Données projet'!$A$36&gt;35,N154+M155-V154,IF(A155&lt;'Données projet'!$A$36,$K$205^A155,IF(A155='Données projet'!$A$36,'Données projet'!$B$36,N154+M155-V154)))</f>
        <v>279.11764705882348</v>
      </c>
      <c r="O155" s="14">
        <f>N155*VLOOKUP('Données projet'!$B$9,Paramètres!$A$1:$I$89,3,0)*VLOOKUP('Données projet'!$B$9,Paramètres!$A$1:$I$89,5,0)</f>
        <v>252.54564705882348</v>
      </c>
      <c r="P155" s="14">
        <f t="shared" si="141"/>
        <v>61.130731026017962</v>
      </c>
      <c r="Q155" s="22">
        <f t="shared" si="162"/>
        <v>546.31969183109879</v>
      </c>
      <c r="R155" s="62">
        <f t="shared" si="109"/>
        <v>833.24110483783875</v>
      </c>
      <c r="S155" s="62">
        <f ca="1">AVERAGE(OFFSET($R$3,0,0,'Données projet'!$E$9+1,1))-AVERAGE(OFFSET($H$3,0,0,'Données projet'!$E$9+1,1))</f>
        <v>432.80275651765203</v>
      </c>
      <c r="T155" s="62">
        <f t="shared" si="142"/>
        <v>203.89279893419919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35.092561729004743</v>
      </c>
      <c r="AA155" s="23">
        <f>EXP(-LN(2)/25)*AA154+(1-EXP(-LN(2)/25))/(LN(2)/25)*Calculateur!V155*Calculateur!X155*VLOOKUP('Données projet'!$B$9,Paramètres!$A$1:$I$89,3,0)*0.475*44/12</f>
        <v>22.44339391516856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57.535955644173299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3.813056537183002E-14</v>
      </c>
      <c r="AK155" s="14">
        <f t="shared" si="164"/>
        <v>6.4086286045526829E-13</v>
      </c>
      <c r="AL155" s="22">
        <f t="shared" si="165"/>
        <v>1.1825802166488628E-12</v>
      </c>
      <c r="AM155" s="62">
        <f t="shared" si="113"/>
        <v>286.92141300674109</v>
      </c>
      <c r="AN155" s="62">
        <f ca="1">AVERAGE(OFFSET($AM$3,0,0,'Données projet'!$E$10+1,1))-AVERAGE(OFFSET($H$3,0,0,'Données projet'!$E$10+1,1))</f>
        <v>273.21861937609918</v>
      </c>
      <c r="AO155" s="62">
        <f t="shared" si="144"/>
        <v>268.83004886965318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27.707873541238929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27.707873541238929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4.6111381379887463E-14</v>
      </c>
      <c r="BF155" s="14">
        <f t="shared" si="167"/>
        <v>7.5804141040779151E-13</v>
      </c>
      <c r="BG155" s="22">
        <f t="shared" si="168"/>
        <v>1.4005661123635408E-12</v>
      </c>
      <c r="BH155" s="62">
        <f t="shared" si="116"/>
        <v>286.92141300674132</v>
      </c>
      <c r="BI155" s="62">
        <f ca="1">AVERAGE(OFFSET($BH$3,0,0,'Données projet'!$E$11+1,1))-AVERAGE(OFFSET($H$3,0,0,'Données projet'!$E$11+1,1))</f>
        <v>319.01020001288975</v>
      </c>
      <c r="BJ155" s="62">
        <f t="shared" si="146"/>
        <v>312.22190035638084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33.507195910335447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33.507195910335447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6.1186256061773749E-14</v>
      </c>
      <c r="CA155" s="14">
        <f t="shared" si="170"/>
        <v>9.7328366192051127E-13</v>
      </c>
      <c r="CB155" s="22">
        <f t="shared" si="171"/>
        <v>1.8017017738191463E-12</v>
      </c>
      <c r="CC155" s="62">
        <f t="shared" si="119"/>
        <v>286.92141300674172</v>
      </c>
      <c r="CD155" s="62">
        <f ca="1">AVERAGE(OFFSET($CC$3,0,0,'Données projet'!$E$12+1,1))-AVERAGE(OFFSET($H$3,0,0,'Données projet'!$E$12+1,1))</f>
        <v>405.06394904053946</v>
      </c>
      <c r="CE155" s="62">
        <f t="shared" si="148"/>
        <v>393.75247087518198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36.072514610292188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36.072514610292188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-3.4705882352941178</v>
      </c>
      <c r="CT155" s="13">
        <f>IF('Données projet'!$A$140&gt;35,CT154+CS155-DB154,IF(A155&lt;'Données projet'!$A$140,$CQ$205^A155,IF(A155='Données projet'!$A$140,'Données projet'!$B$140,CT154+CS155-DB154)))</f>
        <v>279.11764705882348</v>
      </c>
      <c r="CU155" s="18">
        <f>CT155*VLOOKUP('Données projet'!$B$13,Paramètres!$A$1:$I$89,3,0)*VLOOKUP('Données projet'!$B$13,Paramètres!$A$1:$I$89,5,0)</f>
        <v>283.02529411764704</v>
      </c>
      <c r="CV155" s="14">
        <f t="shared" si="173"/>
        <v>67.605940072113555</v>
      </c>
      <c r="CW155" s="22">
        <f t="shared" si="174"/>
        <v>610.68273288049966</v>
      </c>
      <c r="CX155" s="62">
        <f t="shared" si="122"/>
        <v>897.60414588723961</v>
      </c>
      <c r="CY155" s="62">
        <f ca="1">AVERAGE(OFFSET($CX$3,0,0,'Données projet'!$E$13+1,1))-AVERAGE(OFFSET($H$3,0,0,'Données projet'!$E$13+1,1))</f>
        <v>474.46836359712393</v>
      </c>
      <c r="CZ155" s="62">
        <f t="shared" si="150"/>
        <v>221.28699636637722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39.32787090319497</v>
      </c>
      <c r="DG155" s="23">
        <f>EXP(-LN(2)/25)*DG154+(1-EXP(-LN(2)/25))/(LN(2)/25)*Calculateur!DB155*Calculateur!DD155*VLOOKUP('Données projet'!$B$13,Paramètres!$A$1:$I$89,3,0)*0.475*44/12</f>
        <v>25.152079387688904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64.479950290883878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4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-3.4705882352941178</v>
      </c>
      <c r="N156" s="14">
        <f>IF('Données projet'!$A$36&gt;35,N155+M156-V155,IF(A156&lt;'Données projet'!$A$36,$K$205^A156,IF(A156='Données projet'!$A$36,'Données projet'!$B$36,N155+M156-V155)))</f>
        <v>275.64705882352933</v>
      </c>
      <c r="O156" s="14">
        <f>N156*VLOOKUP('Données projet'!$B$9,Paramètres!$A$1:$I$89,3,0)*VLOOKUP('Données projet'!$B$9,Paramètres!$A$1:$I$89,5,0)</f>
        <v>249.40545882352933</v>
      </c>
      <c r="P156" s="14">
        <f t="shared" si="141"/>
        <v>60.458611170864842</v>
      </c>
      <c r="Q156" s="22">
        <f t="shared" si="162"/>
        <v>539.67992190690325</v>
      </c>
      <c r="R156" s="62">
        <f t="shared" si="109"/>
        <v>826.7125673964033</v>
      </c>
      <c r="S156" s="62">
        <f ca="1">AVERAGE(OFFSET($R$3,0,0,'Données projet'!$E$9+1,1))-AVERAGE(OFFSET($H$3,0,0,'Données projet'!$E$9+1,1))</f>
        <v>432.80275651765203</v>
      </c>
      <c r="T156" s="62">
        <f t="shared" si="142"/>
        <v>203.89279893419919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34.404417997848114</v>
      </c>
      <c r="AA156" s="23">
        <f>EXP(-LN(2)/25)*AA155+(1-EXP(-LN(2)/25))/(LN(2)/25)*Calculateur!V156*Calculateur!X156*VLOOKUP('Données projet'!$B$9,Paramètres!$A$1:$I$89,3,0)*0.475*44/12</f>
        <v>21.829678128311485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56.234096126159599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3.813056537183002E-14</v>
      </c>
      <c r="AK156" s="14">
        <f t="shared" si="164"/>
        <v>6.4086286045526829E-13</v>
      </c>
      <c r="AL156" s="22">
        <f t="shared" si="165"/>
        <v>1.1825802166488628E-12</v>
      </c>
      <c r="AM156" s="62">
        <f t="shared" si="113"/>
        <v>287.03264548950119</v>
      </c>
      <c r="AN156" s="62">
        <f ca="1">AVERAGE(OFFSET($AM$3,0,0,'Données projet'!$E$10+1,1))-AVERAGE(OFFSET($H$3,0,0,'Données projet'!$E$10+1,1))</f>
        <v>273.21861937609918</v>
      </c>
      <c r="AO156" s="62">
        <f t="shared" si="144"/>
        <v>268.83004886965318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27.164539041229343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27.164539041229343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4.6111381379887463E-14</v>
      </c>
      <c r="BF156" s="14">
        <f t="shared" si="167"/>
        <v>7.5804141040779151E-13</v>
      </c>
      <c r="BG156" s="22">
        <f t="shared" si="168"/>
        <v>1.4005661123635408E-12</v>
      </c>
      <c r="BH156" s="62">
        <f t="shared" si="116"/>
        <v>287.03264548950142</v>
      </c>
      <c r="BI156" s="62">
        <f ca="1">AVERAGE(OFFSET($BH$3,0,0,'Données projet'!$E$11+1,1))-AVERAGE(OFFSET($H$3,0,0,'Données projet'!$E$11+1,1))</f>
        <v>319.01020001288975</v>
      </c>
      <c r="BJ156" s="62">
        <f t="shared" si="146"/>
        <v>312.22190035638084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32.850140235905251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32.850140235905251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6.1186256061773749E-14</v>
      </c>
      <c r="CA156" s="14">
        <f t="shared" si="170"/>
        <v>9.7328366192051127E-13</v>
      </c>
      <c r="CB156" s="22">
        <f t="shared" si="171"/>
        <v>1.8017017738191463E-12</v>
      </c>
      <c r="CC156" s="62">
        <f t="shared" si="119"/>
        <v>287.03264548950182</v>
      </c>
      <c r="CD156" s="62">
        <f ca="1">AVERAGE(OFFSET($CC$3,0,0,'Données projet'!$E$12+1,1))-AVERAGE(OFFSET($H$3,0,0,'Données projet'!$E$12+1,1))</f>
        <v>405.06394904053946</v>
      </c>
      <c r="CE156" s="62">
        <f t="shared" si="148"/>
        <v>393.75247087518198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35.365154600845749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35.365154600845749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-3.4705882352941178</v>
      </c>
      <c r="CT156" s="13">
        <f>IF('Données projet'!$A$140&gt;35,CT155+CS156-DB155,IF(A156&lt;'Données projet'!$A$140,$CQ$205^A156,IF(A156='Données projet'!$A$140,'Données projet'!$B$140,CT155+CS156-DB155)))</f>
        <v>275.64705882352933</v>
      </c>
      <c r="CU156" s="18">
        <f>CT156*VLOOKUP('Données projet'!$B$13,Paramètres!$A$1:$I$89,3,0)*VLOOKUP('Données projet'!$B$13,Paramètres!$A$1:$I$89,5,0)</f>
        <v>279.50611764705877</v>
      </c>
      <c r="CV156" s="14">
        <f t="shared" si="173"/>
        <v>66.862626620988351</v>
      </c>
      <c r="CW156" s="22">
        <f t="shared" si="174"/>
        <v>603.25889626684864</v>
      </c>
      <c r="CX156" s="62">
        <f t="shared" si="122"/>
        <v>890.29154175634858</v>
      </c>
      <c r="CY156" s="62">
        <f ca="1">AVERAGE(OFFSET($CX$3,0,0,'Données projet'!$E$13+1,1))-AVERAGE(OFFSET($H$3,0,0,'Données projet'!$E$13+1,1))</f>
        <v>474.46836359712393</v>
      </c>
      <c r="CZ156" s="62">
        <f t="shared" si="150"/>
        <v>221.28699636637722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38.556675342415986</v>
      </c>
      <c r="DG156" s="23">
        <f>EXP(-LN(2)/25)*DG155+(1-EXP(-LN(2)/25))/(LN(2)/25)*Calculateur!DB156*Calculateur!DD156*VLOOKUP('Données projet'!$B$13,Paramètres!$A$1:$I$89,3,0)*0.475*44/12</f>
        <v>24.464294454142181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63.020969796558163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4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-3.4705882352941178</v>
      </c>
      <c r="N157" s="14">
        <f>IF('Données projet'!$A$36&gt;35,N156+M157-V156,IF(A157&lt;'Données projet'!$A$36,$K$205^A157,IF(A157='Données projet'!$A$36,'Données projet'!$B$36,N156+M157-V156)))</f>
        <v>272.17647058823519</v>
      </c>
      <c r="O157" s="14">
        <f>N157*VLOOKUP('Données projet'!$B$9,Paramètres!$A$1:$I$89,3,0)*VLOOKUP('Données projet'!$B$9,Paramètres!$A$1:$I$89,5,0)</f>
        <v>246.26527058823518</v>
      </c>
      <c r="P157" s="14">
        <f t="shared" si="141"/>
        <v>59.785505536024061</v>
      </c>
      <c r="Q157" s="22">
        <f t="shared" si="162"/>
        <v>533.03843508308489</v>
      </c>
      <c r="R157" s="62">
        <f t="shared" si="109"/>
        <v>820.1803834204477</v>
      </c>
      <c r="S157" s="62">
        <f ca="1">AVERAGE(OFFSET($R$3,0,0,'Données projet'!$E$9+1,1))-AVERAGE(OFFSET($H$3,0,0,'Données projet'!$E$9+1,1))</f>
        <v>432.80275651765203</v>
      </c>
      <c r="T157" s="62">
        <f t="shared" si="142"/>
        <v>203.89279893419919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33.72976834553323</v>
      </c>
      <c r="AA157" s="23">
        <f>EXP(-LN(2)/25)*AA156+(1-EXP(-LN(2)/25))/(LN(2)/25)*Calculateur!V157*Calculateur!X157*VLOOKUP('Données projet'!$B$9,Paramètres!$A$1:$I$89,3,0)*0.475*44/12</f>
        <v>21.232744431919926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54.962512777453156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3.813056537183002E-14</v>
      </c>
      <c r="AK157" s="14">
        <f t="shared" si="164"/>
        <v>6.4086286045526829E-13</v>
      </c>
      <c r="AL157" s="22">
        <f t="shared" si="165"/>
        <v>1.1825802166488628E-12</v>
      </c>
      <c r="AM157" s="62">
        <f t="shared" si="113"/>
        <v>287.14194833736394</v>
      </c>
      <c r="AN157" s="62">
        <f ca="1">AVERAGE(OFFSET($AM$3,0,0,'Données projet'!$E$10+1,1))-AVERAGE(OFFSET($H$3,0,0,'Données projet'!$E$10+1,1))</f>
        <v>273.21861937609918</v>
      </c>
      <c r="AO157" s="62">
        <f t="shared" si="144"/>
        <v>268.83004886965318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26.631858999363626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26.631858999363626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4.6111381379887463E-14</v>
      </c>
      <c r="BF157" s="14">
        <f t="shared" si="167"/>
        <v>7.5804141040779151E-13</v>
      </c>
      <c r="BG157" s="22">
        <f t="shared" si="168"/>
        <v>1.4005661123635408E-12</v>
      </c>
      <c r="BH157" s="62">
        <f t="shared" si="116"/>
        <v>287.14194833736417</v>
      </c>
      <c r="BI157" s="62">
        <f ca="1">AVERAGE(OFFSET($BH$3,0,0,'Données projet'!$E$11+1,1))-AVERAGE(OFFSET($H$3,0,0,'Données projet'!$E$11+1,1))</f>
        <v>319.01020001288975</v>
      </c>
      <c r="BJ157" s="62">
        <f t="shared" si="146"/>
        <v>312.22190035638084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32.205969022486244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32.205969022486244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6.1186256061773749E-14</v>
      </c>
      <c r="CA157" s="14">
        <f t="shared" si="170"/>
        <v>9.7328366192051127E-13</v>
      </c>
      <c r="CB157" s="22">
        <f t="shared" si="171"/>
        <v>1.8017017738191463E-12</v>
      </c>
      <c r="CC157" s="62">
        <f t="shared" si="119"/>
        <v>287.14194833736457</v>
      </c>
      <c r="CD157" s="62">
        <f ca="1">AVERAGE(OFFSET($CC$3,0,0,'Données projet'!$E$12+1,1))-AVERAGE(OFFSET($H$3,0,0,'Données projet'!$E$12+1,1))</f>
        <v>405.06394904053946</v>
      </c>
      <c r="CE157" s="62">
        <f t="shared" si="148"/>
        <v>393.75247087518198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34.671665489737549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34.671665489737549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-3.4705882352941178</v>
      </c>
      <c r="CT157" s="13">
        <f>IF('Données projet'!$A$140&gt;35,CT156+CS157-DB156,IF(A157&lt;'Données projet'!$A$140,$CQ$205^A157,IF(A157='Données projet'!$A$140,'Données projet'!$B$140,CT156+CS157-DB156)))</f>
        <v>272.17647058823519</v>
      </c>
      <c r="CU157" s="18">
        <f>CT157*VLOOKUP('Données projet'!$B$13,Paramètres!$A$1:$I$89,3,0)*VLOOKUP('Données projet'!$B$13,Paramètres!$A$1:$I$89,5,0)</f>
        <v>275.98694117647051</v>
      </c>
      <c r="CV157" s="14">
        <f t="shared" si="173"/>
        <v>66.118222972488155</v>
      </c>
      <c r="CW157" s="22">
        <f t="shared" si="174"/>
        <v>595.83316089276968</v>
      </c>
      <c r="CX157" s="62">
        <f t="shared" si="122"/>
        <v>882.97510923013238</v>
      </c>
      <c r="CY157" s="62">
        <f ca="1">AVERAGE(OFFSET($CX$3,0,0,'Données projet'!$E$13+1,1))-AVERAGE(OFFSET($H$3,0,0,'Données projet'!$E$13+1,1))</f>
        <v>474.46836359712393</v>
      </c>
      <c r="CZ157" s="62">
        <f t="shared" si="150"/>
        <v>221.28699636637722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37.800602456201034</v>
      </c>
      <c r="DG157" s="23">
        <f>EXP(-LN(2)/25)*DG156+(1-EXP(-LN(2)/25))/(LN(2)/25)*Calculateur!DB157*Calculateur!DD157*VLOOKUP('Données projet'!$B$13,Paramètres!$A$1:$I$89,3,0)*0.475*44/12</f>
        <v>23.795317035772332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61.595919491973362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4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-3.4705882352941178</v>
      </c>
      <c r="N158" s="14">
        <f>IF('Données projet'!$A$36&gt;35,N157+M158-V157,IF(A158&lt;'Données projet'!$A$36,$K$205^A158,IF(A158='Données projet'!$A$36,'Données projet'!$B$36,N157+M158-V157)))</f>
        <v>268.70588235294105</v>
      </c>
      <c r="O158" s="14">
        <f>N158*VLOOKUP('Données projet'!$B$9,Paramètres!$A$1:$I$89,3,0)*VLOOKUP('Données projet'!$B$9,Paramètres!$A$1:$I$89,5,0)</f>
        <v>243.12508235294104</v>
      </c>
      <c r="P158" s="14">
        <f t="shared" si="141"/>
        <v>59.111400077264818</v>
      </c>
      <c r="Q158" s="22">
        <f t="shared" si="162"/>
        <v>526.39520689927519</v>
      </c>
      <c r="R158" s="62">
        <f t="shared" si="109"/>
        <v>813.64456192445482</v>
      </c>
      <c r="S158" s="62">
        <f ca="1">AVERAGE(OFFSET($R$3,0,0,'Données projet'!$E$9+1,1))-AVERAGE(OFFSET($H$3,0,0,'Données projet'!$E$9+1,1))</f>
        <v>432.80275651765203</v>
      </c>
      <c r="T158" s="62">
        <f t="shared" si="142"/>
        <v>203.89279893419919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33.068348161404586</v>
      </c>
      <c r="AA158" s="23">
        <f>EXP(-LN(2)/25)*AA157+(1-EXP(-LN(2)/25))/(LN(2)/25)*Calculateur!V158*Calculateur!X158*VLOOKUP('Données projet'!$B$9,Paramètres!$A$1:$I$89,3,0)*0.475*44/12</f>
        <v>20.652133918847575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53.720482080252161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3.813056537183002E-14</v>
      </c>
      <c r="AK158" s="14">
        <f t="shared" si="164"/>
        <v>6.4086286045526829E-13</v>
      </c>
      <c r="AL158" s="22">
        <f t="shared" si="165"/>
        <v>1.1825802166488628E-12</v>
      </c>
      <c r="AM158" s="62">
        <f t="shared" si="113"/>
        <v>287.24935502518088</v>
      </c>
      <c r="AN158" s="62">
        <f ca="1">AVERAGE(OFFSET($AM$3,0,0,'Données projet'!$E$10+1,1))-AVERAGE(OFFSET($H$3,0,0,'Données projet'!$E$10+1,1))</f>
        <v>273.21861937609918</v>
      </c>
      <c r="AO158" s="62">
        <f t="shared" si="144"/>
        <v>268.83004886965318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26.109624488216149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26.109624488216149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4.6111381379887463E-14</v>
      </c>
      <c r="BF158" s="14">
        <f t="shared" si="167"/>
        <v>7.5804141040779151E-13</v>
      </c>
      <c r="BG158" s="22">
        <f t="shared" si="168"/>
        <v>1.4005661123635408E-12</v>
      </c>
      <c r="BH158" s="62">
        <f t="shared" si="116"/>
        <v>287.2493550251811</v>
      </c>
      <c r="BI158" s="62">
        <f ca="1">AVERAGE(OFFSET($BH$3,0,0,'Données projet'!$E$11+1,1))-AVERAGE(OFFSET($H$3,0,0,'Données projet'!$E$11+1,1))</f>
        <v>319.01020001288975</v>
      </c>
      <c r="BJ158" s="62">
        <f t="shared" si="146"/>
        <v>312.22190035638084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31.574429613656736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31.574429613656736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6.1186256061773749E-14</v>
      </c>
      <c r="CA158" s="14">
        <f t="shared" si="170"/>
        <v>9.7328366192051127E-13</v>
      </c>
      <c r="CB158" s="22">
        <f t="shared" si="171"/>
        <v>1.8017017738191463E-12</v>
      </c>
      <c r="CC158" s="62">
        <f t="shared" si="119"/>
        <v>287.2493550251815</v>
      </c>
      <c r="CD158" s="62">
        <f ca="1">AVERAGE(OFFSET($CC$3,0,0,'Données projet'!$E$12+1,1))-AVERAGE(OFFSET($H$3,0,0,'Données projet'!$E$12+1,1))</f>
        <v>405.06394904053946</v>
      </c>
      <c r="CE158" s="62">
        <f t="shared" si="148"/>
        <v>393.75247087518198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33.991775277111593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33.991775277111593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-3.4705882352941178</v>
      </c>
      <c r="CT158" s="13">
        <f>IF('Données projet'!$A$140&gt;35,CT157+CS158-DB157,IF(A158&lt;'Données projet'!$A$140,$CQ$205^A158,IF(A158='Données projet'!$A$140,'Données projet'!$B$140,CT157+CS158-DB157)))</f>
        <v>268.70588235294105</v>
      </c>
      <c r="CU158" s="18">
        <f>CT158*VLOOKUP('Données projet'!$B$13,Paramètres!$A$1:$I$89,3,0)*VLOOKUP('Données projet'!$B$13,Paramètres!$A$1:$I$89,5,0)</f>
        <v>272.46776470588225</v>
      </c>
      <c r="CV158" s="14">
        <f t="shared" si="173"/>
        <v>65.372713594761834</v>
      </c>
      <c r="CW158" s="22">
        <f t="shared" si="174"/>
        <v>588.40549970695508</v>
      </c>
      <c r="CX158" s="62">
        <f t="shared" si="122"/>
        <v>875.65485473213471</v>
      </c>
      <c r="CY158" s="62">
        <f ca="1">AVERAGE(OFFSET($CX$3,0,0,'Données projet'!$E$13+1,1))-AVERAGE(OFFSET($H$3,0,0,'Données projet'!$E$13+1,1))</f>
        <v>474.46836359712393</v>
      </c>
      <c r="CZ158" s="62">
        <f t="shared" si="150"/>
        <v>221.28699636637722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37.059355698125827</v>
      </c>
      <c r="DG158" s="23">
        <f>EXP(-LN(2)/25)*DG157+(1-EXP(-LN(2)/25))/(LN(2)/25)*Calculateur!DB158*Calculateur!DD158*VLOOKUP('Données projet'!$B$13,Paramètres!$A$1:$I$89,3,0)*0.475*44/12</f>
        <v>23.144632840087798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60.203988538213622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4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-3.4705882352941178</v>
      </c>
      <c r="N159" s="14">
        <f>IF('Données projet'!$A$36&gt;35,N158+M159-V158,IF(A159&lt;'Données projet'!$A$36,$K$205^A159,IF(A159='Données projet'!$A$36,'Données projet'!$B$36,N158+M159-V158)))</f>
        <v>265.2352941176469</v>
      </c>
      <c r="O159" s="14">
        <f>N159*VLOOKUP('Données projet'!$B$9,Paramètres!$A$1:$I$89,3,0)*VLOOKUP('Données projet'!$B$9,Paramètres!$A$1:$I$89,5,0)</f>
        <v>239.98489411764689</v>
      </c>
      <c r="P159" s="14">
        <f t="shared" si="141"/>
        <v>58.436280366133602</v>
      </c>
      <c r="Q159" s="22">
        <f t="shared" si="162"/>
        <v>519.75021222591761</v>
      </c>
      <c r="R159" s="62">
        <f t="shared" si="109"/>
        <v>807.10511067300592</v>
      </c>
      <c r="S159" s="62">
        <f ca="1">AVERAGE(OFFSET($R$3,0,0,'Données projet'!$E$9+1,1))-AVERAGE(OFFSET($H$3,0,0,'Données projet'!$E$9+1,1))</f>
        <v>432.80275651765203</v>
      </c>
      <c r="T159" s="62">
        <f t="shared" si="142"/>
        <v>203.89279893419919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32.419898023660231</v>
      </c>
      <c r="AA159" s="23">
        <f>EXP(-LN(2)/25)*AA158+(1-EXP(-LN(2)/25))/(LN(2)/25)*Calculateur!V159*Calculateur!X159*VLOOKUP('Données projet'!$B$9,Paramètres!$A$1:$I$89,3,0)*0.475*44/12</f>
        <v>20.087400230788166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52.507298254448401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3.813056537183002E-14</v>
      </c>
      <c r="AK159" s="14">
        <f t="shared" si="164"/>
        <v>6.4086286045526829E-13</v>
      </c>
      <c r="AL159" s="22">
        <f t="shared" si="165"/>
        <v>1.1825802166488628E-12</v>
      </c>
      <c r="AM159" s="62">
        <f t="shared" si="113"/>
        <v>287.35489844708951</v>
      </c>
      <c r="AN159" s="62">
        <f ca="1">AVERAGE(OFFSET($AM$3,0,0,'Données projet'!$E$10+1,1))-AVERAGE(OFFSET($H$3,0,0,'Données projet'!$E$10+1,1))</f>
        <v>273.21861937609918</v>
      </c>
      <c r="AO159" s="62">
        <f t="shared" si="144"/>
        <v>268.83004886965318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25.597630677300675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25.597630677300675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4.6111381379887463E-14</v>
      </c>
      <c r="BF159" s="14">
        <f t="shared" si="167"/>
        <v>7.5804141040779151E-13</v>
      </c>
      <c r="BG159" s="22">
        <f t="shared" si="168"/>
        <v>1.4005661123635408E-12</v>
      </c>
      <c r="BH159" s="62">
        <f t="shared" si="116"/>
        <v>287.35489844708974</v>
      </c>
      <c r="BI159" s="62">
        <f ca="1">AVERAGE(OFFSET($BH$3,0,0,'Données projet'!$E$11+1,1))-AVERAGE(OFFSET($H$3,0,0,'Données projet'!$E$11+1,1))</f>
        <v>319.01020001288975</v>
      </c>
      <c r="BJ159" s="62">
        <f t="shared" si="146"/>
        <v>312.22190035638084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30.955274307433374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30.955274307433374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6.1186256061773749E-14</v>
      </c>
      <c r="CA159" s="14">
        <f t="shared" si="170"/>
        <v>9.7328366192051127E-13</v>
      </c>
      <c r="CB159" s="22">
        <f t="shared" si="171"/>
        <v>1.8017017738191463E-12</v>
      </c>
      <c r="CC159" s="62">
        <f t="shared" si="119"/>
        <v>287.35489844709014</v>
      </c>
      <c r="CD159" s="62">
        <f ca="1">AVERAGE(OFFSET($CC$3,0,0,'Données projet'!$E$12+1,1))-AVERAGE(OFFSET($H$3,0,0,'Données projet'!$E$12+1,1))</f>
        <v>405.06394904053946</v>
      </c>
      <c r="CE159" s="62">
        <f t="shared" si="148"/>
        <v>393.75247087518198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33.325217296863144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33.325217296863144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-3.4705882352941178</v>
      </c>
      <c r="CT159" s="13">
        <f>IF('Données projet'!$A$140&gt;35,CT158+CS159-DB158,IF(A159&lt;'Données projet'!$A$140,$CQ$205^A159,IF(A159='Données projet'!$A$140,'Données projet'!$B$140,CT158+CS159-DB158)))</f>
        <v>265.2352941176469</v>
      </c>
      <c r="CU159" s="18">
        <f>CT159*VLOOKUP('Données projet'!$B$13,Paramètres!$A$1:$I$89,3,0)*VLOOKUP('Données projet'!$B$13,Paramètres!$A$1:$I$89,5,0)</f>
        <v>268.94858823529398</v>
      </c>
      <c r="CV159" s="14">
        <f t="shared" si="173"/>
        <v>64.626082531036886</v>
      </c>
      <c r="CW159" s="22">
        <f t="shared" si="174"/>
        <v>580.97588491802628</v>
      </c>
      <c r="CX159" s="62">
        <f t="shared" si="122"/>
        <v>868.3307833651146</v>
      </c>
      <c r="CY159" s="62">
        <f ca="1">AVERAGE(OFFSET($CX$3,0,0,'Données projet'!$E$13+1,1))-AVERAGE(OFFSET($H$3,0,0,'Données projet'!$E$13+1,1))</f>
        <v>474.46836359712393</v>
      </c>
      <c r="CZ159" s="62">
        <f t="shared" si="150"/>
        <v>221.28699636637722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36.332644336860596</v>
      </c>
      <c r="DG159" s="23">
        <f>EXP(-LN(2)/25)*DG158+(1-EXP(-LN(2)/25))/(LN(2)/25)*Calculateur!DB159*Calculateur!DD159*VLOOKUP('Données projet'!$B$13,Paramètres!$A$1:$I$89,3,0)*0.475*44/12</f>
        <v>22.511741637952255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58.844385974812852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4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-3.4705882352941178</v>
      </c>
      <c r="N160" s="14">
        <f>IF('Données projet'!$A$36&gt;35,N159+M160-V159,IF(A160&lt;'Données projet'!$A$36,$K$205^A160,IF(A160='Données projet'!$A$36,'Données projet'!$B$36,N159+M160-V159)))</f>
        <v>261.76470588235276</v>
      </c>
      <c r="O160" s="14">
        <f>N160*VLOOKUP('Données projet'!$B$9,Paramètres!$A$1:$I$89,3,0)*VLOOKUP('Données projet'!$B$9,Paramètres!$A$1:$I$89,5,0)</f>
        <v>236.84470588235277</v>
      </c>
      <c r="P160" s="14">
        <f t="shared" si="141"/>
        <v>57.760131574272513</v>
      </c>
      <c r="Q160" s="22">
        <f t="shared" si="162"/>
        <v>513.10342523695556</v>
      </c>
      <c r="R160" s="62">
        <f t="shared" si="109"/>
        <v>800.56203616354219</v>
      </c>
      <c r="S160" s="62">
        <f ca="1">AVERAGE(OFFSET($R$3,0,0,'Données projet'!$E$9+1,1))-AVERAGE(OFFSET($H$3,0,0,'Données projet'!$E$9+1,1))</f>
        <v>432.80275651765203</v>
      </c>
      <c r="T160" s="62">
        <f t="shared" si="142"/>
        <v>203.89279893419919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31.784163597601509</v>
      </c>
      <c r="AA160" s="23">
        <f>EXP(-LN(2)/25)*AA159+(1-EXP(-LN(2)/25))/(LN(2)/25)*Calculateur!V160*Calculateur!X160*VLOOKUP('Données projet'!$B$9,Paramètres!$A$1:$I$89,3,0)*0.475*44/12</f>
        <v>19.538109215126795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51.322272812728301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3.813056537183002E-14</v>
      </c>
      <c r="AK160" s="14">
        <f t="shared" si="164"/>
        <v>6.4086286045526829E-13</v>
      </c>
      <c r="AL160" s="22">
        <f t="shared" si="165"/>
        <v>1.1825802166488628E-12</v>
      </c>
      <c r="AM160" s="62">
        <f t="shared" si="113"/>
        <v>287.45861092658777</v>
      </c>
      <c r="AN160" s="62">
        <f ca="1">AVERAGE(OFFSET($AM$3,0,0,'Données projet'!$E$10+1,1))-AVERAGE(OFFSET($H$3,0,0,'Données projet'!$E$10+1,1))</f>
        <v>273.21861937609918</v>
      </c>
      <c r="AO160" s="62">
        <f t="shared" si="144"/>
        <v>268.83004886965318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25.095676752731865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25.095676752731865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4.6111381379887463E-14</v>
      </c>
      <c r="BF160" s="14">
        <f t="shared" si="167"/>
        <v>7.5804141040779151E-13</v>
      </c>
      <c r="BG160" s="22">
        <f t="shared" si="168"/>
        <v>1.4005661123635408E-12</v>
      </c>
      <c r="BH160" s="62">
        <f t="shared" si="116"/>
        <v>287.45861092658799</v>
      </c>
      <c r="BI160" s="62">
        <f ca="1">AVERAGE(OFFSET($BH$3,0,0,'Données projet'!$E$11+1,1))-AVERAGE(OFFSET($H$3,0,0,'Données projet'!$E$11+1,1))</f>
        <v>319.01020001288975</v>
      </c>
      <c r="BJ160" s="62">
        <f t="shared" si="146"/>
        <v>312.22190035638084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30.348260259117605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30.348260259117605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6.1186256061773749E-14</v>
      </c>
      <c r="CA160" s="14">
        <f t="shared" si="170"/>
        <v>9.7328366192051127E-13</v>
      </c>
      <c r="CB160" s="22">
        <f t="shared" si="171"/>
        <v>1.8017017738191463E-12</v>
      </c>
      <c r="CC160" s="62">
        <f t="shared" si="119"/>
        <v>287.45861092658839</v>
      </c>
      <c r="CD160" s="62">
        <f ca="1">AVERAGE(OFFSET($CC$3,0,0,'Données projet'!$E$12+1,1))-AVERAGE(OFFSET($H$3,0,0,'Données projet'!$E$12+1,1))</f>
        <v>405.06394904053946</v>
      </c>
      <c r="CE160" s="62">
        <f t="shared" si="148"/>
        <v>393.75247087518198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32.671730112047143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32.671730112047143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-3.4705882352941178</v>
      </c>
      <c r="CT160" s="13">
        <f>IF('Données projet'!$A$140&gt;35,CT159+CS160-DB159,IF(A160&lt;'Données projet'!$A$140,$CQ$205^A160,IF(A160='Données projet'!$A$140,'Données projet'!$B$140,CT159+CS160-DB159)))</f>
        <v>261.76470588235276</v>
      </c>
      <c r="CU160" s="18">
        <f>CT160*VLOOKUP('Données projet'!$B$13,Paramètres!$A$1:$I$89,3,0)*VLOOKUP('Données projet'!$B$13,Paramètres!$A$1:$I$89,5,0)</f>
        <v>265.42941176470572</v>
      </c>
      <c r="CV160" s="14">
        <f t="shared" si="173"/>
        <v>63.878313382277092</v>
      </c>
      <c r="CW160" s="22">
        <f t="shared" si="174"/>
        <v>573.54428796432842</v>
      </c>
      <c r="CX160" s="62">
        <f t="shared" si="122"/>
        <v>861.00289889091505</v>
      </c>
      <c r="CY160" s="62">
        <f ca="1">AVERAGE(OFFSET($CX$3,0,0,'Données projet'!$E$13+1,1))-AVERAGE(OFFSET($H$3,0,0,'Données projet'!$E$13+1,1))</f>
        <v>474.46836359712393</v>
      </c>
      <c r="CZ160" s="62">
        <f t="shared" si="150"/>
        <v>221.28699636637722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35.620183342139619</v>
      </c>
      <c r="DG160" s="23">
        <f>EXP(-LN(2)/25)*DG159+(1-EXP(-LN(2)/25))/(LN(2)/25)*Calculateur!DB160*Calculateur!DD160*VLOOKUP('Données projet'!$B$13,Paramètres!$A$1:$I$89,3,0)*0.475*44/12</f>
        <v>21.896156879021408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57.51634022116103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4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-3.4705882352941178</v>
      </c>
      <c r="N161" s="14">
        <f>IF('Données projet'!$A$36&gt;35,N160+M161-V160,IF(A161&lt;'Données projet'!$A$36,$K$205^A161,IF(A161='Données projet'!$A$36,'Données projet'!$B$36,N160+M161-V160)))</f>
        <v>258.29411764705861</v>
      </c>
      <c r="O161" s="14">
        <f>N161*VLOOKUP('Données projet'!$B$9,Paramètres!$A$1:$I$89,3,0)*VLOOKUP('Données projet'!$B$9,Paramètres!$A$1:$I$89,5,0)</f>
        <v>233.70451764705862</v>
      </c>
      <c r="P161" s="14">
        <f t="shared" si="141"/>
        <v>57.082938456881209</v>
      </c>
      <c r="Q161" s="22">
        <f t="shared" si="162"/>
        <v>506.45481938102847</v>
      </c>
      <c r="R161" s="62">
        <f t="shared" si="109"/>
        <v>794.01534360746041</v>
      </c>
      <c r="S161" s="62">
        <f ca="1">AVERAGE(OFFSET($R$3,0,0,'Données projet'!$E$9+1,1))-AVERAGE(OFFSET($H$3,0,0,'Données projet'!$E$9+1,1))</f>
        <v>432.80275651765203</v>
      </c>
      <c r="T161" s="62">
        <f t="shared" si="142"/>
        <v>203.89279893419919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31.160895535878087</v>
      </c>
      <c r="AA161" s="23">
        <f>EXP(-LN(2)/25)*AA160+(1-EXP(-LN(2)/25))/(LN(2)/25)*Calculateur!V161*Calculateur!X161*VLOOKUP('Données projet'!$B$9,Paramètres!$A$1:$I$89,3,0)*0.475*44/12</f>
        <v>19.003838591174645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50.164734127052732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3.813056537183002E-14</v>
      </c>
      <c r="AK161" s="14">
        <f t="shared" si="164"/>
        <v>6.4086286045526829E-13</v>
      </c>
      <c r="AL161" s="22">
        <f t="shared" si="165"/>
        <v>1.1825802166488628E-12</v>
      </c>
      <c r="AM161" s="62">
        <f t="shared" si="113"/>
        <v>287.56052422643319</v>
      </c>
      <c r="AN161" s="62">
        <f ca="1">AVERAGE(OFFSET($AM$3,0,0,'Données projet'!$E$10+1,1))-AVERAGE(OFFSET($H$3,0,0,'Données projet'!$E$10+1,1))</f>
        <v>273.21861937609918</v>
      </c>
      <c r="AO161" s="62">
        <f t="shared" si="144"/>
        <v>268.83004886965318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24.603565838462188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24.603565838462188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4.6111381379887463E-14</v>
      </c>
      <c r="BF161" s="14">
        <f t="shared" si="167"/>
        <v>7.5804141040779151E-13</v>
      </c>
      <c r="BG161" s="22">
        <f t="shared" si="168"/>
        <v>1.4005661123635408E-12</v>
      </c>
      <c r="BH161" s="62">
        <f t="shared" si="116"/>
        <v>287.56052422643342</v>
      </c>
      <c r="BI161" s="62">
        <f ca="1">AVERAGE(OFFSET($BH$3,0,0,'Données projet'!$E$11+1,1))-AVERAGE(OFFSET($H$3,0,0,'Données projet'!$E$11+1,1))</f>
        <v>319.01020001288975</v>
      </c>
      <c r="BJ161" s="62">
        <f t="shared" si="146"/>
        <v>312.22190035638084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29.753149386047298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29.753149386047298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6.1186256061773749E-14</v>
      </c>
      <c r="CA161" s="14">
        <f t="shared" si="170"/>
        <v>9.7328366192051127E-13</v>
      </c>
      <c r="CB161" s="22">
        <f t="shared" si="171"/>
        <v>1.8017017738191463E-12</v>
      </c>
      <c r="CC161" s="62">
        <f t="shared" si="119"/>
        <v>287.56052422643381</v>
      </c>
      <c r="CD161" s="62">
        <f ca="1">AVERAGE(OFFSET($CC$3,0,0,'Données projet'!$E$12+1,1))-AVERAGE(OFFSET($H$3,0,0,'Données projet'!$E$12+1,1))</f>
        <v>405.06394904053946</v>
      </c>
      <c r="CE161" s="62">
        <f t="shared" si="148"/>
        <v>393.75247087518198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32.03105741233756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32.03105741233756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-3.4705882352941178</v>
      </c>
      <c r="CT161" s="13">
        <f>IF('Données projet'!$A$140&gt;35,CT160+CS161-DB160,IF(A161&lt;'Données projet'!$A$140,$CQ$205^A161,IF(A161='Données projet'!$A$140,'Données projet'!$B$140,CT160+CS161-DB160)))</f>
        <v>258.29411764705861</v>
      </c>
      <c r="CU161" s="18">
        <f>CT161*VLOOKUP('Données projet'!$B$13,Paramètres!$A$1:$I$89,3,0)*VLOOKUP('Données projet'!$B$13,Paramètres!$A$1:$I$89,5,0)</f>
        <v>261.91023529411746</v>
      </c>
      <c r="CV161" s="14">
        <f t="shared" si="173"/>
        <v>63.129389288892398</v>
      </c>
      <c r="CW161" s="22">
        <f t="shared" si="174"/>
        <v>566.11067948207551</v>
      </c>
      <c r="CX161" s="62">
        <f t="shared" si="122"/>
        <v>853.67120370850751</v>
      </c>
      <c r="CY161" s="62">
        <f ca="1">AVERAGE(OFFSET($CX$3,0,0,'Données projet'!$E$13+1,1))-AVERAGE(OFFSET($H$3,0,0,'Données projet'!$E$13+1,1))</f>
        <v>474.46836359712393</v>
      </c>
      <c r="CZ161" s="62">
        <f t="shared" si="150"/>
        <v>221.28699636637722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34.92169327296682</v>
      </c>
      <c r="DG161" s="23">
        <f>EXP(-LN(2)/25)*DG160+(1-EXP(-LN(2)/25))/(LN(2)/25)*Calculateur!DB161*Calculateur!DD161*VLOOKUP('Données projet'!$B$13,Paramètres!$A$1:$I$89,3,0)*0.475*44/12</f>
        <v>21.297405317695723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56.21909859066254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4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-3.4705882352941178</v>
      </c>
      <c r="N162" s="14">
        <f>IF('Données projet'!$A$36&gt;35,N161+M162-V161,IF(A162&lt;'Données projet'!$A$36,$K$205^A162,IF(A162='Données projet'!$A$36,'Données projet'!$B$36,N161+M162-V161)))</f>
        <v>254.8235294117645</v>
      </c>
      <c r="O162" s="14">
        <f>N162*VLOOKUP('Données projet'!$B$9,Paramètres!$A$1:$I$89,3,0)*VLOOKUP('Données projet'!$B$9,Paramètres!$A$1:$I$89,5,0)</f>
        <v>230.5643294117645</v>
      </c>
      <c r="P162" s="14">
        <f t="shared" si="141"/>
        <v>56.404685335263423</v>
      </c>
      <c r="Q162" s="22">
        <f t="shared" si="162"/>
        <v>499.80436735107361</v>
      </c>
      <c r="R162" s="62">
        <f t="shared" si="109"/>
        <v>787.46503690944257</v>
      </c>
      <c r="S162" s="62">
        <f ca="1">AVERAGE(OFFSET($R$3,0,0,'Données projet'!$E$9+1,1))-AVERAGE(OFFSET($H$3,0,0,'Données projet'!$E$9+1,1))</f>
        <v>432.80275651765203</v>
      </c>
      <c r="T162" s="62">
        <f t="shared" si="142"/>
        <v>203.89279893419919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30.549849380689082</v>
      </c>
      <c r="AA162" s="23">
        <f>EXP(-LN(2)/25)*AA161+(1-EXP(-LN(2)/25))/(LN(2)/25)*Calculateur!V162*Calculateur!X162*VLOOKUP('Données projet'!$B$9,Paramètres!$A$1:$I$89,3,0)*0.475*44/12</f>
        <v>18.484177625530538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49.034027006219617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3.813056537183002E-14</v>
      </c>
      <c r="AK162" s="14">
        <f t="shared" si="164"/>
        <v>6.4086286045526829E-13</v>
      </c>
      <c r="AL162" s="22">
        <f t="shared" si="165"/>
        <v>1.1825802166488628E-12</v>
      </c>
      <c r="AM162" s="62">
        <f t="shared" si="113"/>
        <v>287.66066955837016</v>
      </c>
      <c r="AN162" s="62">
        <f ca="1">AVERAGE(OFFSET($AM$3,0,0,'Données projet'!$E$10+1,1))-AVERAGE(OFFSET($H$3,0,0,'Données projet'!$E$10+1,1))</f>
        <v>273.21861937609918</v>
      </c>
      <c r="AO162" s="62">
        <f t="shared" si="144"/>
        <v>268.83004886965318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24.121104919063317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24.121104919063317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4.6111381379887463E-14</v>
      </c>
      <c r="BF162" s="14">
        <f t="shared" si="167"/>
        <v>7.5804141040779151E-13</v>
      </c>
      <c r="BG162" s="22">
        <f t="shared" si="168"/>
        <v>1.4005661123635408E-12</v>
      </c>
      <c r="BH162" s="62">
        <f t="shared" si="116"/>
        <v>287.66066955837039</v>
      </c>
      <c r="BI162" s="62">
        <f ca="1">AVERAGE(OFFSET($BH$3,0,0,'Données projet'!$E$11+1,1))-AVERAGE(OFFSET($H$3,0,0,'Données projet'!$E$11+1,1))</f>
        <v>319.01020001288975</v>
      </c>
      <c r="BJ162" s="62">
        <f t="shared" si="146"/>
        <v>312.22190035638084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29.169708274216106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29.169708274216106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6.1186256061773749E-14</v>
      </c>
      <c r="CA162" s="14">
        <f t="shared" si="170"/>
        <v>9.7328366192051127E-13</v>
      </c>
      <c r="CB162" s="22">
        <f t="shared" si="171"/>
        <v>1.8017017738191463E-12</v>
      </c>
      <c r="CC162" s="62">
        <f t="shared" si="119"/>
        <v>287.66066955837078</v>
      </c>
      <c r="CD162" s="62">
        <f ca="1">AVERAGE(OFFSET($CC$3,0,0,'Données projet'!$E$12+1,1))-AVERAGE(OFFSET($H$3,0,0,'Données projet'!$E$12+1,1))</f>
        <v>405.06394904053946</v>
      </c>
      <c r="CE162" s="62">
        <f t="shared" si="148"/>
        <v>393.75247087518198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31.40294791349752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31.40294791349752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-3.4705882352941178</v>
      </c>
      <c r="CT162" s="13">
        <f>IF('Données projet'!$A$140&gt;35,CT161+CS162-DB161,IF(A162&lt;'Données projet'!$A$140,$CQ$205^A162,IF(A162='Données projet'!$A$140,'Données projet'!$B$140,CT161+CS162-DB161)))</f>
        <v>254.8235294117645</v>
      </c>
      <c r="CU162" s="18">
        <f>CT162*VLOOKUP('Données projet'!$B$13,Paramètres!$A$1:$I$89,3,0)*VLOOKUP('Données projet'!$B$13,Paramètres!$A$1:$I$89,5,0)</f>
        <v>258.39105882352925</v>
      </c>
      <c r="CV162" s="14">
        <f t="shared" si="173"/>
        <v>62.379292911437005</v>
      </c>
      <c r="CW162" s="22">
        <f t="shared" si="174"/>
        <v>558.6750292717328</v>
      </c>
      <c r="CX162" s="62">
        <f t="shared" si="122"/>
        <v>846.33569883010182</v>
      </c>
      <c r="CY162" s="62">
        <f ca="1">AVERAGE(OFFSET($CX$3,0,0,'Données projet'!$E$13+1,1))-AVERAGE(OFFSET($H$3,0,0,'Données projet'!$E$13+1,1))</f>
        <v>474.46836359712393</v>
      </c>
      <c r="CZ162" s="62">
        <f t="shared" si="150"/>
        <v>221.28699636637722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34.236900168013626</v>
      </c>
      <c r="DG162" s="23">
        <f>EXP(-LN(2)/25)*DG161+(1-EXP(-LN(2)/25))/(LN(2)/25)*Calculateur!DB162*Calculateur!DD162*VLOOKUP('Données projet'!$B$13,Paramètres!$A$1:$I$89,3,0)*0.475*44/12</f>
        <v>20.715026649301464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54.951926817315091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4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-3.4705882352941178</v>
      </c>
      <c r="N163" s="14">
        <f>IF('Données projet'!$A$36&gt;35,N162+M163-V162,IF(A163&lt;'Données projet'!$A$36,$K$205^A163,IF(A163='Données projet'!$A$36,'Données projet'!$B$36,N162+M163-V162)))</f>
        <v>251.35294117647038</v>
      </c>
      <c r="O163" s="14">
        <f>N163*VLOOKUP('Données projet'!$B$9,Paramètres!$A$1:$I$89,3,0)*VLOOKUP('Données projet'!$B$9,Paramètres!$A$1:$I$89,5,0)</f>
        <v>227.42414117647041</v>
      </c>
      <c r="P163" s="14">
        <f t="shared" si="141"/>
        <v>55.72535607839356</v>
      </c>
      <c r="Q163" s="22">
        <f t="shared" si="162"/>
        <v>493.15204105222142</v>
      </c>
      <c r="R163" s="62">
        <f t="shared" si="109"/>
        <v>780.91111864490972</v>
      </c>
      <c r="S163" s="62">
        <f ca="1">AVERAGE(OFFSET($R$3,0,0,'Données projet'!$E$9+1,1))-AVERAGE(OFFSET($H$3,0,0,'Données projet'!$E$9+1,1))</f>
        <v>432.80275651765203</v>
      </c>
      <c r="T163" s="62">
        <f t="shared" si="142"/>
        <v>203.89279893419919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29.95078546790198</v>
      </c>
      <c r="AA163" s="23">
        <f>EXP(-LN(2)/25)*AA162+(1-EXP(-LN(2)/25))/(LN(2)/25)*Calculateur!V163*Calculateur!X163*VLOOKUP('Données projet'!$B$9,Paramètres!$A$1:$I$89,3,0)*0.475*44/12</f>
        <v>17.97872681631975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47.92951228422173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3.813056537183002E-14</v>
      </c>
      <c r="AK163" s="14">
        <f t="shared" si="164"/>
        <v>6.4086286045526829E-13</v>
      </c>
      <c r="AL163" s="22">
        <f t="shared" si="165"/>
        <v>1.1825802166488628E-12</v>
      </c>
      <c r="AM163" s="62">
        <f t="shared" si="113"/>
        <v>287.75907759268955</v>
      </c>
      <c r="AN163" s="62">
        <f ca="1">AVERAGE(OFFSET($AM$3,0,0,'Données projet'!$E$10+1,1))-AVERAGE(OFFSET($H$3,0,0,'Données projet'!$E$10+1,1))</f>
        <v>273.21861937609918</v>
      </c>
      <c r="AO163" s="62">
        <f t="shared" si="144"/>
        <v>268.83004886965318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23.648104764021756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23.648104764021756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4.6111381379887463E-14</v>
      </c>
      <c r="BF163" s="14">
        <f t="shared" si="167"/>
        <v>7.5804141040779151E-13</v>
      </c>
      <c r="BG163" s="22">
        <f t="shared" si="168"/>
        <v>1.4005661123635408E-12</v>
      </c>
      <c r="BH163" s="62">
        <f t="shared" si="116"/>
        <v>287.75907759268978</v>
      </c>
      <c r="BI163" s="62">
        <f ca="1">AVERAGE(OFFSET($BH$3,0,0,'Données projet'!$E$11+1,1))-AVERAGE(OFFSET($H$3,0,0,'Données projet'!$E$11+1,1))</f>
        <v>319.01020001288975</v>
      </c>
      <c r="BJ163" s="62">
        <f t="shared" si="146"/>
        <v>312.22190035638084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28.597708086723983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28.597708086723983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6.1186256061773749E-14</v>
      </c>
      <c r="CA163" s="14">
        <f t="shared" si="170"/>
        <v>9.7328366192051127E-13</v>
      </c>
      <c r="CB163" s="22">
        <f t="shared" si="171"/>
        <v>1.8017017738191463E-12</v>
      </c>
      <c r="CC163" s="62">
        <f t="shared" si="119"/>
        <v>287.75907759269018</v>
      </c>
      <c r="CD163" s="62">
        <f ca="1">AVERAGE(OFFSET($CC$3,0,0,'Données projet'!$E$12+1,1))-AVERAGE(OFFSET($H$3,0,0,'Données projet'!$E$12+1,1))</f>
        <v>405.06394904053946</v>
      </c>
      <c r="CE163" s="62">
        <f t="shared" si="148"/>
        <v>393.75247087518198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30.787155258820771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30.787155258820771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-3.4705882352941178</v>
      </c>
      <c r="CT163" s="13">
        <f>IF('Données projet'!$A$140&gt;35,CT162+CS163-DB162,IF(A163&lt;'Données projet'!$A$140,$CQ$205^A163,IF(A163='Données projet'!$A$140,'Données projet'!$B$140,CT162+CS163-DB162)))</f>
        <v>251.35294117647038</v>
      </c>
      <c r="CU163" s="18">
        <f>CT163*VLOOKUP('Données projet'!$B$13,Paramètres!$A$1:$I$89,3,0)*VLOOKUP('Données projet'!$B$13,Paramètres!$A$1:$I$89,5,0)</f>
        <v>254.87188235294101</v>
      </c>
      <c r="CV163" s="14">
        <f t="shared" si="173"/>
        <v>61.628006410223172</v>
      </c>
      <c r="CW163" s="22">
        <f t="shared" si="174"/>
        <v>551.23730626251086</v>
      </c>
      <c r="CX163" s="62">
        <f t="shared" si="122"/>
        <v>838.99638385519916</v>
      </c>
      <c r="CY163" s="62">
        <f ca="1">AVERAGE(OFFSET($CX$3,0,0,'Données projet'!$E$13+1,1))-AVERAGE(OFFSET($H$3,0,0,'Données projet'!$E$13+1,1))</f>
        <v>474.46836359712393</v>
      </c>
      <c r="CZ163" s="62">
        <f t="shared" si="150"/>
        <v>221.28699636637722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33.565535438166009</v>
      </c>
      <c r="DG163" s="23">
        <f>EXP(-LN(2)/25)*DG162+(1-EXP(-LN(2)/25))/(LN(2)/25)*Calculateur!DB163*Calculateur!DD163*VLOOKUP('Données projet'!$B$13,Paramètres!$A$1:$I$89,3,0)*0.475*44/12</f>
        <v>20.148573156220408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53.714108594386417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4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-3.4705882352941178</v>
      </c>
      <c r="N164" s="14">
        <f>IF('Données projet'!$A$36&gt;35,N163+M164-V163,IF(A164&lt;'Données projet'!$A$36,$K$205^A164,IF(A164='Données projet'!$A$36,'Données projet'!$B$36,N163+M164-V163)))</f>
        <v>247.88235294117626</v>
      </c>
      <c r="O164" s="14">
        <f>N164*VLOOKUP('Données projet'!$B$9,Paramètres!$A$1:$I$89,3,0)*VLOOKUP('Données projet'!$B$9,Paramètres!$A$1:$I$89,5,0)</f>
        <v>224.28395294117627</v>
      </c>
      <c r="P164" s="14">
        <f t="shared" si="141"/>
        <v>55.04493408343513</v>
      </c>
      <c r="Q164" s="22">
        <f t="shared" si="162"/>
        <v>486.49781156786486</v>
      </c>
      <c r="R164" s="62">
        <f t="shared" si="109"/>
        <v>774.35359003548456</v>
      </c>
      <c r="S164" s="62">
        <f ca="1">AVERAGE(OFFSET($R$3,0,0,'Données projet'!$E$9+1,1))-AVERAGE(OFFSET($H$3,0,0,'Données projet'!$E$9+1,1))</f>
        <v>432.80275651765203</v>
      </c>
      <c r="T164" s="62">
        <f t="shared" si="142"/>
        <v>203.89279893419919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29.363468833051726</v>
      </c>
      <c r="AA164" s="23">
        <f>EXP(-LN(2)/25)*AA163+(1-EXP(-LN(2)/25))/(LN(2)/25)*Calculateur!V164*Calculateur!X164*VLOOKUP('Données projet'!$B$9,Paramètres!$A$1:$I$89,3,0)*0.475*44/12</f>
        <v>17.487097586067335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46.850566419119062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3.813056537183002E-14</v>
      </c>
      <c r="AK164" s="14">
        <f t="shared" si="164"/>
        <v>6.4086286045526829E-13</v>
      </c>
      <c r="AL164" s="22">
        <f t="shared" si="165"/>
        <v>1.1825802166488628E-12</v>
      </c>
      <c r="AM164" s="62">
        <f t="shared" si="113"/>
        <v>287.85577846762089</v>
      </c>
      <c r="AN164" s="62">
        <f ca="1">AVERAGE(OFFSET($AM$3,0,0,'Données projet'!$E$10+1,1))-AVERAGE(OFFSET($H$3,0,0,'Données projet'!$E$10+1,1))</f>
        <v>273.21861937609918</v>
      </c>
      <c r="AO164" s="62">
        <f t="shared" si="144"/>
        <v>268.83004886965318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23.184379853518951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23.184379853518951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4.6111381379887463E-14</v>
      </c>
      <c r="BF164" s="14">
        <f t="shared" si="167"/>
        <v>7.5804141040779151E-13</v>
      </c>
      <c r="BG164" s="22">
        <f t="shared" si="168"/>
        <v>1.4005661123635408E-12</v>
      </c>
      <c r="BH164" s="62">
        <f t="shared" si="116"/>
        <v>287.85577846762112</v>
      </c>
      <c r="BI164" s="62">
        <f ca="1">AVERAGE(OFFSET($BH$3,0,0,'Données projet'!$E$11+1,1))-AVERAGE(OFFSET($H$3,0,0,'Données projet'!$E$11+1,1))</f>
        <v>319.01020001288975</v>
      </c>
      <c r="BJ164" s="62">
        <f t="shared" si="146"/>
        <v>312.22190035638084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28.036924474022918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28.036924474022918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6.1186256061773749E-14</v>
      </c>
      <c r="CA164" s="14">
        <f t="shared" si="170"/>
        <v>9.7328366192051127E-13</v>
      </c>
      <c r="CB164" s="22">
        <f t="shared" si="171"/>
        <v>1.8017017738191463E-12</v>
      </c>
      <c r="CC164" s="62">
        <f t="shared" si="119"/>
        <v>287.85577846762152</v>
      </c>
      <c r="CD164" s="62">
        <f ca="1">AVERAGE(OFFSET($CC$3,0,0,'Données projet'!$E$12+1,1))-AVERAGE(OFFSET($H$3,0,0,'Données projet'!$E$12+1,1))</f>
        <v>405.06394904053946</v>
      </c>
      <c r="CE164" s="62">
        <f t="shared" si="148"/>
        <v>393.75247087518198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30.183437922505799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30.183437922505799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-3.4705882352941178</v>
      </c>
      <c r="CT164" s="13">
        <f>IF('Données projet'!$A$140&gt;35,CT163+CS164-DB163,IF(A164&lt;'Données projet'!$A$140,$CQ$205^A164,IF(A164='Données projet'!$A$140,'Données projet'!$B$140,CT163+CS164-DB163)))</f>
        <v>247.88235294117626</v>
      </c>
      <c r="CU164" s="18">
        <f>CT164*VLOOKUP('Données projet'!$B$13,Paramètres!$A$1:$I$89,3,0)*VLOOKUP('Données projet'!$B$13,Paramètres!$A$1:$I$89,5,0)</f>
        <v>251.35270588235272</v>
      </c>
      <c r="CV164" s="14">
        <f t="shared" si="173"/>
        <v>60.875511423776409</v>
      </c>
      <c r="CW164" s="22">
        <f t="shared" si="174"/>
        <v>543.79747847484157</v>
      </c>
      <c r="CX164" s="62">
        <f t="shared" si="122"/>
        <v>831.65325694246121</v>
      </c>
      <c r="CY164" s="62">
        <f ca="1">AVERAGE(OFFSET($CX$3,0,0,'Données projet'!$E$13+1,1))-AVERAGE(OFFSET($H$3,0,0,'Données projet'!$E$13+1,1))</f>
        <v>474.46836359712393</v>
      </c>
      <c r="CZ164" s="62">
        <f t="shared" si="150"/>
        <v>221.28699636637722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32.907335761178658</v>
      </c>
      <c r="DG164" s="23">
        <f>EXP(-LN(2)/25)*DG163+(1-EXP(-LN(2)/25))/(LN(2)/25)*Calculateur!DB164*Calculateur!DD164*VLOOKUP('Données projet'!$B$13,Paramètres!$A$1:$I$89,3,0)*0.475*44/12</f>
        <v>19.597609363696147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52.504945124874808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4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-3.4705882352941178</v>
      </c>
      <c r="N165" s="14">
        <f>IF('Données projet'!$A$36&gt;35,N164+M165-V164,IF(A165&lt;'Données projet'!$A$36,$K$205^A165,IF(A165='Données projet'!$A$36,'Données projet'!$B$36,N164+M165-V164)))</f>
        <v>244.41176470588215</v>
      </c>
      <c r="O165" s="14">
        <f>N165*VLOOKUP('Données projet'!$B$9,Paramètres!$A$1:$I$89,3,0)*VLOOKUP('Données projet'!$B$9,Paramètres!$A$1:$I$89,5,0)</f>
        <v>221.14376470588218</v>
      </c>
      <c r="P165" s="14">
        <f t="shared" si="141"/>
        <v>54.36340225513532</v>
      </c>
      <c r="Q165" s="22">
        <f t="shared" si="162"/>
        <v>479.84164912377219</v>
      </c>
      <c r="R165" s="62">
        <f t="shared" si="109"/>
        <v>767.79245092233396</v>
      </c>
      <c r="S165" s="62">
        <f ca="1">AVERAGE(OFFSET($R$3,0,0,'Données projet'!$E$9+1,1))-AVERAGE(OFFSET($H$3,0,0,'Données projet'!$E$9+1,1))</f>
        <v>432.80275651765203</v>
      </c>
      <c r="T165" s="62">
        <f t="shared" si="142"/>
        <v>203.89279893419919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28.787669119183111</v>
      </c>
      <c r="AA165" s="23">
        <f>EXP(-LN(2)/25)*AA164+(1-EXP(-LN(2)/25))/(LN(2)/25)*Calculateur!V165*Calculateur!X165*VLOOKUP('Données projet'!$B$9,Paramètres!$A$1:$I$89,3,0)*0.475*44/12</f>
        <v>17.008911982969828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45.796581102152942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3.813056537183002E-14</v>
      </c>
      <c r="AK165" s="14">
        <f t="shared" si="164"/>
        <v>6.4086286045526829E-13</v>
      </c>
      <c r="AL165" s="22">
        <f t="shared" si="165"/>
        <v>1.1825802166488628E-12</v>
      </c>
      <c r="AM165" s="62">
        <f t="shared" si="113"/>
        <v>287.95080179856291</v>
      </c>
      <c r="AN165" s="62">
        <f ca="1">AVERAGE(OFFSET($AM$3,0,0,'Données projet'!$E$10+1,1))-AVERAGE(OFFSET($H$3,0,0,'Données projet'!$E$10+1,1))</f>
        <v>273.21861937609918</v>
      </c>
      <c r="AO165" s="62">
        <f t="shared" si="144"/>
        <v>268.83004886965318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22.729748305666842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22.729748305666842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4.6111381379887463E-14</v>
      </c>
      <c r="BF165" s="14">
        <f t="shared" si="167"/>
        <v>7.5804141040779151E-13</v>
      </c>
      <c r="BG165" s="22">
        <f t="shared" si="168"/>
        <v>1.4005661123635408E-12</v>
      </c>
      <c r="BH165" s="62">
        <f t="shared" si="116"/>
        <v>287.95080179856313</v>
      </c>
      <c r="BI165" s="62">
        <f ca="1">AVERAGE(OFFSET($BH$3,0,0,'Données projet'!$E$11+1,1))-AVERAGE(OFFSET($H$3,0,0,'Données projet'!$E$11+1,1))</f>
        <v>319.01020001288975</v>
      </c>
      <c r="BJ165" s="62">
        <f t="shared" si="146"/>
        <v>312.22190035638084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27.487137485922691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27.487137485922691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6.1186256061773749E-14</v>
      </c>
      <c r="CA165" s="14">
        <f t="shared" si="170"/>
        <v>9.7328366192051127E-13</v>
      </c>
      <c r="CB165" s="22">
        <f t="shared" si="171"/>
        <v>1.8017017738191463E-12</v>
      </c>
      <c r="CC165" s="62">
        <f t="shared" si="119"/>
        <v>287.95080179856353</v>
      </c>
      <c r="CD165" s="62">
        <f ca="1">AVERAGE(OFFSET($CC$3,0,0,'Données projet'!$E$12+1,1))-AVERAGE(OFFSET($H$3,0,0,'Données projet'!$E$12+1,1))</f>
        <v>405.06394904053946</v>
      </c>
      <c r="CE165" s="62">
        <f t="shared" si="148"/>
        <v>393.75247087518198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29.591559114924749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29.591559114924749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-3.4705882352941178</v>
      </c>
      <c r="CT165" s="13">
        <f>IF('Données projet'!$A$140&gt;35,CT164+CS165-DB164,IF(A165&lt;'Données projet'!$A$140,$CQ$205^A165,IF(A165='Données projet'!$A$140,'Données projet'!$B$140,CT164+CS165-DB164)))</f>
        <v>244.41176470588215</v>
      </c>
      <c r="CU165" s="18">
        <f>CT165*VLOOKUP('Données projet'!$B$13,Paramètres!$A$1:$I$89,3,0)*VLOOKUP('Données projet'!$B$13,Paramètres!$A$1:$I$89,5,0)</f>
        <v>247.83352941176452</v>
      </c>
      <c r="CV165" s="14">
        <f t="shared" si="173"/>
        <v>60.121789046046821</v>
      </c>
      <c r="CW165" s="22">
        <f t="shared" si="174"/>
        <v>536.3555129806881</v>
      </c>
      <c r="CX165" s="62">
        <f t="shared" si="122"/>
        <v>824.30631477924976</v>
      </c>
      <c r="CY165" s="62">
        <f ca="1">AVERAGE(OFFSET($CX$3,0,0,'Données projet'!$E$13+1,1))-AVERAGE(OFFSET($H$3,0,0,'Données projet'!$E$13+1,1))</f>
        <v>474.46836359712393</v>
      </c>
      <c r="CZ165" s="62">
        <f t="shared" si="150"/>
        <v>221.28699636637722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32.262042978394867</v>
      </c>
      <c r="DG165" s="23">
        <f>EXP(-LN(2)/25)*DG164+(1-EXP(-LN(2)/25))/(LN(2)/25)*Calculateur!DB165*Calculateur!DD165*VLOOKUP('Données projet'!$B$13,Paramètres!$A$1:$I$89,3,0)*0.475*44/12</f>
        <v>19.061711705052392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51.323754683447262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4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-3.4705882352941178</v>
      </c>
      <c r="N166" s="14">
        <f>IF('Données projet'!$A$36&gt;35,N165+M166-V165,IF(A166&lt;'Données projet'!$A$36,$K$205^A166,IF(A166='Données projet'!$A$36,'Données projet'!$B$36,N165+M166-V165)))</f>
        <v>240.94117647058803</v>
      </c>
      <c r="O166" s="14">
        <f>N166*VLOOKUP('Données projet'!$B$9,Paramètres!$A$1:$I$89,3,0)*VLOOKUP('Données projet'!$B$9,Paramètres!$A$1:$I$89,5,0)</f>
        <v>218.00357647058803</v>
      </c>
      <c r="P166" s="14">
        <f t="shared" si="141"/>
        <v>53.680742984013051</v>
      </c>
      <c r="Q166" s="22">
        <f t="shared" si="162"/>
        <v>473.18352305009688</v>
      </c>
      <c r="R166" s="62">
        <f t="shared" si="109"/>
        <v>761.22769973724917</v>
      </c>
      <c r="S166" s="62">
        <f ca="1">AVERAGE(OFFSET($R$3,0,0,'Données projet'!$E$9+1,1))-AVERAGE(OFFSET($H$3,0,0,'Données projet'!$E$9+1,1))</f>
        <v>432.80275651765203</v>
      </c>
      <c r="T166" s="62">
        <f t="shared" si="142"/>
        <v>203.89279893419919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28.223160486500312</v>
      </c>
      <c r="AA166" s="23">
        <f>EXP(-LN(2)/25)*AA165+(1-EXP(-LN(2)/25))/(LN(2)/25)*Calculateur!V166*Calculateur!X166*VLOOKUP('Données projet'!$B$9,Paramètres!$A$1:$I$89,3,0)*0.475*44/12</f>
        <v>16.54380239033571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44.766962876836018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3.813056537183002E-14</v>
      </c>
      <c r="AK166" s="14">
        <f t="shared" si="164"/>
        <v>6.4086286045526829E-13</v>
      </c>
      <c r="AL166" s="22">
        <f t="shared" si="165"/>
        <v>1.1825802166488628E-12</v>
      </c>
      <c r="AM166" s="62">
        <f t="shared" si="113"/>
        <v>288.04417668715342</v>
      </c>
      <c r="AN166" s="62">
        <f ca="1">AVERAGE(OFFSET($AM$3,0,0,'Données projet'!$E$10+1,1))-AVERAGE(OFFSET($H$3,0,0,'Données projet'!$E$10+1,1))</f>
        <v>273.21861937609918</v>
      </c>
      <c r="AO166" s="62">
        <f t="shared" si="144"/>
        <v>268.83004886965318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22.284031805170248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22.284031805170248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4.6111381379887463E-14</v>
      </c>
      <c r="BF166" s="14">
        <f t="shared" si="167"/>
        <v>7.5804141040779151E-13</v>
      </c>
      <c r="BG166" s="22">
        <f t="shared" si="168"/>
        <v>1.4005661123635408E-12</v>
      </c>
      <c r="BH166" s="62">
        <f t="shared" si="116"/>
        <v>288.04417668715365</v>
      </c>
      <c r="BI166" s="62">
        <f ca="1">AVERAGE(OFFSET($BH$3,0,0,'Données projet'!$E$11+1,1))-AVERAGE(OFFSET($H$3,0,0,'Données projet'!$E$11+1,1))</f>
        <v>319.01020001288975</v>
      </c>
      <c r="BJ166" s="62">
        <f t="shared" si="146"/>
        <v>312.22190035638084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26.948131485322158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26.948131485322158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6.1186256061773749E-14</v>
      </c>
      <c r="CA166" s="14">
        <f t="shared" si="170"/>
        <v>9.7328366192051127E-13</v>
      </c>
      <c r="CB166" s="22">
        <f t="shared" si="171"/>
        <v>1.8017017738191463E-12</v>
      </c>
      <c r="CC166" s="62">
        <f t="shared" si="119"/>
        <v>288.04417668715405</v>
      </c>
      <c r="CD166" s="62">
        <f ca="1">AVERAGE(OFFSET($CC$3,0,0,'Données projet'!$E$12+1,1))-AVERAGE(OFFSET($H$3,0,0,'Données projet'!$E$12+1,1))</f>
        <v>405.06394904053946</v>
      </c>
      <c r="CE166" s="62">
        <f t="shared" si="148"/>
        <v>393.75247087518198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29.011286689749937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29.011286689749937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-3.4705882352941178</v>
      </c>
      <c r="CT166" s="13">
        <f>IF('Données projet'!$A$140&gt;35,CT165+CS166-DB165,IF(A166&lt;'Données projet'!$A$140,$CQ$205^A166,IF(A166='Données projet'!$A$140,'Données projet'!$B$140,CT165+CS166-DB165)))</f>
        <v>240.94117647058803</v>
      </c>
      <c r="CU166" s="18">
        <f>CT166*VLOOKUP('Données projet'!$B$13,Paramètres!$A$1:$I$89,3,0)*VLOOKUP('Données projet'!$B$13,Paramètres!$A$1:$I$89,5,0)</f>
        <v>244.31435294117628</v>
      </c>
      <c r="CV166" s="14">
        <f t="shared" si="173"/>
        <v>59.366819802287594</v>
      </c>
      <c r="CW166" s="22">
        <f t="shared" si="174"/>
        <v>528.91137586153286</v>
      </c>
      <c r="CX166" s="62">
        <f t="shared" si="122"/>
        <v>816.95555254868509</v>
      </c>
      <c r="CY166" s="62">
        <f ca="1">AVERAGE(OFFSET($CX$3,0,0,'Données projet'!$E$13+1,1))-AVERAGE(OFFSET($H$3,0,0,'Données projet'!$E$13+1,1))</f>
        <v>474.46836359712393</v>
      </c>
      <c r="CZ166" s="62">
        <f t="shared" si="150"/>
        <v>221.28699636637722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31.629403993491728</v>
      </c>
      <c r="DG166" s="23">
        <f>EXP(-LN(2)/25)*DG165+(1-EXP(-LN(2)/25))/(LN(2)/25)*Calculateur!DB166*Calculateur!DD166*VLOOKUP('Données projet'!$B$13,Paramètres!$A$1:$I$89,3,0)*0.475*44/12</f>
        <v>18.540468196065881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50.169872189557609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4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-3.4705882352941178</v>
      </c>
      <c r="N167" s="14">
        <f>IF('Données projet'!$A$36&gt;35,N166+M167-V166,IF(A167&lt;'Données projet'!$A$36,$K$205^A167,IF(A167='Données projet'!$A$36,'Données projet'!$B$36,N166+M167-V166)))</f>
        <v>237.47058823529392</v>
      </c>
      <c r="O167" s="14">
        <f>N167*VLOOKUP('Données projet'!$B$9,Paramètres!$A$1:$I$89,3,0)*VLOOKUP('Données projet'!$B$9,Paramètres!$A$1:$I$89,5,0)</f>
        <v>214.86338823529394</v>
      </c>
      <c r="P167" s="14">
        <f t="shared" si="141"/>
        <v>52.996938123253891</v>
      </c>
      <c r="Q167" s="22">
        <f t="shared" si="162"/>
        <v>466.52340174113743</v>
      </c>
      <c r="R167" s="62">
        <f t="shared" si="109"/>
        <v>754.65933347131818</v>
      </c>
      <c r="S167" s="62">
        <f ca="1">AVERAGE(OFFSET($R$3,0,0,'Données projet'!$E$9+1,1))-AVERAGE(OFFSET($H$3,0,0,'Données projet'!$E$9+1,1))</f>
        <v>432.80275651765203</v>
      </c>
      <c r="T167" s="62">
        <f t="shared" si="142"/>
        <v>203.89279893419919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27.669721523788155</v>
      </c>
      <c r="AA167" s="23">
        <f>EXP(-LN(2)/25)*AA166+(1-EXP(-LN(2)/25))/(LN(2)/25)*Calculateur!V167*Calculateur!X167*VLOOKUP('Données projet'!$B$9,Paramètres!$A$1:$I$89,3,0)*0.475*44/12</f>
        <v>16.091411243971223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43.761132767759378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3.813056537183002E-14</v>
      </c>
      <c r="AK167" s="14">
        <f t="shared" si="164"/>
        <v>6.4086286045526829E-13</v>
      </c>
      <c r="AL167" s="22">
        <f t="shared" si="165"/>
        <v>1.1825802166488628E-12</v>
      </c>
      <c r="AM167" s="62">
        <f t="shared" si="113"/>
        <v>288.13593173018188</v>
      </c>
      <c r="AN167" s="62">
        <f ca="1">AVERAGE(OFFSET($AM$3,0,0,'Données projet'!$E$10+1,1))-AVERAGE(OFFSET($H$3,0,0,'Données projet'!$E$10+1,1))</f>
        <v>273.21861937609918</v>
      </c>
      <c r="AO167" s="62">
        <f t="shared" si="144"/>
        <v>268.83004886965318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21.847055533388168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21.847055533388168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4.6111381379887463E-14</v>
      </c>
      <c r="BF167" s="14">
        <f t="shared" si="167"/>
        <v>7.5804141040779151E-13</v>
      </c>
      <c r="BG167" s="22">
        <f t="shared" si="168"/>
        <v>1.4005661123635408E-12</v>
      </c>
      <c r="BH167" s="62">
        <f t="shared" si="116"/>
        <v>288.13593173018211</v>
      </c>
      <c r="BI167" s="62">
        <f ca="1">AVERAGE(OFFSET($BH$3,0,0,'Données projet'!$E$11+1,1))-AVERAGE(OFFSET($H$3,0,0,'Données projet'!$E$11+1,1))</f>
        <v>319.01020001288975</v>
      </c>
      <c r="BJ167" s="62">
        <f t="shared" si="146"/>
        <v>312.22190035638084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26.419695063632204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26.419695063632204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6.1186256061773749E-14</v>
      </c>
      <c r="CA167" s="14">
        <f t="shared" si="170"/>
        <v>9.7328366192051127E-13</v>
      </c>
      <c r="CB167" s="22">
        <f t="shared" si="171"/>
        <v>1.8017017738191463E-12</v>
      </c>
      <c r="CC167" s="62">
        <f t="shared" si="119"/>
        <v>288.13593173018251</v>
      </c>
      <c r="CD167" s="62">
        <f ca="1">AVERAGE(OFFSET($CC$3,0,0,'Données projet'!$E$12+1,1))-AVERAGE(OFFSET($H$3,0,0,'Données projet'!$E$12+1,1))</f>
        <v>405.06394904053946</v>
      </c>
      <c r="CE167" s="62">
        <f t="shared" si="148"/>
        <v>393.75247087518198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28.442393052901572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28.442393052901572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-3.4705882352941178</v>
      </c>
      <c r="CT167" s="13">
        <f>IF('Données projet'!$A$140&gt;35,CT166+CS167-DB166,IF(A167&lt;'Données projet'!$A$140,$CQ$205^A167,IF(A167='Données projet'!$A$140,'Données projet'!$B$140,CT166+CS167-DB166)))</f>
        <v>237.47058823529392</v>
      </c>
      <c r="CU167" s="18">
        <f>CT167*VLOOKUP('Données projet'!$B$13,Paramètres!$A$1:$I$89,3,0)*VLOOKUP('Données projet'!$B$13,Paramètres!$A$1:$I$89,5,0)</f>
        <v>240.79517647058805</v>
      </c>
      <c r="CV167" s="14">
        <f t="shared" si="173"/>
        <v>58.610583623501654</v>
      </c>
      <c r="CW167" s="22">
        <f t="shared" si="174"/>
        <v>521.46503216387293</v>
      </c>
      <c r="CX167" s="62">
        <f t="shared" si="122"/>
        <v>809.60096389405362</v>
      </c>
      <c r="CY167" s="62">
        <f ca="1">AVERAGE(OFFSET($CX$3,0,0,'Données projet'!$E$13+1,1))-AVERAGE(OFFSET($H$3,0,0,'Données projet'!$E$13+1,1))</f>
        <v>474.46836359712393</v>
      </c>
      <c r="CZ167" s="62">
        <f t="shared" si="150"/>
        <v>221.28699636637722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31.009170673210861</v>
      </c>
      <c r="DG167" s="23">
        <f>EXP(-LN(2)/25)*DG166+(1-EXP(-LN(2)/25))/(LN(2)/25)*Calculateur!DB167*Calculateur!DD167*VLOOKUP('Données projet'!$B$13,Paramètres!$A$1:$I$89,3,0)*0.475*44/12</f>
        <v>18.033478118243611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49.042648791454468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4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-3.4705882352941178</v>
      </c>
      <c r="N168" s="14">
        <f>IF('Données projet'!$A$36&gt;35,N167+M168-V167,IF(A168&lt;'Données projet'!$A$36,$K$205^A168,IF(A168='Données projet'!$A$36,'Données projet'!$B$36,N167+M168-V167)))</f>
        <v>233.9999999999998</v>
      </c>
      <c r="O168" s="14">
        <f>N168*VLOOKUP('Données projet'!$B$9,Paramètres!$A$1:$I$89,3,0)*VLOOKUP('Données projet'!$B$9,Paramètres!$A$1:$I$89,5,0)</f>
        <v>211.72319999999982</v>
      </c>
      <c r="P168" s="14">
        <f t="shared" si="141"/>
        <v>52.311968964212028</v>
      </c>
      <c r="Q168" s="22">
        <f t="shared" si="162"/>
        <v>459.86125261266892</v>
      </c>
      <c r="R168" s="62">
        <f t="shared" si="109"/>
        <v>748.08734764101507</v>
      </c>
      <c r="S168" s="62">
        <f ca="1">AVERAGE(OFFSET($R$3,0,0,'Données projet'!$E$9+1,1))-AVERAGE(OFFSET($H$3,0,0,'Données projet'!$E$9+1,1))</f>
        <v>432.80275651765203</v>
      </c>
      <c r="T168" s="62">
        <f t="shared" si="142"/>
        <v>203.89279893419919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27.127135161570347</v>
      </c>
      <c r="AA168" s="23">
        <f>EXP(-LN(2)/25)*AA167+(1-EXP(-LN(2)/25))/(LN(2)/25)*Calculateur!V168*Calculateur!X168*VLOOKUP('Données projet'!$B$9,Paramètres!$A$1:$I$89,3,0)*0.475*44/12</f>
        <v>15.651390757294291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42.778525918864638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3.813056537183002E-14</v>
      </c>
      <c r="AK168" s="14">
        <f t="shared" si="164"/>
        <v>6.4086286045526829E-13</v>
      </c>
      <c r="AL168" s="22">
        <f t="shared" si="165"/>
        <v>1.1825802166488628E-12</v>
      </c>
      <c r="AM168" s="62">
        <f t="shared" si="113"/>
        <v>288.22609502834734</v>
      </c>
      <c r="AN168" s="62">
        <f ca="1">AVERAGE(OFFSET($AM$3,0,0,'Données projet'!$E$10+1,1))-AVERAGE(OFFSET($H$3,0,0,'Données projet'!$E$10+1,1))</f>
        <v>273.21861937609918</v>
      </c>
      <c r="AO168" s="62">
        <f t="shared" si="144"/>
        <v>268.83004886965318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21.418648099766529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21.418648099766529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4.6111381379887463E-14</v>
      </c>
      <c r="BF168" s="14">
        <f t="shared" si="167"/>
        <v>7.5804141040779151E-13</v>
      </c>
      <c r="BG168" s="22">
        <f t="shared" si="168"/>
        <v>1.4005661123635408E-12</v>
      </c>
      <c r="BH168" s="62">
        <f t="shared" si="116"/>
        <v>288.22609502834757</v>
      </c>
      <c r="BI168" s="62">
        <f ca="1">AVERAGE(OFFSET($BH$3,0,0,'Données projet'!$E$11+1,1))-AVERAGE(OFFSET($H$3,0,0,'Données projet'!$E$11+1,1))</f>
        <v>319.01020001288975</v>
      </c>
      <c r="BJ168" s="62">
        <f t="shared" si="146"/>
        <v>312.22190035638084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25.901620957857197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25.901620957857197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6.1186256061773749E-14</v>
      </c>
      <c r="CA168" s="14">
        <f t="shared" si="170"/>
        <v>9.7328366192051127E-13</v>
      </c>
      <c r="CB168" s="22">
        <f t="shared" si="171"/>
        <v>1.8017017738191463E-12</v>
      </c>
      <c r="CC168" s="62">
        <f t="shared" si="119"/>
        <v>288.22609502834797</v>
      </c>
      <c r="CD168" s="62">
        <f ca="1">AVERAGE(OFFSET($CC$3,0,0,'Données projet'!$E$12+1,1))-AVERAGE(OFFSET($H$3,0,0,'Données projet'!$E$12+1,1))</f>
        <v>405.06394904053946</v>
      </c>
      <c r="CE168" s="62">
        <f t="shared" si="148"/>
        <v>393.75247087518198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27.884655073280946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27.884655073280946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-3.4705882352941178</v>
      </c>
      <c r="CT168" s="13">
        <f>IF('Données projet'!$A$140&gt;35,CT167+CS168-DB167,IF(A168&lt;'Données projet'!$A$140,$CQ$205^A168,IF(A168='Données projet'!$A$140,'Données projet'!$B$140,CT167+CS168-DB167)))</f>
        <v>233.9999999999998</v>
      </c>
      <c r="CU168" s="18">
        <f>CT168*VLOOKUP('Données projet'!$B$13,Paramètres!$A$1:$I$89,3,0)*VLOOKUP('Données projet'!$B$13,Paramètres!$A$1:$I$89,5,0)</f>
        <v>237.27599999999981</v>
      </c>
      <c r="CV168" s="14">
        <f t="shared" si="173"/>
        <v>57.853059819349511</v>
      </c>
      <c r="CW168" s="22">
        <f t="shared" si="174"/>
        <v>514.01644585203337</v>
      </c>
      <c r="CX168" s="62">
        <f t="shared" si="122"/>
        <v>802.24254088037947</v>
      </c>
      <c r="CY168" s="62">
        <f ca="1">AVERAGE(OFFSET($CX$3,0,0,'Données projet'!$E$13+1,1))-AVERAGE(OFFSET($H$3,0,0,'Données projet'!$E$13+1,1))</f>
        <v>474.46836359712393</v>
      </c>
      <c r="CZ168" s="62">
        <f t="shared" si="150"/>
        <v>221.28699636637722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30.40109975003573</v>
      </c>
      <c r="DG168" s="23">
        <f>EXP(-LN(2)/25)*DG167+(1-EXP(-LN(2)/25))/(LN(2)/25)*Calculateur!DB168*Calculateur!DD168*VLOOKUP('Données projet'!$B$13,Paramètres!$A$1:$I$89,3,0)*0.475*44/12</f>
        <v>17.540351710760842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47.941451460796571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4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-3.4705882352941178</v>
      </c>
      <c r="N169" s="14">
        <f>IF('Données projet'!$A$36&gt;35,N168+M169-V168,IF(A169&lt;'Données projet'!$A$36,$K$205^A169,IF(A169='Données projet'!$A$36,'Données projet'!$B$36,N168+M169-V168)))</f>
        <v>230.52941176470569</v>
      </c>
      <c r="O169" s="14">
        <f>N169*VLOOKUP('Données projet'!$B$9,Paramètres!$A$1:$I$89,3,0)*VLOOKUP('Données projet'!$B$9,Paramètres!$A$1:$I$89,5,0)</f>
        <v>208.58301176470567</v>
      </c>
      <c r="P169" s="14">
        <f t="shared" si="141"/>
        <v>51.625816210416218</v>
      </c>
      <c r="Q169" s="22">
        <f t="shared" si="162"/>
        <v>453.19704205667063</v>
      </c>
      <c r="R169" s="62">
        <f t="shared" si="109"/>
        <v>741.5117362515341</v>
      </c>
      <c r="S169" s="62">
        <f ca="1">AVERAGE(OFFSET($R$3,0,0,'Données projet'!$E$9+1,1))-AVERAGE(OFFSET($H$3,0,0,'Données projet'!$E$9+1,1))</f>
        <v>432.80275651765203</v>
      </c>
      <c r="T169" s="62">
        <f t="shared" si="142"/>
        <v>203.89279893419919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26.595188586970629</v>
      </c>
      <c r="AA169" s="23">
        <f>EXP(-LN(2)/25)*AA168+(1-EXP(-LN(2)/25))/(LN(2)/25)*Calculateur!V169*Calculateur!X169*VLOOKUP('Données projet'!$B$9,Paramètres!$A$1:$I$89,3,0)*0.475*44/12</f>
        <v>15.223402653965209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41.818591240935838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3.813056537183002E-14</v>
      </c>
      <c r="AK169" s="14">
        <f t="shared" si="164"/>
        <v>6.4086286045526829E-13</v>
      </c>
      <c r="AL169" s="22">
        <f t="shared" si="165"/>
        <v>1.1825802166488628E-12</v>
      </c>
      <c r="AM169" s="62">
        <f t="shared" si="113"/>
        <v>288.31469419486461</v>
      </c>
      <c r="AN169" s="62">
        <f ca="1">AVERAGE(OFFSET($AM$3,0,0,'Données projet'!$E$10+1,1))-AVERAGE(OFFSET($H$3,0,0,'Données projet'!$E$10+1,1))</f>
        <v>273.21861937609918</v>
      </c>
      <c r="AO169" s="62">
        <f t="shared" si="144"/>
        <v>268.83004886965318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20.998641474615475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20.998641474615475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4.6111381379887463E-14</v>
      </c>
      <c r="BF169" s="14">
        <f t="shared" si="167"/>
        <v>7.5804141040779151E-13</v>
      </c>
      <c r="BG169" s="22">
        <f t="shared" si="168"/>
        <v>1.4005661123635408E-12</v>
      </c>
      <c r="BH169" s="62">
        <f t="shared" si="116"/>
        <v>288.31469419486484</v>
      </c>
      <c r="BI169" s="62">
        <f ca="1">AVERAGE(OFFSET($BH$3,0,0,'Données projet'!$E$11+1,1))-AVERAGE(OFFSET($H$3,0,0,'Données projet'!$E$11+1,1))</f>
        <v>319.01020001288975</v>
      </c>
      <c r="BJ169" s="62">
        <f t="shared" si="146"/>
        <v>312.22190035638084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25.393705969302438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25.393705969302438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6.1186256061773749E-14</v>
      </c>
      <c r="CA169" s="14">
        <f t="shared" si="170"/>
        <v>9.7328366192051127E-13</v>
      </c>
      <c r="CB169" s="22">
        <f t="shared" si="171"/>
        <v>1.8017017738191463E-12</v>
      </c>
      <c r="CC169" s="62">
        <f t="shared" si="119"/>
        <v>288.31469419486524</v>
      </c>
      <c r="CD169" s="62">
        <f ca="1">AVERAGE(OFFSET($CC$3,0,0,'Données projet'!$E$12+1,1))-AVERAGE(OFFSET($H$3,0,0,'Données projet'!$E$12+1,1))</f>
        <v>405.06394904053946</v>
      </c>
      <c r="CE169" s="62">
        <f t="shared" si="148"/>
        <v>393.75247087518198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27.337853995254104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27.337853995254104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-3.4705882352941178</v>
      </c>
      <c r="CT169" s="13">
        <f>IF('Données projet'!$A$140&gt;35,CT168+CS169-DB168,IF(A169&lt;'Données projet'!$A$140,$CQ$205^A169,IF(A169='Données projet'!$A$140,'Données projet'!$B$140,CT168+CS169-DB168)))</f>
        <v>230.52941176470569</v>
      </c>
      <c r="CU169" s="18">
        <f>CT169*VLOOKUP('Données projet'!$B$13,Paramètres!$A$1:$I$89,3,0)*VLOOKUP('Données projet'!$B$13,Paramètres!$A$1:$I$89,5,0)</f>
        <v>233.75682352941161</v>
      </c>
      <c r="CV169" s="14">
        <f t="shared" si="173"/>
        <v>57.094227049401304</v>
      </c>
      <c r="CW169" s="22">
        <f t="shared" si="174"/>
        <v>506.5655797580992</v>
      </c>
      <c r="CX169" s="62">
        <f t="shared" si="122"/>
        <v>794.88027395296263</v>
      </c>
      <c r="CY169" s="62">
        <f ca="1">AVERAGE(OFFSET($CX$3,0,0,'Données projet'!$E$13+1,1))-AVERAGE(OFFSET($H$3,0,0,'Données projet'!$E$13+1,1))</f>
        <v>474.46836359712393</v>
      </c>
      <c r="CZ169" s="62">
        <f t="shared" si="150"/>
        <v>221.28699636637722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29.804952726777422</v>
      </c>
      <c r="DG169" s="23">
        <f>EXP(-LN(2)/25)*DG168+(1-EXP(-LN(2)/25))/(LN(2)/25)*Calculateur!DB169*Calculateur!DD169*VLOOKUP('Données projet'!$B$13,Paramètres!$A$1:$I$89,3,0)*0.475*44/12</f>
        <v>17.060709870823079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46.865662597600505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4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-3.4705882352941178</v>
      </c>
      <c r="N170" s="14">
        <f>IF('Données projet'!$A$36&gt;35,N169+M170-V169,IF(A170&lt;'Données projet'!$A$36,$K$205^A170,IF(A170='Données projet'!$A$36,'Données projet'!$B$36,N169+M170-V169)))</f>
        <v>227.05882352941157</v>
      </c>
      <c r="O170" s="14">
        <f>N170*VLOOKUP('Données projet'!$B$9,Paramètres!$A$1:$I$89,3,0)*VLOOKUP('Données projet'!$B$9,Paramètres!$A$1:$I$89,5,0)</f>
        <v>205.44282352941158</v>
      </c>
      <c r="P170" s="14">
        <f t="shared" si="141"/>
        <v>50.938459949962592</v>
      </c>
      <c r="Q170" s="22">
        <f t="shared" si="162"/>
        <v>446.53073539324333</v>
      </c>
      <c r="R170" s="62">
        <f t="shared" si="109"/>
        <v>734.93249175716301</v>
      </c>
      <c r="S170" s="62">
        <f ca="1">AVERAGE(OFFSET($R$3,0,0,'Données projet'!$E$9+1,1))-AVERAGE(OFFSET($H$3,0,0,'Données projet'!$E$9+1,1))</f>
        <v>432.80275651765203</v>
      </c>
      <c r="T170" s="62">
        <f t="shared" si="142"/>
        <v>203.89279893419919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26.073673160243438</v>
      </c>
      <c r="AA170" s="23">
        <f>EXP(-LN(2)/25)*AA169+(1-EXP(-LN(2)/25))/(LN(2)/25)*Calculateur!V170*Calculateur!X170*VLOOKUP('Données projet'!$B$9,Paramètres!$A$1:$I$89,3,0)*0.475*44/12</f>
        <v>14.807117907828578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40.880791068072014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3.813056537183002E-14</v>
      </c>
      <c r="AK170" s="14">
        <f t="shared" si="164"/>
        <v>6.4086286045526829E-13</v>
      </c>
      <c r="AL170" s="22">
        <f t="shared" si="165"/>
        <v>1.1825802166488628E-12</v>
      </c>
      <c r="AM170" s="62">
        <f t="shared" si="113"/>
        <v>288.40175636392081</v>
      </c>
      <c r="AN170" s="62">
        <f ca="1">AVERAGE(OFFSET($AM$3,0,0,'Données projet'!$E$10+1,1))-AVERAGE(OFFSET($H$3,0,0,'Données projet'!$E$10+1,1))</f>
        <v>273.21861937609918</v>
      </c>
      <c r="AO170" s="62">
        <f t="shared" si="144"/>
        <v>268.83004886965318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20.586870923204888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20.586870923204888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4.6111381379887463E-14</v>
      </c>
      <c r="BF170" s="14">
        <f t="shared" si="167"/>
        <v>7.5804141040779151E-13</v>
      </c>
      <c r="BG170" s="22">
        <f t="shared" si="168"/>
        <v>1.4005661123635408E-12</v>
      </c>
      <c r="BH170" s="62">
        <f t="shared" si="116"/>
        <v>288.40175636392104</v>
      </c>
      <c r="BI170" s="62">
        <f ca="1">AVERAGE(OFFSET($BH$3,0,0,'Données projet'!$E$11+1,1))-AVERAGE(OFFSET($H$3,0,0,'Données projet'!$E$11+1,1))</f>
        <v>319.01020001288975</v>
      </c>
      <c r="BJ170" s="62">
        <f t="shared" si="146"/>
        <v>312.22190035638084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24.895750883875682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24.895750883875682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6.1186256061773749E-14</v>
      </c>
      <c r="CA170" s="14">
        <f t="shared" si="170"/>
        <v>9.7328366192051127E-13</v>
      </c>
      <c r="CB170" s="22">
        <f t="shared" si="171"/>
        <v>1.8017017738191463E-12</v>
      </c>
      <c r="CC170" s="62">
        <f t="shared" si="119"/>
        <v>288.40175636392144</v>
      </c>
      <c r="CD170" s="62">
        <f ca="1">AVERAGE(OFFSET($CC$3,0,0,'Données projet'!$E$12+1,1))-AVERAGE(OFFSET($H$3,0,0,'Données projet'!$E$12+1,1))</f>
        <v>405.06394904053946</v>
      </c>
      <c r="CE170" s="62">
        <f t="shared" si="148"/>
        <v>393.75247087518198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26.801775352851642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26.801775352851642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-3.4705882352941178</v>
      </c>
      <c r="CT170" s="13">
        <f>IF('Données projet'!$A$140&gt;35,CT169+CS170-DB169,IF(A170&lt;'Données projet'!$A$140,$CQ$205^A170,IF(A170='Données projet'!$A$140,'Données projet'!$B$140,CT169+CS170-DB169)))</f>
        <v>227.05882352941157</v>
      </c>
      <c r="CU170" s="18">
        <f>CT170*VLOOKUP('Données projet'!$B$13,Paramètres!$A$1:$I$89,3,0)*VLOOKUP('Données projet'!$B$13,Paramètres!$A$1:$I$89,5,0)</f>
        <v>230.23764705882337</v>
      </c>
      <c r="CV170" s="14">
        <f t="shared" si="173"/>
        <v>56.334063292605315</v>
      </c>
      <c r="CW170" s="22">
        <f t="shared" si="174"/>
        <v>499.11239552873826</v>
      </c>
      <c r="CX170" s="62">
        <f t="shared" si="122"/>
        <v>787.51415189265788</v>
      </c>
      <c r="CY170" s="62">
        <f ca="1">AVERAGE(OFFSET($CX$3,0,0,'Données projet'!$E$13+1,1))-AVERAGE(OFFSET($H$3,0,0,'Données projet'!$E$13+1,1))</f>
        <v>474.46836359712393</v>
      </c>
      <c r="CZ170" s="62">
        <f t="shared" si="150"/>
        <v>221.28699636637722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29.220495783031431</v>
      </c>
      <c r="DG170" s="23">
        <f>EXP(-LN(2)/25)*DG169+(1-EXP(-LN(2)/25))/(LN(2)/25)*Calculateur!DB170*Calculateur!DD170*VLOOKUP('Données projet'!$B$13,Paramètres!$A$1:$I$89,3,0)*0.475*44/12</f>
        <v>16.594183862221684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45.814679645253115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4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>
        <f>VLOOKUP(A171,'Données projet'!$A$35:$I$55,2,0)</f>
        <v>369</v>
      </c>
      <c r="L171" s="13">
        <f>VLOOKUP(A171,'Données projet'!$A$35:$I$55,9,0)</f>
        <v>-3.4705882352941178</v>
      </c>
      <c r="M171" s="13">
        <f t="array" ref="M171">INDEX(L:L,MIN(IF(ISNUMBER(L171:L367),ROW(L171:L367),"")))</f>
        <v>-3.4705882352941178</v>
      </c>
      <c r="N171" s="14">
        <f>IF('Données projet'!$A$36&gt;35,N170+M171-V170,IF(A171&lt;'Données projet'!$A$36,$K$205^A171,IF(A171='Données projet'!$A$36,'Données projet'!$B$36,N170+M171-V170)))</f>
        <v>223.58823529411745</v>
      </c>
      <c r="O171" s="14">
        <f>N171*VLOOKUP('Données projet'!$B$9,Paramètres!$A$1:$I$89,3,0)*VLOOKUP('Données projet'!$B$9,Paramètres!$A$1:$I$89,5,0)</f>
        <v>202.30263529411749</v>
      </c>
      <c r="P171" s="14">
        <f t="shared" si="141"/>
        <v>50.249879626168386</v>
      </c>
      <c r="Q171" s="22">
        <f t="shared" si="162"/>
        <v>439.86229681949789</v>
      </c>
      <c r="R171" s="62">
        <f t="shared" si="109"/>
        <v>728.34960501848241</v>
      </c>
      <c r="S171" s="62">
        <f ca="1">AVERAGE(OFFSET($R$3,0,0,'Données projet'!$E$9+1,1))-AVERAGE(OFFSET($H$3,0,0,'Données projet'!$E$9+1,1))</f>
        <v>432.80275651765203</v>
      </c>
      <c r="T171" s="62">
        <f t="shared" si="142"/>
        <v>203.89279893419919</v>
      </c>
      <c r="U171" s="16">
        <f>IF(ISNA(VLOOKUP(A171,'Données projet'!$A$35:$I$55,3,0)),0,VLOOKUP(A171,'Données projet'!$A$35:$I$55,3,0))</f>
        <v>13</v>
      </c>
      <c r="V171" s="16">
        <f>IF(ISNA(VLOOKUP(A171,'Données projet'!$A$35:$I$55,4,0)),0,VLOOKUP(A171,'Données projet'!$A$35:$I$55,4,0))</f>
        <v>41</v>
      </c>
      <c r="W171" s="17">
        <f>IF(ISNA(VLOOKUP(A171,'Données projet'!$A$35:$I$55,5,0)),0%,VLOOKUP(A171,'Données projet'!$A$35:$I$55,5,0)*VLOOKUP('Données projet'!$B$9,Paramètres!$A$1:$I$89,7,0))</f>
        <v>0.215</v>
      </c>
      <c r="X171" s="17">
        <f>IF(ISNA(VLOOKUP(A171,'Données projet'!$A$35:$I$55,6,0)),0%,VLOOKUP(A171,'Données projet'!$A$35:$I$55,6,0)*VLOOKUP('Données projet'!$B$9,Paramètres!$A$1:$I$89,7,0))</f>
        <v>0.17200000000000001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34.37940825166482</v>
      </c>
      <c r="AA171" s="23">
        <f>EXP(-LN(2)/25)*AA170+(1-EXP(-LN(2)/25))/(LN(2)/25)*Calculateur!V171*Calculateur!X171*VLOOKUP('Données projet'!$B$9,Paramètres!$A$1:$I$89,3,0)*0.475*44/12</f>
        <v>21.428062838771275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55.807471090436096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3.813056537183002E-14</v>
      </c>
      <c r="AK171" s="14">
        <f t="shared" si="164"/>
        <v>6.4086286045526829E-13</v>
      </c>
      <c r="AL171" s="22">
        <f t="shared" si="165"/>
        <v>1.1825802166488628E-12</v>
      </c>
      <c r="AM171" s="62">
        <f t="shared" si="113"/>
        <v>288.48730819898572</v>
      </c>
      <c r="AN171" s="62">
        <f ca="1">AVERAGE(OFFSET($AM$3,0,0,'Données projet'!$E$10+1,1))-AVERAGE(OFFSET($H$3,0,0,'Données projet'!$E$10+1,1))</f>
        <v>273.21861937609918</v>
      </c>
      <c r="AO171" s="62">
        <f t="shared" si="144"/>
        <v>268.83004886965318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20.183174941152227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20.183174941152227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4.6111381379887463E-14</v>
      </c>
      <c r="BF171" s="14">
        <f t="shared" si="167"/>
        <v>7.5804141040779151E-13</v>
      </c>
      <c r="BG171" s="22">
        <f t="shared" si="168"/>
        <v>1.4005661123635408E-12</v>
      </c>
      <c r="BH171" s="62">
        <f t="shared" si="116"/>
        <v>288.48730819898594</v>
      </c>
      <c r="BI171" s="62">
        <f ca="1">AVERAGE(OFFSET($BH$3,0,0,'Données projet'!$E$11+1,1))-AVERAGE(OFFSET($H$3,0,0,'Données projet'!$E$11+1,1))</f>
        <v>319.01020001288975</v>
      </c>
      <c r="BJ171" s="62">
        <f t="shared" si="146"/>
        <v>312.22190035638084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24.407560393951535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24.407560393951535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6.1186256061773749E-14</v>
      </c>
      <c r="CA171" s="14">
        <f t="shared" si="170"/>
        <v>9.7328366192051127E-13</v>
      </c>
      <c r="CB171" s="22">
        <f t="shared" si="171"/>
        <v>1.8017017738191463E-12</v>
      </c>
      <c r="CC171" s="62">
        <f t="shared" si="119"/>
        <v>288.48730819898634</v>
      </c>
      <c r="CD171" s="62">
        <f ca="1">AVERAGE(OFFSET($CC$3,0,0,'Données projet'!$E$12+1,1))-AVERAGE(OFFSET($H$3,0,0,'Données projet'!$E$12+1,1))</f>
        <v>405.06394904053946</v>
      </c>
      <c r="CE171" s="62">
        <f t="shared" si="148"/>
        <v>393.75247087518198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26.276208885651009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26.276208885651009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>
        <f>VLOOKUP(A171,'Données projet'!$A$139:$I$159,2,0)</f>
        <v>369</v>
      </c>
      <c r="CR171" s="13">
        <f>VLOOKUP(A171,'Données projet'!$A$139:$I$159,9,0)</f>
        <v>-3.4705882352941178</v>
      </c>
      <c r="CS171" s="13">
        <f t="array" ref="CS171">INDEX(CR:CR,MIN(IF(ISNUMBER(CR171:CR367),ROW(CR171:CR367),"")))</f>
        <v>-3.4705882352941178</v>
      </c>
      <c r="CT171" s="13">
        <f>IF('Données projet'!$A$140&gt;35,CT170+CS171-DB170,IF(A171&lt;'Données projet'!$A$140,$CQ$205^A171,IF(A171='Données projet'!$A$140,'Données projet'!$B$140,CT170+CS171-DB170)))</f>
        <v>223.58823529411745</v>
      </c>
      <c r="CU171" s="18">
        <f>CT171*VLOOKUP('Données projet'!$B$13,Paramètres!$A$1:$I$89,3,0)*VLOOKUP('Données projet'!$B$13,Paramètres!$A$1:$I$89,5,0)</f>
        <v>226.71847058823511</v>
      </c>
      <c r="CV171" s="14">
        <f t="shared" si="173"/>
        <v>55.572545814833703</v>
      </c>
      <c r="CW171" s="22">
        <f t="shared" si="174"/>
        <v>491.65685356867812</v>
      </c>
      <c r="CX171" s="62">
        <f t="shared" si="122"/>
        <v>780.14416176766258</v>
      </c>
      <c r="CY171" s="62">
        <f ca="1">AVERAGE(OFFSET($CX$3,0,0,'Données projet'!$E$13+1,1))-AVERAGE(OFFSET($H$3,0,0,'Données projet'!$E$13+1,1))</f>
        <v>474.46836359712393</v>
      </c>
      <c r="CZ171" s="62">
        <f t="shared" si="150"/>
        <v>221.28699636637722</v>
      </c>
      <c r="DA171" s="16">
        <f>IF(ISNA(VLOOKUP(A171,'Données projet'!$A$139:$I$159,3,0)),0,VLOOKUP(A171,'Données projet'!$A$139:$I$159,3,0))</f>
        <v>13</v>
      </c>
      <c r="DB171" s="16">
        <f>IF(ISNA(VLOOKUP(A171,'Données projet'!$A$139:$I$159,4,0)),0,VLOOKUP(A171,'Données projet'!$A$139:$I$159,4,0))</f>
        <v>41</v>
      </c>
      <c r="DC171" s="17">
        <f>IF(ISNA(VLOOKUP(A171,'Données projet'!$A$139:$I$159,5,0)),0%,VLOOKUP(A171,'Données projet'!$A$139:$I$159,5,0)*VLOOKUP('Données projet'!$B$13,Paramètres!$A$1:$I$89,7,0))</f>
        <v>0.215</v>
      </c>
      <c r="DD171" s="17">
        <f>IF(ISNA(VLOOKUP(A171,'Données projet'!$A$139:$I$159,6,0)),0%,VLOOKUP(A171,'Données projet'!$A$139:$I$159,6,0)*VLOOKUP('Données projet'!$B$13,Paramètres!$A$1:$I$89,7,0))</f>
        <v>0.17200000000000001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38.528647178589878</v>
      </c>
      <c r="DG171" s="23">
        <f>EXP(-LN(2)/25)*DG170+(1-EXP(-LN(2)/25))/(LN(2)/25)*Calculateur!DB171*Calculateur!DD171*VLOOKUP('Données projet'!$B$13,Paramètres!$A$1:$I$89,3,0)*0.475*44/12</f>
        <v>24.014208353795397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62.542855532385275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4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3.3333333333333335</v>
      </c>
      <c r="N172" s="14">
        <f>IF('Données projet'!$A$36&gt;35,N171+M172-V171,IF(A172&lt;'Données projet'!$A$36,$K$205^A172,IF(A172='Données projet'!$A$36,'Données projet'!$B$36,N171+M172-V171)))</f>
        <v>185.9215686274508</v>
      </c>
      <c r="O172" s="14">
        <f>N172*VLOOKUP('Données projet'!$B$9,Paramètres!$A$1:$I$89,3,0)*VLOOKUP('Données projet'!$B$9,Paramètres!$A$1:$I$89,5,0)</f>
        <v>168.22183529411745</v>
      </c>
      <c r="P172" s="14">
        <f t="shared" si="141"/>
        <v>42.69153045558064</v>
      </c>
      <c r="Q172" s="22">
        <f t="shared" si="162"/>
        <v>367.34077868072421</v>
      </c>
      <c r="R172" s="62">
        <f t="shared" si="109"/>
        <v>655.91215458170063</v>
      </c>
      <c r="S172" s="62">
        <f ca="1">AVERAGE(OFFSET($R$3,0,0,'Données projet'!$E$9+1,1))-AVERAGE(OFFSET($H$3,0,0,'Données projet'!$E$9+1,1))</f>
        <v>432.80275651765203</v>
      </c>
      <c r="T172" s="62">
        <f t="shared" si="142"/>
        <v>203.89279893419919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33.705249025218151</v>
      </c>
      <c r="AA172" s="23">
        <f>EXP(-LN(2)/25)*AA171+(1-EXP(-LN(2)/25))/(LN(2)/25)*Calculateur!V172*Calculateur!X172*VLOOKUP('Données projet'!$B$9,Paramètres!$A$1:$I$89,3,0)*0.475*44/12</f>
        <v>20.842111333592225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54.54736035881038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3.813056537183002E-14</v>
      </c>
      <c r="AK172" s="14">
        <f t="shared" si="164"/>
        <v>6.4086286045526829E-13</v>
      </c>
      <c r="AL172" s="22">
        <f t="shared" si="165"/>
        <v>1.1825802166488628E-12</v>
      </c>
      <c r="AM172" s="62">
        <f t="shared" si="113"/>
        <v>288.57137590097761</v>
      </c>
      <c r="AN172" s="62">
        <f ca="1">AVERAGE(OFFSET($AM$3,0,0,'Données projet'!$E$10+1,1))-AVERAGE(OFFSET($H$3,0,0,'Données projet'!$E$10+1,1))</f>
        <v>273.21861937609918</v>
      </c>
      <c r="AO172" s="62">
        <f t="shared" si="144"/>
        <v>268.83004886965318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19.787395191077383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19.787395191077383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4.6111381379887463E-14</v>
      </c>
      <c r="BF172" s="14">
        <f t="shared" si="167"/>
        <v>7.5804141040779151E-13</v>
      </c>
      <c r="BG172" s="22">
        <f t="shared" si="168"/>
        <v>1.4005661123635408E-12</v>
      </c>
      <c r="BH172" s="62">
        <f t="shared" si="116"/>
        <v>288.57137590097784</v>
      </c>
      <c r="BI172" s="62">
        <f ca="1">AVERAGE(OFFSET($BH$3,0,0,'Données projet'!$E$11+1,1))-AVERAGE(OFFSET($H$3,0,0,'Données projet'!$E$11+1,1))</f>
        <v>319.01020001288975</v>
      </c>
      <c r="BJ172" s="62">
        <f t="shared" si="146"/>
        <v>312.22190035638084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23.928943021768003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23.928943021768003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6.1186256061773749E-14</v>
      </c>
      <c r="CA172" s="14">
        <f t="shared" si="170"/>
        <v>9.7328366192051127E-13</v>
      </c>
      <c r="CB172" s="22">
        <f t="shared" si="171"/>
        <v>1.8017017738191463E-12</v>
      </c>
      <c r="CC172" s="62">
        <f t="shared" si="119"/>
        <v>288.57137590097824</v>
      </c>
      <c r="CD172" s="62">
        <f ca="1">AVERAGE(OFFSET($CC$3,0,0,'Données projet'!$E$12+1,1))-AVERAGE(OFFSET($H$3,0,0,'Données projet'!$E$12+1,1))</f>
        <v>405.06394904053946</v>
      </c>
      <c r="CE172" s="62">
        <f t="shared" si="148"/>
        <v>393.75247087518198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25.760948456308288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25.760948456308288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3.3333333333333335</v>
      </c>
      <c r="CT172" s="13">
        <f>IF('Données projet'!$A$140&gt;35,CT171+CS172-DB171,IF(A172&lt;'Données projet'!$A$140,$CQ$205^A172,IF(A172='Données projet'!$A$140,'Données projet'!$B$140,CT171+CS172-DB171)))</f>
        <v>185.9215686274508</v>
      </c>
      <c r="CU172" s="18">
        <f>CT172*VLOOKUP('Données projet'!$B$13,Paramètres!$A$1:$I$89,3,0)*VLOOKUP('Données projet'!$B$13,Paramètres!$A$1:$I$89,5,0)</f>
        <v>188.52447058823512</v>
      </c>
      <c r="CV172" s="14">
        <f t="shared" si="173"/>
        <v>47.213586376684979</v>
      </c>
      <c r="CW172" s="22">
        <f t="shared" si="174"/>
        <v>410.57711588056912</v>
      </c>
      <c r="CX172" s="62">
        <f t="shared" si="122"/>
        <v>699.14849178154554</v>
      </c>
      <c r="CY172" s="62">
        <f ca="1">AVERAGE(OFFSET($CX$3,0,0,'Données projet'!$E$13+1,1))-AVERAGE(OFFSET($H$3,0,0,'Données projet'!$E$13+1,1))</f>
        <v>474.46836359712393</v>
      </c>
      <c r="CZ172" s="62">
        <f t="shared" si="150"/>
        <v>221.28699636637722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37.773123907572064</v>
      </c>
      <c r="DG172" s="23">
        <f>EXP(-LN(2)/25)*DG171+(1-EXP(-LN(2)/25))/(LN(2)/25)*Calculateur!DB172*Calculateur!DD172*VLOOKUP('Données projet'!$B$13,Paramètres!$A$1:$I$89,3,0)*0.475*44/12</f>
        <v>23.35753856350853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61.130662471080598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4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3.3333333333333335</v>
      </c>
      <c r="N173" s="14">
        <f>IF('Données projet'!$A$36&gt;35,N172+M173-V172,IF(A173&lt;'Données projet'!$A$36,$K$205^A173,IF(A173='Données projet'!$A$36,'Données projet'!$B$36,N172+M173-V172)))</f>
        <v>189.25490196078414</v>
      </c>
      <c r="O173" s="14">
        <f>N173*VLOOKUP('Données projet'!$B$9,Paramètres!$A$1:$I$89,3,0)*VLOOKUP('Données projet'!$B$9,Paramètres!$A$1:$I$89,5,0)</f>
        <v>171.23783529411747</v>
      </c>
      <c r="P173" s="14">
        <f t="shared" si="141"/>
        <v>43.367140345686025</v>
      </c>
      <c r="Q173" s="22">
        <f t="shared" si="162"/>
        <v>373.77033257265776</v>
      </c>
      <c r="R173" s="62">
        <f t="shared" si="109"/>
        <v>662.42431778894365</v>
      </c>
      <c r="S173" s="62">
        <f ca="1">AVERAGE(OFFSET($R$3,0,0,'Données projet'!$E$9+1,1))-AVERAGE(OFFSET($H$3,0,0,'Données projet'!$E$9+1,1))</f>
        <v>432.80275651765203</v>
      </c>
      <c r="T173" s="62">
        <f t="shared" si="142"/>
        <v>203.89279893419919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33.04430965000558</v>
      </c>
      <c r="AA173" s="23">
        <f>EXP(-LN(2)/25)*AA172+(1-EXP(-LN(2)/25))/(LN(2)/25)*Calculateur!V173*Calculateur!X173*VLOOKUP('Données projet'!$B$9,Paramètres!$A$1:$I$89,3,0)*0.475*44/12</f>
        <v>20.272182703136146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53.316492353141726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3.813056537183002E-14</v>
      </c>
      <c r="AK173" s="14">
        <f t="shared" si="164"/>
        <v>6.4086286045526829E-13</v>
      </c>
      <c r="AL173" s="22">
        <f t="shared" si="165"/>
        <v>1.1825802166488628E-12</v>
      </c>
      <c r="AM173" s="62">
        <f t="shared" si="113"/>
        <v>288.65398521628708</v>
      </c>
      <c r="AN173" s="62">
        <f ca="1">AVERAGE(OFFSET($AM$3,0,0,'Données projet'!$E$10+1,1))-AVERAGE(OFFSET($H$3,0,0,'Données projet'!$E$10+1,1))</f>
        <v>273.21861937609918</v>
      </c>
      <c r="AO173" s="62">
        <f t="shared" si="144"/>
        <v>268.83004886965318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19.399376440499697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19.399376440499697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4.6111381379887463E-14</v>
      </c>
      <c r="BF173" s="14">
        <f t="shared" si="167"/>
        <v>7.5804141040779151E-13</v>
      </c>
      <c r="BG173" s="22">
        <f t="shared" si="168"/>
        <v>1.4005661123635408E-12</v>
      </c>
      <c r="BH173" s="62">
        <f t="shared" si="116"/>
        <v>288.65398521628731</v>
      </c>
      <c r="BI173" s="62">
        <f ca="1">AVERAGE(OFFSET($BH$3,0,0,'Données projet'!$E$11+1,1))-AVERAGE(OFFSET($H$3,0,0,'Données projet'!$E$11+1,1))</f>
        <v>319.01020001288975</v>
      </c>
      <c r="BJ173" s="62">
        <f t="shared" si="146"/>
        <v>312.22190035638084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23.459711044325218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23.459711044325218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6.1186256061773749E-14</v>
      </c>
      <c r="CA173" s="14">
        <f t="shared" si="170"/>
        <v>9.7328366192051127E-13</v>
      </c>
      <c r="CB173" s="22">
        <f t="shared" si="171"/>
        <v>1.8017017738191463E-12</v>
      </c>
      <c r="CC173" s="62">
        <f t="shared" si="119"/>
        <v>288.65398521628771</v>
      </c>
      <c r="CD173" s="62">
        <f ca="1">AVERAGE(OFFSET($CC$3,0,0,'Données projet'!$E$12+1,1))-AVERAGE(OFFSET($H$3,0,0,'Données projet'!$E$12+1,1))</f>
        <v>405.06394904053946</v>
      </c>
      <c r="CE173" s="62">
        <f t="shared" si="148"/>
        <v>393.75247087518198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25.255791969707147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25.255791969707147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3.3333333333333335</v>
      </c>
      <c r="CT173" s="13">
        <f>IF('Données projet'!$A$140&gt;35,CT172+CS173-DB172,IF(A173&lt;'Données projet'!$A$140,$CQ$205^A173,IF(A173='Données projet'!$A$140,'Données projet'!$B$140,CT172+CS173-DB172)))</f>
        <v>189.25490196078414</v>
      </c>
      <c r="CU173" s="18">
        <f>CT173*VLOOKUP('Données projet'!$B$13,Paramètres!$A$1:$I$89,3,0)*VLOOKUP('Données projet'!$B$13,Paramètres!$A$1:$I$89,5,0)</f>
        <v>191.90447058823511</v>
      </c>
      <c r="CV173" s="14">
        <f t="shared" si="173"/>
        <v>47.960759541081657</v>
      </c>
      <c r="CW173" s="22">
        <f t="shared" si="174"/>
        <v>417.76527580856009</v>
      </c>
      <c r="CX173" s="62">
        <f t="shared" si="122"/>
        <v>706.41926102484604</v>
      </c>
      <c r="CY173" s="62">
        <f ca="1">AVERAGE(OFFSET($CX$3,0,0,'Données projet'!$E$13+1,1))-AVERAGE(OFFSET($H$3,0,0,'Données projet'!$E$13+1,1))</f>
        <v>474.46836359712393</v>
      </c>
      <c r="CZ173" s="62">
        <f t="shared" si="150"/>
        <v>221.28699636637722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37.032415987075211</v>
      </c>
      <c r="DG173" s="23">
        <f>EXP(-LN(2)/25)*DG172+(1-EXP(-LN(2)/25))/(LN(2)/25)*Calculateur!DB173*Calculateur!DD173*VLOOKUP('Données projet'!$B$13,Paramètres!$A$1:$I$89,3,0)*0.475*44/12</f>
        <v>22.71882544316982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59.751241430245031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4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3.3333333333333335</v>
      </c>
      <c r="N174" s="14">
        <f>IF('Données projet'!$A$36&gt;35,N173+M174-V173,IF(A174&lt;'Données projet'!$A$36,$K$205^A174,IF(A174='Données projet'!$A$36,'Données projet'!$B$36,N173+M174-V173)))</f>
        <v>192.58823529411748</v>
      </c>
      <c r="O174" s="14">
        <f>N174*VLOOKUP('Données projet'!$B$9,Paramètres!$A$1:$I$89,3,0)*VLOOKUP('Données projet'!$B$9,Paramètres!$A$1:$I$89,5,0)</f>
        <v>174.25383529411749</v>
      </c>
      <c r="P174" s="14">
        <f t="shared" si="141"/>
        <v>44.041366480741807</v>
      </c>
      <c r="Q174" s="22">
        <f t="shared" si="162"/>
        <v>380.19747642454655</v>
      </c>
      <c r="R174" s="62">
        <f t="shared" si="109"/>
        <v>668.93263786920807</v>
      </c>
      <c r="S174" s="62">
        <f ca="1">AVERAGE(OFFSET($R$3,0,0,'Données projet'!$E$9+1,1))-AVERAGE(OFFSET($H$3,0,0,'Données projet'!$E$9+1,1))</f>
        <v>432.80275651765203</v>
      </c>
      <c r="T174" s="62">
        <f t="shared" si="142"/>
        <v>203.89279893419919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32.396330892807711</v>
      </c>
      <c r="AA174" s="23">
        <f>EXP(-LN(2)/25)*AA173+(1-EXP(-LN(2)/25))/(LN(2)/25)*Calculateur!V174*Calculateur!X174*VLOOKUP('Données projet'!$B$9,Paramètres!$A$1:$I$89,3,0)*0.475*44/12</f>
        <v>19.717838801051133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52.114169693858841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3.813056537183002E-14</v>
      </c>
      <c r="AK174" s="14">
        <f t="shared" si="164"/>
        <v>6.4086286045526829E-13</v>
      </c>
      <c r="AL174" s="22">
        <f t="shared" si="165"/>
        <v>1.1825802166488628E-12</v>
      </c>
      <c r="AM174" s="62">
        <f t="shared" si="113"/>
        <v>288.73516144466271</v>
      </c>
      <c r="AN174" s="62">
        <f ca="1">AVERAGE(OFFSET($AM$3,0,0,'Données projet'!$E$10+1,1))-AVERAGE(OFFSET($H$3,0,0,'Données projet'!$E$10+1,1))</f>
        <v>273.21861937609918</v>
      </c>
      <c r="AO174" s="62">
        <f t="shared" si="144"/>
        <v>268.83004886965318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19.018966500952768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19.018966500952768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4.6111381379887463E-14</v>
      </c>
      <c r="BF174" s="14">
        <f t="shared" si="167"/>
        <v>7.5804141040779151E-13</v>
      </c>
      <c r="BG174" s="22">
        <f t="shared" si="168"/>
        <v>1.4005661123635408E-12</v>
      </c>
      <c r="BH174" s="62">
        <f t="shared" si="116"/>
        <v>288.73516144466294</v>
      </c>
      <c r="BI174" s="62">
        <f ca="1">AVERAGE(OFFSET($BH$3,0,0,'Données projet'!$E$11+1,1))-AVERAGE(OFFSET($H$3,0,0,'Données projet'!$E$11+1,1))</f>
        <v>319.01020001288975</v>
      </c>
      <c r="BJ174" s="62">
        <f t="shared" si="146"/>
        <v>312.22190035638084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22.999680419756839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22.999680419756839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6.1186256061773749E-14</v>
      </c>
      <c r="CA174" s="14">
        <f t="shared" si="170"/>
        <v>9.7328366192051127E-13</v>
      </c>
      <c r="CB174" s="22">
        <f t="shared" si="171"/>
        <v>1.8017017738191463E-12</v>
      </c>
      <c r="CC174" s="62">
        <f t="shared" si="119"/>
        <v>288.73516144466333</v>
      </c>
      <c r="CD174" s="62">
        <f ca="1">AVERAGE(OFFSET($CC$3,0,0,'Données projet'!$E$12+1,1))-AVERAGE(OFFSET($H$3,0,0,'Données projet'!$E$12+1,1))</f>
        <v>405.06394904053946</v>
      </c>
      <c r="CE174" s="62">
        <f t="shared" si="148"/>
        <v>393.75247087518198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24.760541293693223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24.760541293693223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3.3333333333333335</v>
      </c>
      <c r="CT174" s="13">
        <f>IF('Données projet'!$A$140&gt;35,CT173+CS174-DB173,IF(A174&lt;'Données projet'!$A$140,$CQ$205^A174,IF(A174='Données projet'!$A$140,'Données projet'!$B$140,CT173+CS174-DB173)))</f>
        <v>192.58823529411748</v>
      </c>
      <c r="CU174" s="18">
        <f>CT174*VLOOKUP('Données projet'!$B$13,Paramètres!$A$1:$I$89,3,0)*VLOOKUP('Données projet'!$B$13,Paramètres!$A$1:$I$89,5,0)</f>
        <v>195.28447058823514</v>
      </c>
      <c r="CV174" s="14">
        <f t="shared" si="173"/>
        <v>48.706402377615596</v>
      </c>
      <c r="CW174" s="22">
        <f t="shared" si="174"/>
        <v>424.95077041552332</v>
      </c>
      <c r="CX174" s="62">
        <f t="shared" si="122"/>
        <v>713.68593186018484</v>
      </c>
      <c r="CY174" s="62">
        <f ca="1">AVERAGE(OFFSET($CX$3,0,0,'Données projet'!$E$13+1,1))-AVERAGE(OFFSET($H$3,0,0,'Données projet'!$E$13+1,1))</f>
        <v>474.46836359712393</v>
      </c>
      <c r="CZ174" s="62">
        <f t="shared" si="150"/>
        <v>221.28699636637722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36.306232897112082</v>
      </c>
      <c r="DG174" s="23">
        <f>EXP(-LN(2)/25)*DG173+(1-EXP(-LN(2)/25))/(LN(2)/25)*Calculateur!DB174*Calculateur!DD174*VLOOKUP('Données projet'!$B$13,Paramètres!$A$1:$I$89,3,0)*0.475*44/12</f>
        <v>22.097577966695237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58.403810863807323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4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3.3333333333333335</v>
      </c>
      <c r="N175" s="14">
        <f>IF('Données projet'!$A$36&gt;35,N174+M175-V174,IF(A175&lt;'Données projet'!$A$36,$K$205^A175,IF(A175='Données projet'!$A$36,'Données projet'!$B$36,N174+M175-V174)))</f>
        <v>195.92156862745082</v>
      </c>
      <c r="O175" s="14">
        <f>N175*VLOOKUP('Données projet'!$B$9,Paramètres!$A$1:$I$89,3,0)*VLOOKUP('Données projet'!$B$9,Paramètres!$A$1:$I$89,5,0)</f>
        <v>177.26983529411751</v>
      </c>
      <c r="P175" s="14">
        <f t="shared" si="141"/>
        <v>44.714235574466507</v>
      </c>
      <c r="Q175" s="22">
        <f t="shared" si="162"/>
        <v>386.62225676278376</v>
      </c>
      <c r="R175" s="62">
        <f t="shared" si="109"/>
        <v>675.43718620974141</v>
      </c>
      <c r="S175" s="62">
        <f ca="1">AVERAGE(OFFSET($R$3,0,0,'Données projet'!$E$9+1,1))-AVERAGE(OFFSET($H$3,0,0,'Données projet'!$E$9+1,1))</f>
        <v>432.80275651765203</v>
      </c>
      <c r="T175" s="62">
        <f t="shared" si="142"/>
        <v>203.89279893419919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31.761058603810476</v>
      </c>
      <c r="AA175" s="23">
        <f>EXP(-LN(2)/25)*AA174+(1-EXP(-LN(2)/25))/(LN(2)/25)*Calculateur!V175*Calculateur!X175*VLOOKUP('Données projet'!$B$9,Paramètres!$A$1:$I$89,3,0)*0.475*44/12</f>
        <v>19.178653462120312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50.939712065930792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3.813056537183002E-14</v>
      </c>
      <c r="AK175" s="14">
        <f t="shared" si="164"/>
        <v>6.4086286045526829E-13</v>
      </c>
      <c r="AL175" s="22">
        <f t="shared" si="165"/>
        <v>1.1825802166488628E-12</v>
      </c>
      <c r="AM175" s="62">
        <f t="shared" si="113"/>
        <v>288.81492944695884</v>
      </c>
      <c r="AN175" s="62">
        <f ca="1">AVERAGE(OFFSET($AM$3,0,0,'Données projet'!$E$10+1,1))-AVERAGE(OFFSET($H$3,0,0,'Données projet'!$E$10+1,1))</f>
        <v>273.21861937609918</v>
      </c>
      <c r="AO175" s="62">
        <f t="shared" si="144"/>
        <v>268.83004886965318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18.646016168293205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18.646016168293205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4.6111381379887463E-14</v>
      </c>
      <c r="BF175" s="14">
        <f t="shared" si="167"/>
        <v>7.5804141040779151E-13</v>
      </c>
      <c r="BG175" s="22">
        <f t="shared" si="168"/>
        <v>1.4005661123635408E-12</v>
      </c>
      <c r="BH175" s="62">
        <f t="shared" si="116"/>
        <v>288.81492944695907</v>
      </c>
      <c r="BI175" s="62">
        <f ca="1">AVERAGE(OFFSET($BH$3,0,0,'Données projet'!$E$11+1,1))-AVERAGE(OFFSET($H$3,0,0,'Données projet'!$E$11+1,1))</f>
        <v>319.01020001288975</v>
      </c>
      <c r="BJ175" s="62">
        <f t="shared" si="146"/>
        <v>312.22190035638084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22.548670715145271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22.548670715145271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6.1186256061773749E-14</v>
      </c>
      <c r="CA175" s="14">
        <f t="shared" si="170"/>
        <v>9.7328366192051127E-13</v>
      </c>
      <c r="CB175" s="22">
        <f t="shared" si="171"/>
        <v>1.8017017738191463E-12</v>
      </c>
      <c r="CC175" s="62">
        <f t="shared" si="119"/>
        <v>288.81492944695947</v>
      </c>
      <c r="CD175" s="62">
        <f ca="1">AVERAGE(OFFSET($CC$3,0,0,'Données projet'!$E$12+1,1))-AVERAGE(OFFSET($H$3,0,0,'Données projet'!$E$12+1,1))</f>
        <v>405.06394904053946</v>
      </c>
      <c r="CE175" s="62">
        <f t="shared" si="148"/>
        <v>393.75247087518198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24.275002181362847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24.275002181362847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3.3333333333333335</v>
      </c>
      <c r="CT175" s="13">
        <f>IF('Données projet'!$A$140&gt;35,CT174+CS175-DB174,IF(A175&lt;'Données projet'!$A$140,$CQ$205^A175,IF(A175='Données projet'!$A$140,'Données projet'!$B$140,CT174+CS175-DB174)))</f>
        <v>195.92156862745082</v>
      </c>
      <c r="CU175" s="18">
        <f>CT175*VLOOKUP('Données projet'!$B$13,Paramètres!$A$1:$I$89,3,0)*VLOOKUP('Données projet'!$B$13,Paramètres!$A$1:$I$89,5,0)</f>
        <v>198.66447058823516</v>
      </c>
      <c r="CV175" s="14">
        <f t="shared" si="173"/>
        <v>49.450544429628167</v>
      </c>
      <c r="CW175" s="22">
        <f t="shared" si="174"/>
        <v>432.13365115611191</v>
      </c>
      <c r="CX175" s="62">
        <f t="shared" si="122"/>
        <v>720.94858060306956</v>
      </c>
      <c r="CY175" s="62">
        <f ca="1">AVERAGE(OFFSET($CX$3,0,0,'Données projet'!$E$13+1,1))-AVERAGE(OFFSET($H$3,0,0,'Données projet'!$E$13+1,1))</f>
        <v>474.46836359712393</v>
      </c>
      <c r="CZ175" s="62">
        <f t="shared" si="150"/>
        <v>221.28699636637722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35.59428981461518</v>
      </c>
      <c r="DG175" s="23">
        <f>EXP(-LN(2)/25)*DG174+(1-EXP(-LN(2)/25))/(LN(2)/25)*Calculateur!DB175*Calculateur!DD175*VLOOKUP('Données projet'!$B$13,Paramètres!$A$1:$I$89,3,0)*0.475*44/12</f>
        <v>21.493318535134836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57.087608349750013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4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3.3333333333333335</v>
      </c>
      <c r="N176" s="14">
        <f>IF('Données projet'!$A$36&gt;35,N175+M176-V175,IF(A176&lt;'Données projet'!$A$36,$K$205^A176,IF(A176='Données projet'!$A$36,'Données projet'!$B$36,N175+M176-V175)))</f>
        <v>199.25490196078417</v>
      </c>
      <c r="O176" s="14">
        <f>N176*VLOOKUP('Données projet'!$B$9,Paramètres!$A$1:$I$89,3,0)*VLOOKUP('Données projet'!$B$9,Paramètres!$A$1:$I$89,5,0)</f>
        <v>180.2858352941175</v>
      </c>
      <c r="P176" s="14">
        <f t="shared" si="141"/>
        <v>45.385773379494488</v>
      </c>
      <c r="Q176" s="22">
        <f t="shared" si="162"/>
        <v>393.0447184398742</v>
      </c>
      <c r="R176" s="62">
        <f t="shared" si="109"/>
        <v>681.93803209262273</v>
      </c>
      <c r="S176" s="62">
        <f ca="1">AVERAGE(OFFSET($R$3,0,0,'Données projet'!$E$9+1,1))-AVERAGE(OFFSET($H$3,0,0,'Données projet'!$E$9+1,1))</f>
        <v>432.80275651765203</v>
      </c>
      <c r="T176" s="62">
        <f t="shared" si="142"/>
        <v>203.89279893419919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31.13824361692264</v>
      </c>
      <c r="AA176" s="23">
        <f>EXP(-LN(2)/25)*AA175+(1-EXP(-LN(2)/25))/(LN(2)/25)*Calculateur!V176*Calculateur!X176*VLOOKUP('Données projet'!$B$9,Paramètres!$A$1:$I$89,3,0)*0.475*44/12</f>
        <v>18.654212174637081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49.792455791559718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3.813056537183002E-14</v>
      </c>
      <c r="AK176" s="14">
        <f t="shared" si="164"/>
        <v>6.4086286045526829E-13</v>
      </c>
      <c r="AL176" s="22">
        <f t="shared" si="165"/>
        <v>1.1825802166488628E-12</v>
      </c>
      <c r="AM176" s="62">
        <f t="shared" si="113"/>
        <v>288.89331365274967</v>
      </c>
      <c r="AN176" s="62">
        <f ca="1">AVERAGE(OFFSET($AM$3,0,0,'Données projet'!$E$10+1,1))-AVERAGE(OFFSET($H$3,0,0,'Données projet'!$E$10+1,1))</f>
        <v>273.21861937609918</v>
      </c>
      <c r="AO176" s="62">
        <f t="shared" si="144"/>
        <v>268.83004886965318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18.280379164179852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18.280379164179852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4.6111381379887463E-14</v>
      </c>
      <c r="BF176" s="14">
        <f t="shared" si="167"/>
        <v>7.5804141040779151E-13</v>
      </c>
      <c r="BG176" s="22">
        <f t="shared" si="168"/>
        <v>1.4005661123635408E-12</v>
      </c>
      <c r="BH176" s="62">
        <f t="shared" si="116"/>
        <v>288.8933136527499</v>
      </c>
      <c r="BI176" s="62">
        <f ca="1">AVERAGE(OFFSET($BH$3,0,0,'Données projet'!$E$11+1,1))-AVERAGE(OFFSET($H$3,0,0,'Données projet'!$E$11+1,1))</f>
        <v>319.01020001288975</v>
      </c>
      <c r="BJ176" s="62">
        <f t="shared" si="146"/>
        <v>312.22190035638084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22.106505035752381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22.106505035752381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6.1186256061773749E-14</v>
      </c>
      <c r="CA176" s="14">
        <f t="shared" si="170"/>
        <v>9.7328366192051127E-13</v>
      </c>
      <c r="CB176" s="22">
        <f t="shared" si="171"/>
        <v>1.8017017738191463E-12</v>
      </c>
      <c r="CC176" s="62">
        <f t="shared" si="119"/>
        <v>288.89331365275029</v>
      </c>
      <c r="CD176" s="62">
        <f ca="1">AVERAGE(OFFSET($CC$3,0,0,'Données projet'!$E$12+1,1))-AVERAGE(OFFSET($H$3,0,0,'Données projet'!$E$12+1,1))</f>
        <v>405.06394904053946</v>
      </c>
      <c r="CE176" s="62">
        <f t="shared" si="148"/>
        <v>393.75247087518198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23.798984194875654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23.798984194875654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3.3333333333333335</v>
      </c>
      <c r="CT176" s="13">
        <f>IF('Données projet'!$A$140&gt;35,CT175+CS176-DB175,IF(A176&lt;'Données projet'!$A$140,$CQ$205^A176,IF(A176='Données projet'!$A$140,'Données projet'!$B$140,CT175+CS176-DB175)))</f>
        <v>199.25490196078417</v>
      </c>
      <c r="CU176" s="18">
        <f>CT176*VLOOKUP('Données projet'!$B$13,Paramètres!$A$1:$I$89,3,0)*VLOOKUP('Données projet'!$B$13,Paramètres!$A$1:$I$89,5,0)</f>
        <v>202.04447058823516</v>
      </c>
      <c r="CV176" s="14">
        <f t="shared" si="173"/>
        <v>50.19321417757471</v>
      </c>
      <c r="CW176" s="22">
        <f t="shared" si="174"/>
        <v>439.31396763378547</v>
      </c>
      <c r="CX176" s="62">
        <f t="shared" si="122"/>
        <v>728.207281286534</v>
      </c>
      <c r="CY176" s="62">
        <f ca="1">AVERAGE(OFFSET($CX$3,0,0,'Données projet'!$E$13+1,1))-AVERAGE(OFFSET($H$3,0,0,'Données projet'!$E$13+1,1))</f>
        <v>474.46836359712393</v>
      </c>
      <c r="CZ176" s="62">
        <f t="shared" si="150"/>
        <v>221.28699636637722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34.896307501723641</v>
      </c>
      <c r="DG176" s="23">
        <f>EXP(-LN(2)/25)*DG175+(1-EXP(-LN(2)/25))/(LN(2)/25)*Calculateur!DB176*Calculateur!DD176*VLOOKUP('Données projet'!$B$13,Paramètres!$A$1:$I$89,3,0)*0.475*44/12</f>
        <v>20.905582609507075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55.801890111230719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4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3.3333333333333335</v>
      </c>
      <c r="N177" s="14">
        <f>IF('Données projet'!$A$36&gt;35,N176+M177-V176,IF(A177&lt;'Données projet'!$A$36,$K$205^A177,IF(A177='Données projet'!$A$36,'Données projet'!$B$36,N176+M177-V176)))</f>
        <v>202.58823529411751</v>
      </c>
      <c r="O177" s="14">
        <f>N177*VLOOKUP('Données projet'!$B$9,Paramètres!$A$1:$I$89,3,0)*VLOOKUP('Données projet'!$B$9,Paramètres!$A$1:$I$89,5,0)</f>
        <v>183.30183529411752</v>
      </c>
      <c r="P177" s="14">
        <f t="shared" si="141"/>
        <v>46.056004737442407</v>
      </c>
      <c r="Q177" s="22">
        <f t="shared" si="162"/>
        <v>399.4649047216335</v>
      </c>
      <c r="R177" s="62">
        <f t="shared" si="109"/>
        <v>688.43524278944324</v>
      </c>
      <c r="S177" s="62">
        <f ca="1">AVERAGE(OFFSET($R$3,0,0,'Données projet'!$E$9+1,1))-AVERAGE(OFFSET($H$3,0,0,'Données projet'!$E$9+1,1))</f>
        <v>432.80275651765203</v>
      </c>
      <c r="T177" s="62">
        <f t="shared" si="142"/>
        <v>203.89279893419919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30.527641652048043</v>
      </c>
      <c r="AA177" s="23">
        <f>EXP(-LN(2)/25)*AA176+(1-EXP(-LN(2)/25))/(LN(2)/25)*Calculateur!V177*Calculateur!X177*VLOOKUP('Données projet'!$B$9,Paramètres!$A$1:$I$89,3,0)*0.475*44/12</f>
        <v>18.144111761739246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48.671753413787286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3.813056537183002E-14</v>
      </c>
      <c r="AK177" s="14">
        <f t="shared" si="164"/>
        <v>6.4086286045526829E-13</v>
      </c>
      <c r="AL177" s="22">
        <f t="shared" si="165"/>
        <v>1.1825802166488628E-12</v>
      </c>
      <c r="AM177" s="62">
        <f t="shared" si="113"/>
        <v>288.97033806781093</v>
      </c>
      <c r="AN177" s="62">
        <f ca="1">AVERAGE(OFFSET($AM$3,0,0,'Données projet'!$E$10+1,1))-AVERAGE(OFFSET($H$3,0,0,'Données projet'!$E$10+1,1))</f>
        <v>273.21861937609918</v>
      </c>
      <c r="AO177" s="62">
        <f t="shared" si="144"/>
        <v>268.83004886965318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17.921912078700611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17.921912078700611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4.6111381379887463E-14</v>
      </c>
      <c r="BF177" s="14">
        <f t="shared" si="167"/>
        <v>7.5804141040779151E-13</v>
      </c>
      <c r="BG177" s="22">
        <f t="shared" si="168"/>
        <v>1.4005661123635408E-12</v>
      </c>
      <c r="BH177" s="62">
        <f t="shared" si="116"/>
        <v>288.97033806781116</v>
      </c>
      <c r="BI177" s="62">
        <f ca="1">AVERAGE(OFFSET($BH$3,0,0,'Données projet'!$E$11+1,1))-AVERAGE(OFFSET($H$3,0,0,'Données projet'!$E$11+1,1))</f>
        <v>319.01020001288975</v>
      </c>
      <c r="BJ177" s="62">
        <f t="shared" si="146"/>
        <v>312.22190035638084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21.673009955637951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21.673009955637951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6.1186256061773749E-14</v>
      </c>
      <c r="CA177" s="14">
        <f t="shared" si="170"/>
        <v>9.7328366192051127E-13</v>
      </c>
      <c r="CB177" s="22">
        <f t="shared" si="171"/>
        <v>1.8017017738191463E-12</v>
      </c>
      <c r="CC177" s="62">
        <f t="shared" si="119"/>
        <v>288.97033806781155</v>
      </c>
      <c r="CD177" s="62">
        <f ca="1">AVERAGE(OFFSET($CC$3,0,0,'Données projet'!$E$12+1,1))-AVERAGE(OFFSET($H$3,0,0,'Données projet'!$E$12+1,1))</f>
        <v>405.06394904053946</v>
      </c>
      <c r="CE177" s="62">
        <f t="shared" si="148"/>
        <v>393.75247087518198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23.332300630761171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23.332300630761171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3.3333333333333335</v>
      </c>
      <c r="CT177" s="13">
        <f>IF('Données projet'!$A$140&gt;35,CT176+CS177-DB176,IF(A177&lt;'Données projet'!$A$140,$CQ$205^A177,IF(A177='Données projet'!$A$140,'Données projet'!$B$140,CT176+CS177-DB176)))</f>
        <v>202.58823529411751</v>
      </c>
      <c r="CU177" s="18">
        <f>CT177*VLOOKUP('Données projet'!$B$13,Paramètres!$A$1:$I$89,3,0)*VLOOKUP('Données projet'!$B$13,Paramètres!$A$1:$I$89,5,0)</f>
        <v>205.42447058823518</v>
      </c>
      <c r="CV177" s="14">
        <f t="shared" si="173"/>
        <v>50.934439094394257</v>
      </c>
      <c r="CW177" s="22">
        <f t="shared" si="174"/>
        <v>446.49176769724619</v>
      </c>
      <c r="CX177" s="62">
        <f t="shared" si="122"/>
        <v>735.46210576505587</v>
      </c>
      <c r="CY177" s="62">
        <f ca="1">AVERAGE(OFFSET($CX$3,0,0,'Données projet'!$E$13+1,1))-AVERAGE(OFFSET($H$3,0,0,'Données projet'!$E$13+1,1))</f>
        <v>474.46836359712393</v>
      </c>
      <c r="CZ177" s="62">
        <f t="shared" si="150"/>
        <v>221.28699636637722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34.21201219626073</v>
      </c>
      <c r="DG177" s="23">
        <f>EXP(-LN(2)/25)*DG176+(1-EXP(-LN(2)/25))/(LN(2)/25)*Calculateur!DB177*Calculateur!DD177*VLOOKUP('Données projet'!$B$13,Paramètres!$A$1:$I$89,3,0)*0.475*44/12</f>
        <v>20.333918353673294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54.545930549934027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4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3.3333333333333335</v>
      </c>
      <c r="N178" s="14">
        <f>IF('Données projet'!$A$36&gt;35,N177+M178-V177,IF(A178&lt;'Données projet'!$A$36,$K$205^A178,IF(A178='Données projet'!$A$36,'Données projet'!$B$36,N177+M178-V177)))</f>
        <v>205.92156862745085</v>
      </c>
      <c r="O178" s="14">
        <f>N178*VLOOKUP('Données projet'!$B$9,Paramètres!$A$1:$I$89,3,0)*VLOOKUP('Données projet'!$B$9,Paramètres!$A$1:$I$89,5,0)</f>
        <v>186.31783529411751</v>
      </c>
      <c r="P178" s="14">
        <f t="shared" si="141"/>
        <v>46.724953625586231</v>
      </c>
      <c r="Q178" s="22">
        <f t="shared" si="162"/>
        <v>405.88285736848405</v>
      </c>
      <c r="R178" s="62">
        <f t="shared" si="109"/>
        <v>694.92888364995451</v>
      </c>
      <c r="S178" s="62">
        <f ca="1">AVERAGE(OFFSET($R$3,0,0,'Données projet'!$E$9+1,1))-AVERAGE(OFFSET($H$3,0,0,'Données projet'!$E$9+1,1))</f>
        <v>432.80275651765203</v>
      </c>
      <c r="T178" s="62">
        <f t="shared" si="142"/>
        <v>203.89279893419919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29.929013219274214</v>
      </c>
      <c r="AA178" s="23">
        <f>EXP(-LN(2)/25)*AA177+(1-EXP(-LN(2)/25))/(LN(2)/25)*Calculateur!V178*Calculateur!X178*VLOOKUP('Données projet'!$B$9,Paramètres!$A$1:$I$89,3,0)*0.475*44/12</f>
        <v>17.647960071457117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47.576973290731331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3.813056537183002E-14</v>
      </c>
      <c r="AK178" s="14">
        <f t="shared" si="164"/>
        <v>6.4086286045526829E-13</v>
      </c>
      <c r="AL178" s="22">
        <f t="shared" si="165"/>
        <v>1.1825802166488628E-12</v>
      </c>
      <c r="AM178" s="62">
        <f t="shared" si="113"/>
        <v>289.0460262814716</v>
      </c>
      <c r="AN178" s="62">
        <f ca="1">AVERAGE(OFFSET($AM$3,0,0,'Données projet'!$E$10+1,1))-AVERAGE(OFFSET($H$3,0,0,'Données projet'!$E$10+1,1))</f>
        <v>273.21861937609918</v>
      </c>
      <c r="AO178" s="62">
        <f t="shared" si="144"/>
        <v>268.83004886965318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17.570474314124287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17.570474314124287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4.6111381379887463E-14</v>
      </c>
      <c r="BF178" s="14">
        <f t="shared" si="167"/>
        <v>7.5804141040779151E-13</v>
      </c>
      <c r="BG178" s="22">
        <f t="shared" si="168"/>
        <v>1.4005661123635408E-12</v>
      </c>
      <c r="BH178" s="62">
        <f t="shared" si="116"/>
        <v>289.04602628147182</v>
      </c>
      <c r="BI178" s="62">
        <f ca="1">AVERAGE(OFFSET($BH$3,0,0,'Données projet'!$E$11+1,1))-AVERAGE(OFFSET($H$3,0,0,'Données projet'!$E$11+1,1))</f>
        <v>319.01020001288975</v>
      </c>
      <c r="BJ178" s="62">
        <f t="shared" si="146"/>
        <v>312.22190035638084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21.248015449638672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21.248015449638672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6.1186256061773749E-14</v>
      </c>
      <c r="CA178" s="14">
        <f t="shared" si="170"/>
        <v>9.7328366192051127E-13</v>
      </c>
      <c r="CB178" s="22">
        <f t="shared" si="171"/>
        <v>1.8017017738191463E-12</v>
      </c>
      <c r="CC178" s="62">
        <f t="shared" si="119"/>
        <v>289.04602628147222</v>
      </c>
      <c r="CD178" s="62">
        <f ca="1">AVERAGE(OFFSET($CC$3,0,0,'Données projet'!$E$12+1,1))-AVERAGE(OFFSET($H$3,0,0,'Données projet'!$E$12+1,1))</f>
        <v>405.06394904053946</v>
      </c>
      <c r="CE178" s="62">
        <f t="shared" si="148"/>
        <v>393.75247087518198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22.874768446690105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22.874768446690105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3.3333333333333335</v>
      </c>
      <c r="CT178" s="13">
        <f>IF('Données projet'!$A$140&gt;35,CT177+CS178-DB177,IF(A178&lt;'Données projet'!$A$140,$CQ$205^A178,IF(A178='Données projet'!$A$140,'Données projet'!$B$140,CT177+CS178-DB177)))</f>
        <v>205.92156862745085</v>
      </c>
      <c r="CU178" s="18">
        <f>CT178*VLOOKUP('Données projet'!$B$13,Paramètres!$A$1:$I$89,3,0)*VLOOKUP('Données projet'!$B$13,Paramètres!$A$1:$I$89,5,0)</f>
        <v>208.80447058823515</v>
      </c>
      <c r="CV178" s="14">
        <f t="shared" si="173"/>
        <v>51.674245697130821</v>
      </c>
      <c r="CW178" s="22">
        <f t="shared" si="174"/>
        <v>453.66709753034576</v>
      </c>
      <c r="CX178" s="62">
        <f t="shared" si="122"/>
        <v>742.7131238118161</v>
      </c>
      <c r="CY178" s="62">
        <f ca="1">AVERAGE(OFFSET($CX$3,0,0,'Données projet'!$E$13+1,1))-AVERAGE(OFFSET($H$3,0,0,'Données projet'!$E$13+1,1))</f>
        <v>474.46836359712393</v>
      </c>
      <c r="CZ178" s="62">
        <f t="shared" si="150"/>
        <v>221.28699636637722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33.541135504359026</v>
      </c>
      <c r="DG178" s="23">
        <f>EXP(-LN(2)/25)*DG177+(1-EXP(-LN(2)/25))/(LN(2)/25)*Calculateur!DB178*Calculateur!DD178*VLOOKUP('Données projet'!$B$13,Paramètres!$A$1:$I$89,3,0)*0.475*44/12</f>
        <v>19.777886286977804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53.31902179133683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4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3.3333333333333335</v>
      </c>
      <c r="N179" s="14">
        <f>IF('Données projet'!$A$36&gt;35,N178+M179-V178,IF(A179&lt;'Données projet'!$A$36,$K$205^A179,IF(A179='Données projet'!$A$36,'Données projet'!$B$36,N178+M179-V178)))</f>
        <v>209.2549019607842</v>
      </c>
      <c r="O179" s="14">
        <f>N179*VLOOKUP('Données projet'!$B$9,Paramètres!$A$1:$I$89,3,0)*VLOOKUP('Données projet'!$B$9,Paramètres!$A$1:$I$89,5,0)</f>
        <v>189.33383529411753</v>
      </c>
      <c r="P179" s="14">
        <f t="shared" si="141"/>
        <v>47.392643200430875</v>
      </c>
      <c r="Q179" s="22">
        <f t="shared" si="162"/>
        <v>412.29861671133852</v>
      </c>
      <c r="R179" s="62">
        <f t="shared" si="109"/>
        <v>701.41901818517613</v>
      </c>
      <c r="S179" s="62">
        <f ca="1">AVERAGE(OFFSET($R$3,0,0,'Données projet'!$E$9+1,1))-AVERAGE(OFFSET($H$3,0,0,'Données projet'!$E$9+1,1))</f>
        <v>432.80275651765203</v>
      </c>
      <c r="T179" s="62">
        <f t="shared" si="142"/>
        <v>203.89279893419919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29.34212352493979</v>
      </c>
      <c r="AA179" s="23">
        <f>EXP(-LN(2)/25)*AA178+(1-EXP(-LN(2)/25))/(LN(2)/25)*Calculateur!V179*Calculateur!X179*VLOOKUP('Données projet'!$B$9,Paramètres!$A$1:$I$89,3,0)*0.475*44/12</f>
        <v>17.165375675237236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46.507499200177023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3.813056537183002E-14</v>
      </c>
      <c r="AK179" s="14">
        <f t="shared" si="164"/>
        <v>6.4086286045526829E-13</v>
      </c>
      <c r="AL179" s="22">
        <f t="shared" si="165"/>
        <v>1.1825802166488628E-12</v>
      </c>
      <c r="AM179" s="62">
        <f t="shared" si="113"/>
        <v>289.1204014738388</v>
      </c>
      <c r="AN179" s="62">
        <f ca="1">AVERAGE(OFFSET($AM$3,0,0,'Données projet'!$E$10+1,1))-AVERAGE(OFFSET($H$3,0,0,'Données projet'!$E$10+1,1))</f>
        <v>273.21861937609918</v>
      </c>
      <c r="AO179" s="62">
        <f t="shared" si="144"/>
        <v>268.83004886965318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17.225928029755433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17.225928029755433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4.6111381379887463E-14</v>
      </c>
      <c r="BF179" s="14">
        <f t="shared" si="167"/>
        <v>7.5804141040779151E-13</v>
      </c>
      <c r="BG179" s="22">
        <f t="shared" si="168"/>
        <v>1.4005661123635408E-12</v>
      </c>
      <c r="BH179" s="62">
        <f t="shared" si="116"/>
        <v>289.12040147383902</v>
      </c>
      <c r="BI179" s="62">
        <f ca="1">AVERAGE(OFFSET($BH$3,0,0,'Données projet'!$E$11+1,1))-AVERAGE(OFFSET($H$3,0,0,'Données projet'!$E$11+1,1))</f>
        <v>319.01020001288975</v>
      </c>
      <c r="BJ179" s="62">
        <f t="shared" si="146"/>
        <v>312.22190035638084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20.831354826680986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20.831354826680986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6.1186256061773749E-14</v>
      </c>
      <c r="CA179" s="14">
        <f t="shared" si="170"/>
        <v>9.7328366192051127E-13</v>
      </c>
      <c r="CB179" s="22">
        <f t="shared" si="171"/>
        <v>1.8017017738191463E-12</v>
      </c>
      <c r="CC179" s="62">
        <f t="shared" si="119"/>
        <v>289.12040147383942</v>
      </c>
      <c r="CD179" s="62">
        <f ca="1">AVERAGE(OFFSET($CC$3,0,0,'Données projet'!$E$12+1,1))-AVERAGE(OFFSET($H$3,0,0,'Données projet'!$E$12+1,1))</f>
        <v>405.06394904053946</v>
      </c>
      <c r="CE179" s="62">
        <f t="shared" si="148"/>
        <v>393.75247087518198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22.426208189681596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22.426208189681596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3.3333333333333335</v>
      </c>
      <c r="CT179" s="13">
        <f>IF('Données projet'!$A$140&gt;35,CT178+CS179-DB178,IF(A179&lt;'Données projet'!$A$140,$CQ$205^A179,IF(A179='Données projet'!$A$140,'Données projet'!$B$140,CT178+CS179-DB178)))</f>
        <v>209.2549019607842</v>
      </c>
      <c r="CU179" s="18">
        <f>CT179*VLOOKUP('Données projet'!$B$13,Paramètres!$A$1:$I$89,3,0)*VLOOKUP('Données projet'!$B$13,Paramètres!$A$1:$I$89,5,0)</f>
        <v>212.1844705882352</v>
      </c>
      <c r="CV179" s="14">
        <f t="shared" si="173"/>
        <v>52.412659595117866</v>
      </c>
      <c r="CW179" s="22">
        <f t="shared" si="174"/>
        <v>460.84000173600657</v>
      </c>
      <c r="CX179" s="62">
        <f t="shared" si="122"/>
        <v>749.96040320984412</v>
      </c>
      <c r="CY179" s="62">
        <f ca="1">AVERAGE(OFFSET($CX$3,0,0,'Données projet'!$E$13+1,1))-AVERAGE(OFFSET($H$3,0,0,'Données projet'!$E$13+1,1))</f>
        <v>474.46836359712393</v>
      </c>
      <c r="CZ179" s="62">
        <f t="shared" si="150"/>
        <v>221.28699636637722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32.883414295191137</v>
      </c>
      <c r="DG179" s="23">
        <f>EXP(-LN(2)/25)*DG178+(1-EXP(-LN(2)/25))/(LN(2)/25)*Calculateur!DB179*Calculateur!DD179*VLOOKUP('Données projet'!$B$13,Paramètres!$A$1:$I$89,3,0)*0.475*44/12</f>
        <v>19.237058946386558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52.120473241577699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4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3.3333333333333335</v>
      </c>
      <c r="N180" s="14">
        <f>IF('Données projet'!$A$36&gt;35,N179+M180-V179,IF(A180&lt;'Données projet'!$A$36,$K$205^A180,IF(A180='Données projet'!$A$36,'Données projet'!$B$36,N179+M180-V179)))</f>
        <v>212.58823529411754</v>
      </c>
      <c r="O180" s="14">
        <f>N180*VLOOKUP('Données projet'!$B$9,Paramètres!$A$1:$I$89,3,0)*VLOOKUP('Données projet'!$B$9,Paramètres!$A$1:$I$89,5,0)</f>
        <v>192.34983529411753</v>
      </c>
      <c r="P180" s="14">
        <f t="shared" si="141"/>
        <v>48.05909583842439</v>
      </c>
      <c r="Q180" s="22">
        <f t="shared" si="162"/>
        <v>418.71222172251049</v>
      </c>
      <c r="R180" s="62">
        <f t="shared" si="109"/>
        <v>707.9057081454057</v>
      </c>
      <c r="S180" s="62">
        <f ca="1">AVERAGE(OFFSET($R$3,0,0,'Données projet'!$E$9+1,1))-AVERAGE(OFFSET($H$3,0,0,'Données projet'!$E$9+1,1))</f>
        <v>432.80275651765203</v>
      </c>
      <c r="T180" s="62">
        <f t="shared" si="142"/>
        <v>203.89279893419919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28.766742379543896</v>
      </c>
      <c r="AA180" s="23">
        <f>EXP(-LN(2)/25)*AA179+(1-EXP(-LN(2)/25))/(LN(2)/25)*Calculateur!V180*Calculateur!X180*VLOOKUP('Données projet'!$B$9,Paramètres!$A$1:$I$89,3,0)*0.475*44/12</f>
        <v>16.695987574709999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45.462729954253895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3.813056537183002E-14</v>
      </c>
      <c r="AK180" s="14">
        <f t="shared" si="164"/>
        <v>6.4086286045526829E-13</v>
      </c>
      <c r="AL180" s="22">
        <f t="shared" si="165"/>
        <v>1.1825802166488628E-12</v>
      </c>
      <c r="AM180" s="62">
        <f t="shared" si="113"/>
        <v>289.19348642289646</v>
      </c>
      <c r="AN180" s="62">
        <f ca="1">AVERAGE(OFFSET($AM$3,0,0,'Données projet'!$E$10+1,1))-AVERAGE(OFFSET($H$3,0,0,'Données projet'!$E$10+1,1))</f>
        <v>273.21861937609918</v>
      </c>
      <c r="AO180" s="62">
        <f t="shared" si="144"/>
        <v>268.83004886965318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16.888138087870569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16.888138087870569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4.6111381379887463E-14</v>
      </c>
      <c r="BF180" s="14">
        <f t="shared" si="167"/>
        <v>7.5804141040779151E-13</v>
      </c>
      <c r="BG180" s="22">
        <f t="shared" si="168"/>
        <v>1.4005661123635408E-12</v>
      </c>
      <c r="BH180" s="62">
        <f t="shared" si="116"/>
        <v>289.19348642289668</v>
      </c>
      <c r="BI180" s="62">
        <f ca="1">AVERAGE(OFFSET($BH$3,0,0,'Données projet'!$E$11+1,1))-AVERAGE(OFFSET($H$3,0,0,'Données projet'!$E$11+1,1))</f>
        <v>319.01020001288975</v>
      </c>
      <c r="BJ180" s="62">
        <f t="shared" si="146"/>
        <v>312.22190035638084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20.422864664401615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20.422864664401615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6.1186256061773749E-14</v>
      </c>
      <c r="CA180" s="14">
        <f t="shared" si="170"/>
        <v>9.7328366192051127E-13</v>
      </c>
      <c r="CB180" s="22">
        <f t="shared" si="171"/>
        <v>1.8017017738191463E-12</v>
      </c>
      <c r="CC180" s="62">
        <f t="shared" si="119"/>
        <v>289.19348642289708</v>
      </c>
      <c r="CD180" s="62">
        <f ca="1">AVERAGE(OFFSET($CC$3,0,0,'Données projet'!$E$12+1,1))-AVERAGE(OFFSET($H$3,0,0,'Données projet'!$E$12+1,1))</f>
        <v>405.06394904053946</v>
      </c>
      <c r="CE180" s="62">
        <f t="shared" si="148"/>
        <v>393.75247087518198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21.986443925718284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21.986443925718284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3.3333333333333335</v>
      </c>
      <c r="CT180" s="13">
        <f>IF('Données projet'!$A$140&gt;35,CT179+CS180-DB179,IF(A180&lt;'Données projet'!$A$140,$CQ$205^A180,IF(A180='Données projet'!$A$140,'Données projet'!$B$140,CT179+CS180-DB179)))</f>
        <v>212.58823529411754</v>
      </c>
      <c r="CU180" s="18">
        <f>CT180*VLOOKUP('Données projet'!$B$13,Paramètres!$A$1:$I$89,3,0)*VLOOKUP('Données projet'!$B$13,Paramètres!$A$1:$I$89,5,0)</f>
        <v>215.56447058823522</v>
      </c>
      <c r="CV180" s="14">
        <f t="shared" si="173"/>
        <v>53.149705535005573</v>
      </c>
      <c r="CW180" s="22">
        <f t="shared" si="174"/>
        <v>468.01052341464441</v>
      </c>
      <c r="CX180" s="62">
        <f t="shared" si="122"/>
        <v>757.20400983753962</v>
      </c>
      <c r="CY180" s="62">
        <f ca="1">AVERAGE(OFFSET($CX$3,0,0,'Données projet'!$E$13+1,1))-AVERAGE(OFFSET($H$3,0,0,'Données projet'!$E$13+1,1))</f>
        <v>474.46836359712393</v>
      </c>
      <c r="CZ180" s="62">
        <f t="shared" si="150"/>
        <v>221.28699636637722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32.238590597764706</v>
      </c>
      <c r="DG180" s="23">
        <f>EXP(-LN(2)/25)*DG179+(1-EXP(-LN(2)/25))/(LN(2)/25)*Calculateur!DB180*Calculateur!DD180*VLOOKUP('Données projet'!$B$13,Paramètres!$A$1:$I$89,3,0)*0.475*44/12</f>
        <v>18.711020557864654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50.949611155629356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4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3.3333333333333335</v>
      </c>
      <c r="N181" s="14">
        <f>IF('Données projet'!$A$36&gt;35,N180+M181-V180,IF(A181&lt;'Données projet'!$A$36,$K$205^A181,IF(A181='Données projet'!$A$36,'Données projet'!$B$36,N180+M181-V180)))</f>
        <v>215.92156862745088</v>
      </c>
      <c r="O181" s="14">
        <f>N181*VLOOKUP('Données projet'!$B$9,Paramètres!$A$1:$I$89,3,0)*VLOOKUP('Données projet'!$B$9,Paramètres!$A$1:$I$89,5,0)</f>
        <v>195.36583529411755</v>
      </c>
      <c r="P181" s="14">
        <f t="shared" si="141"/>
        <v>48.724333174046777</v>
      </c>
      <c r="Q181" s="22">
        <f t="shared" si="162"/>
        <v>425.12371008205287</v>
      </c>
      <c r="R181" s="62">
        <f t="shared" si="109"/>
        <v>714.38901359353304</v>
      </c>
      <c r="S181" s="62">
        <f ca="1">AVERAGE(OFFSET($R$3,0,0,'Données projet'!$E$9+1,1))-AVERAGE(OFFSET($H$3,0,0,'Données projet'!$E$9+1,1))</f>
        <v>432.80275651765203</v>
      </c>
      <c r="T181" s="62">
        <f t="shared" si="142"/>
        <v>203.89279893419919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28.202644107461371</v>
      </c>
      <c r="AA181" s="23">
        <f>EXP(-LN(2)/25)*AA180+(1-EXP(-LN(2)/25))/(LN(2)/25)*Calculateur!V181*Calculateur!X181*VLOOKUP('Données projet'!$B$9,Paramètres!$A$1:$I$89,3,0)*0.475*44/12</f>
        <v>16.239434916475727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44.442079023937097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3.813056537183002E-14</v>
      </c>
      <c r="AK181" s="14">
        <f t="shared" si="164"/>
        <v>6.4086286045526829E-13</v>
      </c>
      <c r="AL181" s="22">
        <f t="shared" si="165"/>
        <v>1.1825802166488628E-12</v>
      </c>
      <c r="AM181" s="62">
        <f t="shared" si="113"/>
        <v>289.26530351148136</v>
      </c>
      <c r="AN181" s="62">
        <f ca="1">AVERAGE(OFFSET($AM$3,0,0,'Données projet'!$E$10+1,1))-AVERAGE(OFFSET($H$3,0,0,'Données projet'!$E$10+1,1))</f>
        <v>273.21861937609918</v>
      </c>
      <c r="AO181" s="62">
        <f t="shared" si="144"/>
        <v>268.83004886965318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16.556972000714545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16.556972000714545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4.6111381379887463E-14</v>
      </c>
      <c r="BF181" s="14">
        <f t="shared" si="167"/>
        <v>7.5804141040779151E-13</v>
      </c>
      <c r="BG181" s="22">
        <f t="shared" si="168"/>
        <v>1.4005661123635408E-12</v>
      </c>
      <c r="BH181" s="62">
        <f t="shared" si="116"/>
        <v>289.26530351148159</v>
      </c>
      <c r="BI181" s="62">
        <f ca="1">AVERAGE(OFFSET($BH$3,0,0,'Données projet'!$E$11+1,1))-AVERAGE(OFFSET($H$3,0,0,'Données projet'!$E$11+1,1))</f>
        <v>319.01020001288975</v>
      </c>
      <c r="BJ181" s="62">
        <f t="shared" si="146"/>
        <v>312.22190035638084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20.022384745050147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20.022384745050147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6.1186256061773749E-14</v>
      </c>
      <c r="CA181" s="14">
        <f t="shared" si="170"/>
        <v>9.7328366192051127E-13</v>
      </c>
      <c r="CB181" s="22">
        <f t="shared" si="171"/>
        <v>1.8017017738191463E-12</v>
      </c>
      <c r="CC181" s="62">
        <f t="shared" si="119"/>
        <v>289.26530351148199</v>
      </c>
      <c r="CD181" s="62">
        <f ca="1">AVERAGE(OFFSET($CC$3,0,0,'Données projet'!$E$12+1,1))-AVERAGE(OFFSET($H$3,0,0,'Données projet'!$E$12+1,1))</f>
        <v>405.06394904053946</v>
      </c>
      <c r="CE181" s="62">
        <f t="shared" si="148"/>
        <v>393.75247087518198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21.555303170741574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21.555303170741574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3.3333333333333335</v>
      </c>
      <c r="CT181" s="13">
        <f>IF('Données projet'!$A$140&gt;35,CT180+CS181-DB180,IF(A181&lt;'Données projet'!$A$140,$CQ$205^A181,IF(A181='Données projet'!$A$140,'Données projet'!$B$140,CT180+CS181-DB180)))</f>
        <v>215.92156862745088</v>
      </c>
      <c r="CU181" s="18">
        <f>CT181*VLOOKUP('Données projet'!$B$13,Paramètres!$A$1:$I$89,3,0)*VLOOKUP('Données projet'!$B$13,Paramètres!$A$1:$I$89,5,0)</f>
        <v>218.94447058823522</v>
      </c>
      <c r="CV181" s="14">
        <f t="shared" si="173"/>
        <v>53.88540744288359</v>
      </c>
      <c r="CW181" s="22">
        <f t="shared" si="174"/>
        <v>475.17870423753192</v>
      </c>
      <c r="CX181" s="62">
        <f t="shared" si="122"/>
        <v>764.44400774901214</v>
      </c>
      <c r="CY181" s="62">
        <f ca="1">AVERAGE(OFFSET($CX$3,0,0,'Données projet'!$E$13+1,1))-AVERAGE(OFFSET($H$3,0,0,'Données projet'!$E$13+1,1))</f>
        <v>474.46836359712393</v>
      </c>
      <c r="CZ181" s="62">
        <f t="shared" si="150"/>
        <v>221.28699636637722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31.606411499741185</v>
      </c>
      <c r="DG181" s="23">
        <f>EXP(-LN(2)/25)*DG180+(1-EXP(-LN(2)/25))/(LN(2)/25)*Calculateur!DB181*Calculateur!DD181*VLOOKUP('Données projet'!$B$13,Paramètres!$A$1:$I$89,3,0)*0.475*44/12</f>
        <v>18.199366716740037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49.805778216481222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4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3.3333333333333335</v>
      </c>
      <c r="N182" s="14">
        <f>IF('Données projet'!$A$36&gt;35,N181+M182-V181,IF(A182&lt;'Données projet'!$A$36,$K$205^A182,IF(A182='Données projet'!$A$36,'Données projet'!$B$36,N181+M182-V181)))</f>
        <v>219.25490196078422</v>
      </c>
      <c r="O182" s="14">
        <f>N182*VLOOKUP('Données projet'!$B$9,Paramètres!$A$1:$I$89,3,0)*VLOOKUP('Données projet'!$B$9,Paramètres!$A$1:$I$89,5,0)</f>
        <v>198.38183529411754</v>
      </c>
      <c r="P182" s="14">
        <f t="shared" si="141"/>
        <v>49.388376135479355</v>
      </c>
      <c r="Q182" s="22">
        <f t="shared" si="162"/>
        <v>431.53311823988116</v>
      </c>
      <c r="R182" s="62">
        <f t="shared" si="109"/>
        <v>720.86899297401828</v>
      </c>
      <c r="S182" s="62">
        <f ca="1">AVERAGE(OFFSET($R$3,0,0,'Données projet'!$E$9+1,1))-AVERAGE(OFFSET($H$3,0,0,'Données projet'!$E$9+1,1))</f>
        <v>432.80275651765203</v>
      </c>
      <c r="T182" s="62">
        <f t="shared" si="142"/>
        <v>203.89279893419919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27.64960745842841</v>
      </c>
      <c r="AA182" s="23">
        <f>EXP(-LN(2)/25)*AA181+(1-EXP(-LN(2)/25))/(LN(2)/25)*Calculateur!V182*Calculateur!X182*VLOOKUP('Données projet'!$B$9,Paramètres!$A$1:$I$89,3,0)*0.475*44/12</f>
        <v>15.795366714689932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43.444974173118339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3.813056537183002E-14</v>
      </c>
      <c r="AK182" s="14">
        <f t="shared" si="164"/>
        <v>6.4086286045526829E-13</v>
      </c>
      <c r="AL182" s="22">
        <f t="shared" si="165"/>
        <v>1.1825802166488628E-12</v>
      </c>
      <c r="AM182" s="62">
        <f t="shared" si="113"/>
        <v>289.33587473413832</v>
      </c>
      <c r="AN182" s="62">
        <f ca="1">AVERAGE(OFFSET($AM$3,0,0,'Données projet'!$E$10+1,1))-AVERAGE(OFFSET($H$3,0,0,'Données projet'!$E$10+1,1))</f>
        <v>273.21861937609918</v>
      </c>
      <c r="AO182" s="62">
        <f t="shared" si="144"/>
        <v>268.83004886965318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16.232299878536285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16.232299878536285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4.6111381379887463E-14</v>
      </c>
      <c r="BF182" s="14">
        <f t="shared" si="167"/>
        <v>7.5804141040779151E-13</v>
      </c>
      <c r="BG182" s="22">
        <f t="shared" si="168"/>
        <v>1.4005661123635408E-12</v>
      </c>
      <c r="BH182" s="62">
        <f t="shared" si="116"/>
        <v>289.33587473413854</v>
      </c>
      <c r="BI182" s="62">
        <f ca="1">AVERAGE(OFFSET($BH$3,0,0,'Données projet'!$E$11+1,1))-AVERAGE(OFFSET($H$3,0,0,'Données projet'!$E$11+1,1))</f>
        <v>319.01020001288975</v>
      </c>
      <c r="BJ182" s="62">
        <f t="shared" si="146"/>
        <v>312.22190035638084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19.629757992648528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19.629757992648528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6.1186256061773749E-14</v>
      </c>
      <c r="CA182" s="14">
        <f t="shared" si="170"/>
        <v>9.7328366192051127E-13</v>
      </c>
      <c r="CB182" s="22">
        <f t="shared" si="171"/>
        <v>1.8017017738191463E-12</v>
      </c>
      <c r="CC182" s="62">
        <f t="shared" si="119"/>
        <v>289.33587473413894</v>
      </c>
      <c r="CD182" s="62">
        <f ca="1">AVERAGE(OFFSET($CC$3,0,0,'Données projet'!$E$12+1,1))-AVERAGE(OFFSET($H$3,0,0,'Données projet'!$E$12+1,1))</f>
        <v>405.06394904053946</v>
      </c>
      <c r="CE182" s="62">
        <f t="shared" si="148"/>
        <v>393.75247087518198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21.132616823000063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21.132616823000063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3.3333333333333335</v>
      </c>
      <c r="CT182" s="13">
        <f>IF('Données projet'!$A$140&gt;35,CT181+CS182-DB181,IF(A182&lt;'Données projet'!$A$140,$CQ$205^A182,IF(A182='Données projet'!$A$140,'Données projet'!$B$140,CT181+CS182-DB181)))</f>
        <v>219.25490196078422</v>
      </c>
      <c r="CU182" s="18">
        <f>CT182*VLOOKUP('Données projet'!$B$13,Paramètres!$A$1:$I$89,3,0)*VLOOKUP('Données projet'!$B$13,Paramètres!$A$1:$I$89,5,0)</f>
        <v>222.32447058823524</v>
      </c>
      <c r="CV182" s="14">
        <f t="shared" si="173"/>
        <v>54.619788463729066</v>
      </c>
      <c r="CW182" s="22">
        <f t="shared" si="174"/>
        <v>482.34458451550449</v>
      </c>
      <c r="CX182" s="62">
        <f t="shared" si="122"/>
        <v>771.68045924964167</v>
      </c>
      <c r="CY182" s="62">
        <f ca="1">AVERAGE(OFFSET($CX$3,0,0,'Données projet'!$E$13+1,1))-AVERAGE(OFFSET($H$3,0,0,'Données projet'!$E$13+1,1))</f>
        <v>474.46836359712393</v>
      </c>
      <c r="CZ182" s="62">
        <f t="shared" si="150"/>
        <v>221.28699636637722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30.986629048238729</v>
      </c>
      <c r="DG182" s="23">
        <f>EXP(-LN(2)/25)*DG181+(1-EXP(-LN(2)/25))/(LN(2)/25)*Calculateur!DB182*Calculateur!DD182*VLOOKUP('Données projet'!$B$13,Paramètres!$A$1:$I$89,3,0)*0.475*44/12</f>
        <v>17.70170407680768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48.688333125046412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4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368</v>
      </c>
      <c r="L183" s="13">
        <f>VLOOKUP(A183,'Données projet'!$A$35:$I$55,9,0)</f>
        <v>3.3333333333333335</v>
      </c>
      <c r="M183" s="13">
        <f t="array" ref="M183">INDEX(L:L,MIN(IF(ISNUMBER(L183:L379),ROW(L183:L379),"")))</f>
        <v>3.3333333333333335</v>
      </c>
      <c r="N183" s="14">
        <f>IF('Données projet'!$A$36&gt;35,N182+M183-V182,IF(A183&lt;'Données projet'!$A$36,$K$205^A183,IF(A183='Données projet'!$A$36,'Données projet'!$B$36,N182+M183-V182)))</f>
        <v>222.58823529411757</v>
      </c>
      <c r="O183" s="14">
        <f>N183*VLOOKUP('Données projet'!$B$9,Paramètres!$A$1:$I$89,3,0)*VLOOKUP('Données projet'!$B$9,Paramètres!$A$1:$I$89,5,0)</f>
        <v>201.39783529411756</v>
      </c>
      <c r="P183" s="14">
        <f t="shared" si="141"/>
        <v>50.051244978044025</v>
      </c>
      <c r="Q183" s="22">
        <f t="shared" si="162"/>
        <v>437.9404814740148</v>
      </c>
      <c r="R183" s="62">
        <f t="shared" si="109"/>
        <v>727.34570317786938</v>
      </c>
      <c r="S183" s="62">
        <f ca="1">AVERAGE(OFFSET($R$3,0,0,'Données projet'!$E$9+1,1))-AVERAGE(OFFSET($H$3,0,0,'Données projet'!$E$9+1,1))</f>
        <v>432.80275651765203</v>
      </c>
      <c r="T183" s="62">
        <f t="shared" si="142"/>
        <v>203.89279893419919</v>
      </c>
      <c r="U183" s="16" t="str">
        <f>IF(ISNA(VLOOKUP(A183,'Données projet'!$A$35:$I$55,3,0)),0,VLOOKUP(A183,'Données projet'!$A$35:$I$55,3,0))</f>
        <v>CR</v>
      </c>
      <c r="V183" s="16">
        <f>IF(ISNA(VLOOKUP(A183,'Données projet'!$A$35:$I$55,4,0)),0,VLOOKUP(A183,'Données projet'!$A$35:$I$55,4,0))</f>
        <v>368</v>
      </c>
      <c r="W183" s="17">
        <f>IF(ISNA(VLOOKUP(A183,'Données projet'!$A$35:$I$55,5,0)),0%,VLOOKUP(A183,'Données projet'!$A$35:$I$55,5,0)*VLOOKUP('Données projet'!$B$9,Paramètres!$A$1:$I$89,7,0))</f>
        <v>0.43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185.3837473300436</v>
      </c>
      <c r="AA183" s="23">
        <f>EXP(-LN(2)/25)*AA182+(1-EXP(-LN(2)/25))/(LN(2)/25)*Calculateur!V183*Calculateur!X183*VLOOKUP('Données projet'!$B$9,Paramètres!$A$1:$I$89,3,0)*0.475*44/12</f>
        <v>15.3634415812345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200.7471889112781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3.813056537183002E-14</v>
      </c>
      <c r="AK183" s="14">
        <f t="shared" si="164"/>
        <v>6.4086286045526829E-13</v>
      </c>
      <c r="AL183" s="22">
        <f t="shared" si="165"/>
        <v>1.1825802166488628E-12</v>
      </c>
      <c r="AM183" s="62">
        <f t="shared" si="113"/>
        <v>289.40522170385583</v>
      </c>
      <c r="AN183" s="62">
        <f ca="1">AVERAGE(OFFSET($AM$3,0,0,'Données projet'!$E$10+1,1))-AVERAGE(OFFSET($H$3,0,0,'Données projet'!$E$10+1,1))</f>
        <v>273.21861937609918</v>
      </c>
      <c r="AO183" s="62">
        <f t="shared" si="144"/>
        <v>268.83004886965318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15.913994378643499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15.913994378643499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4.6111381379887463E-14</v>
      </c>
      <c r="BF183" s="14">
        <f t="shared" si="167"/>
        <v>7.5804141040779151E-13</v>
      </c>
      <c r="BG183" s="22">
        <f t="shared" si="168"/>
        <v>1.4005661123635408E-12</v>
      </c>
      <c r="BH183" s="62">
        <f t="shared" si="116"/>
        <v>289.40522170385606</v>
      </c>
      <c r="BI183" s="62">
        <f ca="1">AVERAGE(OFFSET($BH$3,0,0,'Données projet'!$E$11+1,1))-AVERAGE(OFFSET($H$3,0,0,'Données projet'!$E$11+1,1))</f>
        <v>319.01020001288975</v>
      </c>
      <c r="BJ183" s="62">
        <f t="shared" si="146"/>
        <v>312.22190035638084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19.244830411382832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19.244830411382832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6.1186256061773749E-14</v>
      </c>
      <c r="CA183" s="14">
        <f t="shared" si="170"/>
        <v>9.7328366192051127E-13</v>
      </c>
      <c r="CB183" s="22">
        <f t="shared" si="171"/>
        <v>1.8017017738191463E-12</v>
      </c>
      <c r="CC183" s="62">
        <f t="shared" si="119"/>
        <v>289.40522170385645</v>
      </c>
      <c r="CD183" s="62">
        <f ca="1">AVERAGE(OFFSET($CC$3,0,0,'Données projet'!$E$12+1,1))-AVERAGE(OFFSET($H$3,0,0,'Données projet'!$E$12+1,1))</f>
        <v>405.06394904053946</v>
      </c>
      <c r="CE183" s="62">
        <f t="shared" si="148"/>
        <v>393.75247087518198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20.71821909672455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20.71821909672455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>
        <f>VLOOKUP(A183,'Données projet'!$A$139:$I$159,2,0)</f>
        <v>368</v>
      </c>
      <c r="CR183" s="13">
        <f>VLOOKUP(A183,'Données projet'!$A$139:$I$159,9,0)</f>
        <v>3.3333333333333335</v>
      </c>
      <c r="CS183" s="13">
        <f t="array" ref="CS183">INDEX(CR:CR,MIN(IF(ISNUMBER(CR183:CR379),ROW(CR183:CR379),"")))</f>
        <v>3.3333333333333335</v>
      </c>
      <c r="CT183" s="13">
        <f>IF('Données projet'!$A$140&gt;35,CT182+CS183-DB182,IF(A183&lt;'Données projet'!$A$140,$CQ$205^A183,IF(A183='Données projet'!$A$140,'Données projet'!$B$140,CT182+CS183-DB182)))</f>
        <v>222.58823529411757</v>
      </c>
      <c r="CU183" s="18">
        <f>CT183*VLOOKUP('Données projet'!$B$13,Paramètres!$A$1:$I$89,3,0)*VLOOKUP('Données projet'!$B$13,Paramètres!$A$1:$I$89,5,0)</f>
        <v>225.70447058823521</v>
      </c>
      <c r="CV183" s="14">
        <f t="shared" si="173"/>
        <v>55.352870998387864</v>
      </c>
      <c r="CW183" s="22">
        <f t="shared" si="174"/>
        <v>489.50820326336844</v>
      </c>
      <c r="CX183" s="62">
        <f t="shared" si="122"/>
        <v>778.91342496722314</v>
      </c>
      <c r="CY183" s="62">
        <f ca="1">AVERAGE(OFFSET($CX$3,0,0,'Données projet'!$E$13+1,1))-AVERAGE(OFFSET($H$3,0,0,'Données projet'!$E$13+1,1))</f>
        <v>474.46836359712393</v>
      </c>
      <c r="CZ183" s="62">
        <f t="shared" si="150"/>
        <v>221.28699636637722</v>
      </c>
      <c r="DA183" s="16" t="str">
        <f>IF(ISNA(VLOOKUP(A183,'Données projet'!$A$139:$I$159,3,0)),0,VLOOKUP(A183,'Données projet'!$A$139:$I$159,3,0))</f>
        <v>CR</v>
      </c>
      <c r="DB183" s="16">
        <f>IF(ISNA(VLOOKUP(A183,'Données projet'!$A$139:$I$159,4,0)),0,VLOOKUP(A183,'Données projet'!$A$139:$I$159,4,0))</f>
        <v>368</v>
      </c>
      <c r="DC183" s="17">
        <f>IF(ISNA(VLOOKUP(A183,'Données projet'!$A$139:$I$159,5,0)),0%,VLOOKUP(A183,'Données projet'!$A$139:$I$159,5,0)*VLOOKUP('Données projet'!$B$13,Paramètres!$A$1:$I$89,7,0))</f>
        <v>0.43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207.75764786987642</v>
      </c>
      <c r="DG183" s="23">
        <f>EXP(-LN(2)/25)*DG182+(1-EXP(-LN(2)/25))/(LN(2)/25)*Calculateur!DB183*Calculateur!DD183*VLOOKUP('Données projet'!$B$13,Paramètres!$A$1:$I$89,3,0)*0.475*44/12</f>
        <v>17.217650047935216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224.97529791781164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4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1.5675675675675675</v>
      </c>
      <c r="N184" s="14">
        <f>IF('Données projet'!$A$36&gt;35,N183+M184-V183,IF(A184&lt;'Données projet'!$A$36,$K$205^A184,IF(A184='Données projet'!$A$36,'Données projet'!$B$36,N183+M184-V183)))</f>
        <v>-143.84419713831485</v>
      </c>
      <c r="O184" s="14">
        <f>N184*VLOOKUP('Données projet'!$B$9,Paramètres!$A$1:$I$89,3,0)*VLOOKUP('Données projet'!$B$9,Paramètres!$A$1:$I$89,5,0)</f>
        <v>-130.15022957074726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432.80275651765203</v>
      </c>
      <c r="T184" s="62">
        <f t="shared" si="142"/>
        <v>203.89279893419919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181.7484851178223</v>
      </c>
      <c r="AA184" s="23">
        <f>EXP(-LN(2)/25)*AA183+(1-EXP(-LN(2)/25))/(LN(2)/25)*Calculateur!V184*Calculateur!X184*VLOOKUP('Données projet'!$B$9,Paramètres!$A$1:$I$89,3,0)*0.475*44/12</f>
        <v>14.943327463267364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196.69181258108966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3.813056537183002E-14</v>
      </c>
      <c r="AK184" s="14">
        <f t="shared" si="164"/>
        <v>6.4086286045526829E-13</v>
      </c>
      <c r="AL184" s="22">
        <f t="shared" si="165"/>
        <v>1.1825802166488628E-12</v>
      </c>
      <c r="AM184" s="62">
        <f t="shared" si="113"/>
        <v>289.47336565868528</v>
      </c>
      <c r="AN184" s="62">
        <f ca="1">AVERAGE(OFFSET($AM$3,0,0,'Données projet'!$E$10+1,1))-AVERAGE(OFFSET($H$3,0,0,'Données projet'!$E$10+1,1))</f>
        <v>273.21861937609918</v>
      </c>
      <c r="AO184" s="62">
        <f t="shared" si="144"/>
        <v>268.83004886965318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15.601930655456426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15.601930655456426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4.6111381379887463E-14</v>
      </c>
      <c r="BF184" s="14">
        <f t="shared" si="167"/>
        <v>7.5804141040779151E-13</v>
      </c>
      <c r="BG184" s="22">
        <f t="shared" si="168"/>
        <v>1.4005661123635408E-12</v>
      </c>
      <c r="BH184" s="62">
        <f t="shared" si="116"/>
        <v>289.47336565868551</v>
      </c>
      <c r="BI184" s="62">
        <f ca="1">AVERAGE(OFFSET($BH$3,0,0,'Données projet'!$E$11+1,1))-AVERAGE(OFFSET($H$3,0,0,'Données projet'!$E$11+1,1))</f>
        <v>319.01020001288975</v>
      </c>
      <c r="BJ184" s="62">
        <f t="shared" si="146"/>
        <v>312.22190035638084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18.867451025203117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18.867451025203117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6.1186256061773749E-14</v>
      </c>
      <c r="CA184" s="14">
        <f t="shared" si="170"/>
        <v>9.7328366192051127E-13</v>
      </c>
      <c r="CB184" s="22">
        <f t="shared" si="171"/>
        <v>1.8017017738191463E-12</v>
      </c>
      <c r="CC184" s="62">
        <f t="shared" si="119"/>
        <v>289.47336565868591</v>
      </c>
      <c r="CD184" s="62">
        <f ca="1">AVERAGE(OFFSET($CC$3,0,0,'Données projet'!$E$12+1,1))-AVERAGE(OFFSET($H$3,0,0,'Données projet'!$E$12+1,1))</f>
        <v>405.06394904053946</v>
      </c>
      <c r="CE184" s="62">
        <f t="shared" si="148"/>
        <v>393.75247087518198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20.311947457103642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20.311947457103642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1.5675675675675675</v>
      </c>
      <c r="CT184" s="13">
        <f>IF('Données projet'!$A$140&gt;35,CT183+CS184-DB183,IF(A184&lt;'Données projet'!$A$140,$CQ$205^A184,IF(A184='Données projet'!$A$140,'Données projet'!$B$140,CT183+CS184-DB183)))</f>
        <v>-143.84419713831485</v>
      </c>
      <c r="CU184" s="18">
        <f>CT184*VLOOKUP('Données projet'!$B$13,Paramètres!$A$1:$I$89,3,0)*VLOOKUP('Données projet'!$B$13,Paramètres!$A$1:$I$89,5,0)</f>
        <v>-145.85801589825127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474.46836359712393</v>
      </c>
      <c r="CZ184" s="62">
        <f t="shared" si="150"/>
        <v>221.28699636637722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203.68364711480081</v>
      </c>
      <c r="DG184" s="23">
        <f>EXP(-LN(2)/25)*DG183+(1-EXP(-LN(2)/25))/(LN(2)/25)*Calculateur!DB184*Calculateur!DD184*VLOOKUP('Données projet'!$B$13,Paramètres!$A$1:$I$89,3,0)*0.475*44/12</f>
        <v>16.746832501937561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220.43047961673835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4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1.5675675675675675</v>
      </c>
      <c r="N185" s="14">
        <f>IF('Données projet'!$A$36&gt;35,N184+M185-V184,IF(A185&lt;'Données projet'!$A$36,$K$205^A185,IF(A185='Données projet'!$A$36,'Données projet'!$B$36,N184+M185-V184)))</f>
        <v>-142.27662957074728</v>
      </c>
      <c r="O185" s="14">
        <f>N185*VLOOKUP('Données projet'!$B$9,Paramètres!$A$1:$I$89,3,0)*VLOOKUP('Données projet'!$B$9,Paramètres!$A$1:$I$89,5,0)</f>
        <v>-128.73189443561213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432.80275651765203</v>
      </c>
      <c r="T185" s="62">
        <f t="shared" si="142"/>
        <v>203.89279893419919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178.18450818029163</v>
      </c>
      <c r="AA185" s="23">
        <f>EXP(-LN(2)/25)*AA184+(1-EXP(-LN(2)/25))/(LN(2)/25)*Calculateur!V185*Calculateur!X185*VLOOKUP('Données projet'!$B$9,Paramètres!$A$1:$I$89,3,0)*0.475*44/12</f>
        <v>14.53470138794888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192.7192095682405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3.813056537183002E-14</v>
      </c>
      <c r="AK185" s="14">
        <f t="shared" si="164"/>
        <v>6.4086286045526829E-13</v>
      </c>
      <c r="AL185" s="22">
        <f t="shared" si="165"/>
        <v>1.1825802166488628E-12</v>
      </c>
      <c r="AM185" s="62">
        <f t="shared" si="113"/>
        <v>289.54032746824561</v>
      </c>
      <c r="AN185" s="62">
        <f ca="1">AVERAGE(OFFSET($AM$3,0,0,'Données projet'!$E$10+1,1))-AVERAGE(OFFSET($H$3,0,0,'Données projet'!$E$10+1,1))</f>
        <v>273.21861937609918</v>
      </c>
      <c r="AO185" s="62">
        <f t="shared" si="144"/>
        <v>268.83004886965318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15.295986311540975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15.295986311540975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4.6111381379887463E-14</v>
      </c>
      <c r="BF185" s="14">
        <f t="shared" si="167"/>
        <v>7.5804141040779151E-13</v>
      </c>
      <c r="BG185" s="22">
        <f t="shared" si="168"/>
        <v>1.4005661123635408E-12</v>
      </c>
      <c r="BH185" s="62">
        <f t="shared" si="116"/>
        <v>289.54032746824583</v>
      </c>
      <c r="BI185" s="62">
        <f ca="1">AVERAGE(OFFSET($BH$3,0,0,'Données projet'!$E$11+1,1))-AVERAGE(OFFSET($H$3,0,0,'Données projet'!$E$11+1,1))</f>
        <v>319.01020001288975</v>
      </c>
      <c r="BJ185" s="62">
        <f t="shared" si="146"/>
        <v>312.22190035638084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18.497471818607689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18.497471818607689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6.1186256061773749E-14</v>
      </c>
      <c r="CA185" s="14">
        <f t="shared" si="170"/>
        <v>9.7328366192051127E-13</v>
      </c>
      <c r="CB185" s="22">
        <f t="shared" si="171"/>
        <v>1.8017017738191463E-12</v>
      </c>
      <c r="CC185" s="62">
        <f t="shared" si="119"/>
        <v>289.54032746824623</v>
      </c>
      <c r="CD185" s="62">
        <f ca="1">AVERAGE(OFFSET($CC$3,0,0,'Données projet'!$E$12+1,1))-AVERAGE(OFFSET($H$3,0,0,'Données projet'!$E$12+1,1))</f>
        <v>405.06394904053946</v>
      </c>
      <c r="CE185" s="62">
        <f t="shared" si="148"/>
        <v>393.75247087518198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19.913642556534469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19.913642556534469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1.5675675675675675</v>
      </c>
      <c r="CT185" s="13">
        <f>IF('Données projet'!$A$140&gt;35,CT184+CS185-DB184,IF(A185&lt;'Données projet'!$A$140,$CQ$205^A185,IF(A185='Données projet'!$A$140,'Données projet'!$B$140,CT184+CS185-DB184)))</f>
        <v>-142.27662957074728</v>
      </c>
      <c r="CU185" s="18">
        <f>CT185*VLOOKUP('Données projet'!$B$13,Paramètres!$A$1:$I$89,3,0)*VLOOKUP('Données projet'!$B$13,Paramètres!$A$1:$I$89,5,0)</f>
        <v>-144.26850238473773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474.46836359712393</v>
      </c>
      <c r="CZ185" s="62">
        <f t="shared" si="150"/>
        <v>221.28699636637722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199.68953502963714</v>
      </c>
      <c r="DG185" s="23">
        <f>EXP(-LN(2)/25)*DG184+(1-EXP(-LN(2)/25))/(LN(2)/25)*Calculateur!DB185*Calculateur!DD185*VLOOKUP('Données projet'!$B$13,Paramètres!$A$1:$I$89,3,0)*0.475*44/12</f>
        <v>16.288889486494433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215.97842451613158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4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1.5675675675675675</v>
      </c>
      <c r="N186" s="14">
        <f>IF('Données projet'!$A$36&gt;35,N185+M186-V185,IF(A186&lt;'Données projet'!$A$36,$K$205^A186,IF(A186='Données projet'!$A$36,'Données projet'!$B$36,N185+M186-V185)))</f>
        <v>-140.7090620031797</v>
      </c>
      <c r="O186" s="14">
        <f>N186*VLOOKUP('Données projet'!$B$9,Paramètres!$A$1:$I$89,3,0)*VLOOKUP('Données projet'!$B$9,Paramètres!$A$1:$I$89,5,0)</f>
        <v>-127.313559300477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432.80275651765203</v>
      </c>
      <c r="T186" s="62">
        <f t="shared" si="142"/>
        <v>203.89279893419919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174.69041865669467</v>
      </c>
      <c r="AA186" s="23">
        <f>EXP(-LN(2)/25)*AA185+(1-EXP(-LN(2)/25))/(LN(2)/25)*Calculateur!V186*Calculateur!X186*VLOOKUP('Données projet'!$B$9,Paramètres!$A$1:$I$89,3,0)*0.475*44/12</f>
        <v>14.137249214148692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188.82766787084336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3.813056537183002E-14</v>
      </c>
      <c r="AK186" s="14">
        <f t="shared" si="164"/>
        <v>6.4086286045526829E-13</v>
      </c>
      <c r="AL186" s="22">
        <f t="shared" si="165"/>
        <v>1.1825802166488628E-12</v>
      </c>
      <c r="AM186" s="62">
        <f t="shared" si="113"/>
        <v>289.60612764011415</v>
      </c>
      <c r="AN186" s="62">
        <f ca="1">AVERAGE(OFFSET($AM$3,0,0,'Données projet'!$E$10+1,1))-AVERAGE(OFFSET($H$3,0,0,'Données projet'!$E$10+1,1))</f>
        <v>273.21861937609918</v>
      </c>
      <c r="AO186" s="62">
        <f t="shared" si="144"/>
        <v>268.83004886965318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14.996041349602082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14.996041349602082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4.6111381379887463E-14</v>
      </c>
      <c r="BF186" s="14">
        <f t="shared" si="167"/>
        <v>7.5804141040779151E-13</v>
      </c>
      <c r="BG186" s="22">
        <f t="shared" si="168"/>
        <v>1.4005661123635408E-12</v>
      </c>
      <c r="BH186" s="62">
        <f t="shared" si="116"/>
        <v>289.60612764011438</v>
      </c>
      <c r="BI186" s="62">
        <f ca="1">AVERAGE(OFFSET($BH$3,0,0,'Données projet'!$E$11+1,1))-AVERAGE(OFFSET($H$3,0,0,'Données projet'!$E$11+1,1))</f>
        <v>319.01020001288975</v>
      </c>
      <c r="BJ186" s="62">
        <f t="shared" si="146"/>
        <v>312.22190035638084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18.134747678588564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18.134747678588564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6.1186256061773749E-14</v>
      </c>
      <c r="CA186" s="14">
        <f t="shared" si="170"/>
        <v>9.7328366192051127E-13</v>
      </c>
      <c r="CB186" s="22">
        <f t="shared" si="171"/>
        <v>1.8017017738191463E-12</v>
      </c>
      <c r="CC186" s="62">
        <f t="shared" si="119"/>
        <v>289.60612764011478</v>
      </c>
      <c r="CD186" s="62">
        <f ca="1">AVERAGE(OFFSET($CC$3,0,0,'Données projet'!$E$12+1,1))-AVERAGE(OFFSET($H$3,0,0,'Données projet'!$E$12+1,1))</f>
        <v>405.06394904053946</v>
      </c>
      <c r="CE186" s="62">
        <f t="shared" si="148"/>
        <v>393.75247087518198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19.523148172123459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19.523148172123459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1.5675675675675675</v>
      </c>
      <c r="CT186" s="13">
        <f>IF('Données projet'!$A$140&gt;35,CT185+CS186-DB185,IF(A186&lt;'Données projet'!$A$140,$CQ$205^A186,IF(A186='Données projet'!$A$140,'Données projet'!$B$140,CT185+CS186-DB185)))</f>
        <v>-140.7090620031797</v>
      </c>
      <c r="CU186" s="18">
        <f>CT186*VLOOKUP('Données projet'!$B$13,Paramètres!$A$1:$I$89,3,0)*VLOOKUP('Données projet'!$B$13,Paramètres!$A$1:$I$89,5,0)</f>
        <v>-142.67898887122422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474.46836359712393</v>
      </c>
      <c r="CZ186" s="62">
        <f t="shared" si="150"/>
        <v>221.28699636637722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195.77374504629572</v>
      </c>
      <c r="DG186" s="23">
        <f>EXP(-LN(2)/25)*DG185+(1-EXP(-LN(2)/25))/(LN(2)/25)*Calculateur!DB186*Calculateur!DD186*VLOOKUP('Données projet'!$B$13,Paramètres!$A$1:$I$89,3,0)*0.475*44/12</f>
        <v>15.843468946890773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211.61721399318648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4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1.5675675675675675</v>
      </c>
      <c r="N187" s="14">
        <f>IF('Données projet'!$A$36&gt;35,N186+M187-V186,IF(A187&lt;'Données projet'!$A$36,$K$205^A187,IF(A187='Données projet'!$A$36,'Données projet'!$B$36,N186+M187-V186)))</f>
        <v>-139.14149443561212</v>
      </c>
      <c r="O187" s="14">
        <f>N187*VLOOKUP('Données projet'!$B$9,Paramètres!$A$1:$I$89,3,0)*VLOOKUP('Données projet'!$B$9,Paramètres!$A$1:$I$89,5,0)</f>
        <v>-125.89522416534183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432.80275651765203</v>
      </c>
      <c r="T187" s="62">
        <f t="shared" si="142"/>
        <v>203.89279893419919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171.26484609747126</v>
      </c>
      <c r="AA187" s="23">
        <f>EXP(-LN(2)/25)*AA186+(1-EXP(-LN(2)/25))/(LN(2)/25)*Calculateur!V187*Calculateur!X187*VLOOKUP('Données projet'!$B$9,Paramètres!$A$1:$I$89,3,0)*0.475*44/12</f>
        <v>13.750665390942171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185.01551148841344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3.813056537183002E-14</v>
      </c>
      <c r="AK187" s="14">
        <f t="shared" si="164"/>
        <v>6.4086286045526829E-13</v>
      </c>
      <c r="AL187" s="22">
        <f t="shared" si="165"/>
        <v>1.1825802166488628E-12</v>
      </c>
      <c r="AM187" s="62">
        <f t="shared" si="113"/>
        <v>289.67078632610793</v>
      </c>
      <c r="AN187" s="62">
        <f ca="1">AVERAGE(OFFSET($AM$3,0,0,'Données projet'!$E$10+1,1))-AVERAGE(OFFSET($H$3,0,0,'Données projet'!$E$10+1,1))</f>
        <v>273.21861937609918</v>
      </c>
      <c r="AO187" s="62">
        <f t="shared" si="144"/>
        <v>268.83004886965318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14.701978125418449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14.701978125418449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4.6111381379887463E-14</v>
      </c>
      <c r="BF187" s="14">
        <f t="shared" si="167"/>
        <v>7.5804141040779151E-13</v>
      </c>
      <c r="BG187" s="22">
        <f t="shared" si="168"/>
        <v>1.4005661123635408E-12</v>
      </c>
      <c r="BH187" s="62">
        <f t="shared" si="116"/>
        <v>289.67078632610816</v>
      </c>
      <c r="BI187" s="62">
        <f ca="1">AVERAGE(OFFSET($BH$3,0,0,'Données projet'!$E$11+1,1))-AVERAGE(OFFSET($H$3,0,0,'Données projet'!$E$11+1,1))</f>
        <v>319.01020001288975</v>
      </c>
      <c r="BJ187" s="62">
        <f t="shared" si="146"/>
        <v>312.22190035638084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17.779136337715332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17.779136337715332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6.1186256061773749E-14</v>
      </c>
      <c r="CA187" s="14">
        <f t="shared" si="170"/>
        <v>9.7328366192051127E-13</v>
      </c>
      <c r="CB187" s="22">
        <f t="shared" si="171"/>
        <v>1.8017017738191463E-12</v>
      </c>
      <c r="CC187" s="62">
        <f t="shared" si="119"/>
        <v>289.67078632610855</v>
      </c>
      <c r="CD187" s="62">
        <f ca="1">AVERAGE(OFFSET($CC$3,0,0,'Données projet'!$E$12+1,1))-AVERAGE(OFFSET($H$3,0,0,'Données projet'!$E$12+1,1))</f>
        <v>405.06394904053946</v>
      </c>
      <c r="CE187" s="62">
        <f t="shared" si="148"/>
        <v>393.75247087518198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19.140311144412692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19.140311144412692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1.5675675675675675</v>
      </c>
      <c r="CT187" s="13">
        <f>IF('Données projet'!$A$140&gt;35,CT186+CS187-DB186,IF(A187&lt;'Données projet'!$A$140,$CQ$205^A187,IF(A187='Données projet'!$A$140,'Données projet'!$B$140,CT186+CS187-DB186)))</f>
        <v>-139.14149443561212</v>
      </c>
      <c r="CU187" s="18">
        <f>CT187*VLOOKUP('Données projet'!$B$13,Paramètres!$A$1:$I$89,3,0)*VLOOKUP('Données projet'!$B$13,Paramètres!$A$1:$I$89,5,0)</f>
        <v>-141.08947535771068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474.46836359712393</v>
      </c>
      <c r="CZ187" s="62">
        <f t="shared" si="150"/>
        <v>221.28699636637722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191.93474131613155</v>
      </c>
      <c r="DG187" s="23">
        <f>EXP(-LN(2)/25)*DG186+(1-EXP(-LN(2)/25))/(LN(2)/25)*Calculateur!DB187*Calculateur!DD187*VLOOKUP('Données projet'!$B$13,Paramètres!$A$1:$I$89,3,0)*0.475*44/12</f>
        <v>15.410228455366225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207.34496977149777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4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>
        <f>VLOOKUP(A188,'Données projet'!$A$35:$I$55,2,0)</f>
        <v>351</v>
      </c>
      <c r="L188" s="13">
        <f>VLOOKUP(A188,'Données projet'!$A$35:$I$55,9,0)</f>
        <v>1.5675675675675675</v>
      </c>
      <c r="M188" s="13">
        <f t="array" ref="M188">INDEX(L:L,MIN(IF(ISNUMBER(L188:L384),ROW(L188:L384),"")))</f>
        <v>1.5675675675675675</v>
      </c>
      <c r="N188" s="14">
        <f>IF('Données projet'!$A$36&gt;35,N187+M188-V187,IF(A188&lt;'Données projet'!$A$36,$K$205^A188,IF(A188='Données projet'!$A$36,'Données projet'!$B$36,N187+M188-V187)))</f>
        <v>-137.57392686804454</v>
      </c>
      <c r="O188" s="14">
        <f>N188*VLOOKUP('Données projet'!$B$9,Paramètres!$A$1:$I$89,3,0)*VLOOKUP('Données projet'!$B$9,Paramètres!$A$1:$I$89,5,0)</f>
        <v>-124.47688903020669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432.80275651765203</v>
      </c>
      <c r="T188" s="62">
        <f t="shared" si="142"/>
        <v>203.89279893419919</v>
      </c>
      <c r="U188" s="16">
        <f>IF(ISNA(VLOOKUP(A188,'Données projet'!$A$35:$I$55,3,0)),0,VLOOKUP(A188,'Données projet'!$A$35:$I$55,3,0))</f>
        <v>12</v>
      </c>
      <c r="V188" s="16">
        <f>IF(ISNA(VLOOKUP(A188,'Données projet'!$A$35:$I$55,4,0)),0,VLOOKUP(A188,'Données projet'!$A$35:$I$55,4,0))</f>
        <v>41</v>
      </c>
      <c r="W188" s="17">
        <f>IF(ISNA(VLOOKUP(A188,'Données projet'!$A$35:$I$55,5,0)),0%,VLOOKUP(A188,'Données projet'!$A$35:$I$55,5,0)*VLOOKUP('Données projet'!$B$9,Paramètres!$A$1:$I$89,7,0))</f>
        <v>0.215</v>
      </c>
      <c r="X188" s="17">
        <f>IF(ISNA(VLOOKUP(A188,'Données projet'!$A$35:$I$55,6,0)),0%,VLOOKUP(A188,'Données projet'!$A$35:$I$55,6,0)*VLOOKUP('Données projet'!$B$9,Paramètres!$A$1:$I$89,7,0))</f>
        <v>0.17200000000000001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176.72347084546473</v>
      </c>
      <c r="AA188" s="23">
        <f>EXP(-LN(2)/25)*AA187+(1-EXP(-LN(2)/25))/(LN(2)/25)*Calculateur!V188*Calculateur!X188*VLOOKUP('Données projet'!$B$9,Paramètres!$A$1:$I$89,3,0)*0.475*44/12</f>
        <v>20.400499071515551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197.12396991698029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3.813056537183002E-14</v>
      </c>
      <c r="AK188" s="14">
        <f t="shared" si="164"/>
        <v>6.4086286045526829E-13</v>
      </c>
      <c r="AL188" s="22">
        <f t="shared" si="165"/>
        <v>1.1825802166488628E-12</v>
      </c>
      <c r="AM188" s="62">
        <f t="shared" si="113"/>
        <v>289.73432332845493</v>
      </c>
      <c r="AN188" s="62">
        <f ca="1">AVERAGE(OFFSET($AM$3,0,0,'Données projet'!$E$10+1,1))-AVERAGE(OFFSET($H$3,0,0,'Données projet'!$E$10+1,1))</f>
        <v>273.21861937609918</v>
      </c>
      <c r="AO188" s="62">
        <f t="shared" si="144"/>
        <v>268.83004886965318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14.413681301700201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14.413681301700201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4.6111381379887463E-14</v>
      </c>
      <c r="BF188" s="14">
        <f t="shared" si="167"/>
        <v>7.5804141040779151E-13</v>
      </c>
      <c r="BG188" s="22">
        <f t="shared" si="168"/>
        <v>1.4005661123635408E-12</v>
      </c>
      <c r="BH188" s="62">
        <f t="shared" si="116"/>
        <v>289.73432332845516</v>
      </c>
      <c r="BI188" s="62">
        <f ca="1">AVERAGE(OFFSET($BH$3,0,0,'Données projet'!$E$11+1,1))-AVERAGE(OFFSET($H$3,0,0,'Données projet'!$E$11+1,1))</f>
        <v>319.01020001288975</v>
      </c>
      <c r="BJ188" s="62">
        <f t="shared" si="146"/>
        <v>312.22190035638084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17.430498318335125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17.430498318335125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6.1186256061773749E-14</v>
      </c>
      <c r="CA188" s="14">
        <f t="shared" si="170"/>
        <v>9.7328366192051127E-13</v>
      </c>
      <c r="CB188" s="22">
        <f t="shared" si="171"/>
        <v>1.8017017738191463E-12</v>
      </c>
      <c r="CC188" s="62">
        <f t="shared" si="119"/>
        <v>289.73432332845556</v>
      </c>
      <c r="CD188" s="62">
        <f ca="1">AVERAGE(OFFSET($CC$3,0,0,'Données projet'!$E$12+1,1))-AVERAGE(OFFSET($H$3,0,0,'Données projet'!$E$12+1,1))</f>
        <v>405.06394904053946</v>
      </c>
      <c r="CE188" s="62">
        <f t="shared" si="148"/>
        <v>393.75247087518198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18.764981317307804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18.764981317307804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>
        <f>VLOOKUP(A188,'Données projet'!$A$139:$I$159,2,0)</f>
        <v>351</v>
      </c>
      <c r="CR188" s="13">
        <f>VLOOKUP(A188,'Données projet'!$A$139:$I$159,9,0)</f>
        <v>1.5675675675675675</v>
      </c>
      <c r="CS188" s="13">
        <f t="array" ref="CS188">INDEX(CR:CR,MIN(IF(ISNUMBER(CR188:CR384),ROW(CR188:CR384),"")))</f>
        <v>1.5675675675675675</v>
      </c>
      <c r="CT188" s="13">
        <f>IF('Données projet'!$A$140&gt;35,CT187+CS188-DB187,IF(A188&lt;'Données projet'!$A$140,$CQ$205^A188,IF(A188='Données projet'!$A$140,'Données projet'!$B$140,CT187+CS188-DB187)))</f>
        <v>-137.57392686804454</v>
      </c>
      <c r="CU188" s="18">
        <f>CT188*VLOOKUP('Données projet'!$B$13,Paramètres!$A$1:$I$89,3,0)*VLOOKUP('Données projet'!$B$13,Paramètres!$A$1:$I$89,5,0)</f>
        <v>-139.49996184419717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474.46836359712393</v>
      </c>
      <c r="CZ188" s="62">
        <f t="shared" si="150"/>
        <v>221.28699636637722</v>
      </c>
      <c r="DA188" s="16">
        <f>IF(ISNA(VLOOKUP(A188,'Données projet'!$A$139:$I$159,3,0)),0,VLOOKUP(A188,'Données projet'!$A$139:$I$159,3,0))</f>
        <v>12</v>
      </c>
      <c r="DB188" s="16">
        <f>IF(ISNA(VLOOKUP(A188,'Données projet'!$A$139:$I$159,4,0)),0,VLOOKUP(A188,'Données projet'!$A$139:$I$159,4,0))</f>
        <v>41</v>
      </c>
      <c r="DC188" s="17">
        <f>IF(ISNA(VLOOKUP(A188,'Données projet'!$A$139:$I$159,5,0)),0%,VLOOKUP(A188,'Données projet'!$A$139:$I$159,5,0)*VLOOKUP('Données projet'!$B$13,Paramètres!$A$1:$I$89,7,0))</f>
        <v>0.215</v>
      </c>
      <c r="DD188" s="17">
        <f>IF(ISNA(VLOOKUP(A188,'Données projet'!$A$139:$I$159,6,0)),0%,VLOOKUP(A188,'Données projet'!$A$139:$I$159,6,0)*VLOOKUP('Données projet'!$B$13,Paramètres!$A$1:$I$89,7,0))</f>
        <v>0.17200000000000001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198.05216560267598</v>
      </c>
      <c r="DG188" s="23">
        <f>EXP(-LN(2)/25)*DG187+(1-EXP(-LN(2)/25))/(LN(2)/25)*Calculateur!DB188*Calculateur!DD188*VLOOKUP('Données projet'!$B$13,Paramètres!$A$1:$I$89,3,0)*0.475*44/12</f>
        <v>22.86262826980191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220.9147938724779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4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-178.57392686804454</v>
      </c>
      <c r="O189" s="14">
        <f>N189*VLOOKUP('Données projet'!$B$9,Paramètres!$A$1:$I$89,3,0)*VLOOKUP('Données projet'!$B$9,Paramètres!$A$1:$I$89,5,0)</f>
        <v>-161.57368903020668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432.80275651765203</v>
      </c>
      <c r="T189" s="62">
        <f t="shared" si="142"/>
        <v>203.89279893419919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173.25803137285894</v>
      </c>
      <c r="AA189" s="23">
        <f>EXP(-LN(2)/25)*AA188+(1-EXP(-LN(2)/25))/(LN(2)/25)*Calculateur!V189*Calculateur!X189*VLOOKUP('Données projet'!$B$9,Paramètres!$A$1:$I$89,3,0)*0.475*44/12</f>
        <v>19.842646351589337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193.10067772444827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3.813056537183002E-14</v>
      </c>
      <c r="AK189" s="14">
        <f t="shared" si="164"/>
        <v>6.4086286045526829E-13</v>
      </c>
      <c r="AL189" s="22">
        <f t="shared" si="165"/>
        <v>1.1825802166488628E-12</v>
      </c>
      <c r="AM189" s="62">
        <f t="shared" si="113"/>
        <v>289.7967581058586</v>
      </c>
      <c r="AN189" s="62">
        <f ca="1">AVERAGE(OFFSET($AM$3,0,0,'Données projet'!$E$10+1,1))-AVERAGE(OFFSET($H$3,0,0,'Données projet'!$E$10+1,1))</f>
        <v>273.21861937609918</v>
      </c>
      <c r="AO189" s="62">
        <f t="shared" si="144"/>
        <v>268.83004886965318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14.131037802851369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14.131037802851369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4.6111381379887463E-14</v>
      </c>
      <c r="BF189" s="14">
        <f t="shared" si="167"/>
        <v>7.5804141040779151E-13</v>
      </c>
      <c r="BG189" s="22">
        <f t="shared" si="168"/>
        <v>1.4005661123635408E-12</v>
      </c>
      <c r="BH189" s="62">
        <f t="shared" si="116"/>
        <v>289.79675810585883</v>
      </c>
      <c r="BI189" s="62">
        <f ca="1">AVERAGE(OFFSET($BH$3,0,0,'Données projet'!$E$11+1,1))-AVERAGE(OFFSET($H$3,0,0,'Données projet'!$E$11+1,1))</f>
        <v>319.01020001288975</v>
      </c>
      <c r="BJ189" s="62">
        <f t="shared" si="146"/>
        <v>312.22190035638084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17.08869687786677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17.08869687786677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6.1186256061773749E-14</v>
      </c>
      <c r="CA189" s="14">
        <f t="shared" si="170"/>
        <v>9.7328366192051127E-13</v>
      </c>
      <c r="CB189" s="22">
        <f t="shared" si="171"/>
        <v>1.8017017738191463E-12</v>
      </c>
      <c r="CC189" s="62">
        <f t="shared" si="119"/>
        <v>289.79675810585923</v>
      </c>
      <c r="CD189" s="62">
        <f ca="1">AVERAGE(OFFSET($CC$3,0,0,'Données projet'!$E$12+1,1))-AVERAGE(OFFSET($H$3,0,0,'Données projet'!$E$12+1,1))</f>
        <v>405.06394904053946</v>
      </c>
      <c r="CE189" s="62">
        <f t="shared" si="148"/>
        <v>393.75247087518198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18.397011479183853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18.397011479183853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-178.57392686804454</v>
      </c>
      <c r="CU189" s="18">
        <f>CT189*VLOOKUP('Données projet'!$B$13,Paramètres!$A$1:$I$89,3,0)*VLOOKUP('Données projet'!$B$13,Paramètres!$A$1:$I$89,5,0)</f>
        <v>-181.07396184419716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474.46836359712393</v>
      </c>
      <c r="CZ189" s="62">
        <f t="shared" si="150"/>
        <v>221.28699636637722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194.16848343510054</v>
      </c>
      <c r="DG189" s="23">
        <f>EXP(-LN(2)/25)*DG188+(1-EXP(-LN(2)/25))/(LN(2)/25)*Calculateur!DB189*Calculateur!DD189*VLOOKUP('Données projet'!$B$13,Paramètres!$A$1:$I$89,3,0)*0.475*44/12</f>
        <v>22.237448497470808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216.40593193257135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4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-178.57392686804454</v>
      </c>
      <c r="O190" s="14">
        <f>N190*VLOOKUP('Données projet'!$B$9,Paramètres!$A$1:$I$89,3,0)*VLOOKUP('Données projet'!$B$9,Paramètres!$A$1:$I$89,5,0)</f>
        <v>-161.57368903020668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432.80275651765203</v>
      </c>
      <c r="T190" s="62">
        <f t="shared" si="142"/>
        <v>203.89279893419919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169.86054705460157</v>
      </c>
      <c r="AA190" s="23">
        <f>EXP(-LN(2)/25)*AA189+(1-EXP(-LN(2)/25))/(LN(2)/25)*Calculateur!V190*Calculateur!X190*VLOOKUP('Données projet'!$B$9,Paramètres!$A$1:$I$89,3,0)*0.475*44/12</f>
        <v>19.300048143625705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189.16059519822727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3.813056537183002E-14</v>
      </c>
      <c r="AK190" s="14">
        <f t="shared" si="164"/>
        <v>6.4086286045526829E-13</v>
      </c>
      <c r="AL190" s="22">
        <f t="shared" si="165"/>
        <v>1.1825802166488628E-12</v>
      </c>
      <c r="AM190" s="62">
        <f t="shared" si="113"/>
        <v>289.85810977945761</v>
      </c>
      <c r="AN190" s="62">
        <f ca="1">AVERAGE(OFFSET($AM$3,0,0,'Données projet'!$E$10+1,1))-AVERAGE(OFFSET($H$3,0,0,'Données projet'!$E$10+1,1))</f>
        <v>273.21861937609918</v>
      </c>
      <c r="AO190" s="62">
        <f t="shared" si="144"/>
        <v>268.83004886965318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13.85393677061945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13.85393677061945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4.6111381379887463E-14</v>
      </c>
      <c r="BF190" s="14">
        <f t="shared" si="167"/>
        <v>7.5804141040779151E-13</v>
      </c>
      <c r="BG190" s="22">
        <f t="shared" si="168"/>
        <v>1.4005661123635408E-12</v>
      </c>
      <c r="BH190" s="62">
        <f t="shared" si="116"/>
        <v>289.85810977945783</v>
      </c>
      <c r="BI190" s="62">
        <f ca="1">AVERAGE(OFFSET($BH$3,0,0,'Données projet'!$E$11+1,1))-AVERAGE(OFFSET($H$3,0,0,'Données projet'!$E$11+1,1))</f>
        <v>319.01020001288975</v>
      </c>
      <c r="BJ190" s="62">
        <f t="shared" si="146"/>
        <v>312.22190035638084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16.753597955167706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16.753597955167706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6.1186256061773749E-14</v>
      </c>
      <c r="CA190" s="14">
        <f t="shared" si="170"/>
        <v>9.7328366192051127E-13</v>
      </c>
      <c r="CB190" s="22">
        <f t="shared" si="171"/>
        <v>1.8017017738191463E-12</v>
      </c>
      <c r="CC190" s="62">
        <f t="shared" si="119"/>
        <v>289.85810977945823</v>
      </c>
      <c r="CD190" s="62">
        <f ca="1">AVERAGE(OFFSET($CC$3,0,0,'Données projet'!$E$12+1,1))-AVERAGE(OFFSET($H$3,0,0,'Données projet'!$E$12+1,1))</f>
        <v>405.06394904053946</v>
      </c>
      <c r="CE190" s="62">
        <f t="shared" si="148"/>
        <v>393.75247087518198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18.036257305146069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18.036257305146069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-178.57392686804454</v>
      </c>
      <c r="CU190" s="18">
        <f>CT190*VLOOKUP('Données projet'!$B$13,Paramètres!$A$1:$I$89,3,0)*VLOOKUP('Données projet'!$B$13,Paramètres!$A$1:$I$89,5,0)</f>
        <v>-181.07396184419716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474.46836359712393</v>
      </c>
      <c r="CZ190" s="62">
        <f t="shared" si="150"/>
        <v>221.28699636637722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190.36095790601902</v>
      </c>
      <c r="DG190" s="23">
        <f>EXP(-LN(2)/25)*DG189+(1-EXP(-LN(2)/25))/(LN(2)/25)*Calculateur!DB190*Calculateur!DD190*VLOOKUP('Données projet'!$B$13,Paramètres!$A$1:$I$89,3,0)*0.475*44/12</f>
        <v>21.629364298890877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211.99032220490989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4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-178.57392686804454</v>
      </c>
      <c r="O191" s="14">
        <f>N191*VLOOKUP('Données projet'!$B$9,Paramètres!$A$1:$I$89,3,0)*VLOOKUP('Données projet'!$B$9,Paramètres!$A$1:$I$89,5,0)</f>
        <v>-161.57368903020668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432.80275651765203</v>
      </c>
      <c r="T191" s="62">
        <f t="shared" si="142"/>
        <v>203.89279893419919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166.52968533156442</v>
      </c>
      <c r="AA191" s="23">
        <f>EXP(-LN(2)/25)*AA190+(1-EXP(-LN(2)/25))/(LN(2)/25)*Calculateur!V191*Calculateur!X191*VLOOKUP('Données projet'!$B$9,Paramètres!$A$1:$I$89,3,0)*0.475*44/12</f>
        <v>18.772287312192841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185.30197264375727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3.813056537183002E-14</v>
      </c>
      <c r="AK191" s="14">
        <f t="shared" si="164"/>
        <v>6.4086286045526829E-13</v>
      </c>
      <c r="AL191" s="22">
        <f t="shared" si="165"/>
        <v>1.1825802166488628E-12</v>
      </c>
      <c r="AM191" s="62">
        <f t="shared" si="113"/>
        <v>289.91839713868143</v>
      </c>
      <c r="AN191" s="62">
        <f ca="1">AVERAGE(OFFSET($AM$3,0,0,'Données projet'!$E$10+1,1))-AVERAGE(OFFSET($H$3,0,0,'Données projet'!$E$10+1,1))</f>
        <v>273.21861937609918</v>
      </c>
      <c r="AO191" s="62">
        <f t="shared" si="144"/>
        <v>268.83004886965318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13.582269520614657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13.582269520614657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4.6111381379887463E-14</v>
      </c>
      <c r="BF191" s="14">
        <f t="shared" si="167"/>
        <v>7.5804141040779151E-13</v>
      </c>
      <c r="BG191" s="22">
        <f t="shared" si="168"/>
        <v>1.4005661123635408E-12</v>
      </c>
      <c r="BH191" s="62">
        <f t="shared" si="116"/>
        <v>289.91839713868166</v>
      </c>
      <c r="BI191" s="62">
        <f ca="1">AVERAGE(OFFSET($BH$3,0,0,'Données projet'!$E$11+1,1))-AVERAGE(OFFSET($H$3,0,0,'Données projet'!$E$11+1,1))</f>
        <v>319.01020001288975</v>
      </c>
      <c r="BJ191" s="62">
        <f t="shared" si="146"/>
        <v>312.22190035638084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16.425070117952608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16.425070117952608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6.1186256061773749E-14</v>
      </c>
      <c r="CA191" s="14">
        <f t="shared" si="170"/>
        <v>9.7328366192051127E-13</v>
      </c>
      <c r="CB191" s="22">
        <f t="shared" si="171"/>
        <v>1.8017017738191463E-12</v>
      </c>
      <c r="CC191" s="62">
        <f t="shared" si="119"/>
        <v>289.91839713868205</v>
      </c>
      <c r="CD191" s="62">
        <f ca="1">AVERAGE(OFFSET($CC$3,0,0,'Données projet'!$E$12+1,1))-AVERAGE(OFFSET($H$3,0,0,'Données projet'!$E$12+1,1))</f>
        <v>405.06394904053946</v>
      </c>
      <c r="CE191" s="62">
        <f t="shared" si="148"/>
        <v>393.75247087518198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17.682577300422849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17.682577300422849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-178.57392686804454</v>
      </c>
      <c r="CU191" s="18">
        <f>CT191*VLOOKUP('Données projet'!$B$13,Paramètres!$A$1:$I$89,3,0)*VLOOKUP('Données projet'!$B$13,Paramètres!$A$1:$I$89,5,0)</f>
        <v>-181.07396184419716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474.46836359712393</v>
      </c>
      <c r="CZ191" s="62">
        <f t="shared" si="150"/>
        <v>221.28699636637722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186.62809563020153</v>
      </c>
      <c r="DG191" s="23">
        <f>EXP(-LN(2)/25)*DG190+(1-EXP(-LN(2)/25))/(LN(2)/25)*Calculateur!DB191*Calculateur!DD191*VLOOKUP('Données projet'!$B$13,Paramètres!$A$1:$I$89,3,0)*0.475*44/12</f>
        <v>21.037908194698872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207.6660038249004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4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-178.57392686804454</v>
      </c>
      <c r="O192" s="14">
        <f>N192*VLOOKUP('Données projet'!$B$9,Paramètres!$A$1:$I$89,3,0)*VLOOKUP('Données projet'!$B$9,Paramètres!$A$1:$I$89,5,0)</f>
        <v>-161.57368903020668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432.80275651765203</v>
      </c>
      <c r="T192" s="62">
        <f t="shared" si="142"/>
        <v>203.89279893419919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163.264139775291</v>
      </c>
      <c r="AA192" s="23">
        <f>EXP(-LN(2)/25)*AA191+(1-EXP(-LN(2)/25))/(LN(2)/25)*Calculateur!V192*Calculateur!X192*VLOOKUP('Données projet'!$B$9,Paramètres!$A$1:$I$89,3,0)*0.475*44/12</f>
        <v>18.258958128449244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181.52309790374025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3.813056537183002E-14</v>
      </c>
      <c r="AK192" s="14">
        <f t="shared" si="164"/>
        <v>6.4086286045526829E-13</v>
      </c>
      <c r="AL192" s="22">
        <f t="shared" si="165"/>
        <v>1.1825802166488628E-12</v>
      </c>
      <c r="AM192" s="62">
        <f t="shared" si="113"/>
        <v>289.97763864700505</v>
      </c>
      <c r="AN192" s="62">
        <f ca="1">AVERAGE(OFFSET($AM$3,0,0,'Données projet'!$E$10+1,1))-AVERAGE(OFFSET($H$3,0,0,'Données projet'!$E$10+1,1))</f>
        <v>273.21861937609918</v>
      </c>
      <c r="AO192" s="62">
        <f t="shared" si="144"/>
        <v>268.83004886965318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13.315929499681799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13.315929499681799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4.6111381379887463E-14</v>
      </c>
      <c r="BF192" s="14">
        <f t="shared" si="167"/>
        <v>7.5804141040779151E-13</v>
      </c>
      <c r="BG192" s="22">
        <f t="shared" si="168"/>
        <v>1.4005661123635408E-12</v>
      </c>
      <c r="BH192" s="62">
        <f t="shared" si="116"/>
        <v>289.97763864700528</v>
      </c>
      <c r="BI192" s="62">
        <f ca="1">AVERAGE(OFFSET($BH$3,0,0,'Données projet'!$E$11+1,1))-AVERAGE(OFFSET($H$3,0,0,'Données projet'!$E$11+1,1))</f>
        <v>319.01020001288975</v>
      </c>
      <c r="BJ192" s="62">
        <f t="shared" si="146"/>
        <v>312.22190035638084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16.102984511243104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16.102984511243104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6.1186256061773749E-14</v>
      </c>
      <c r="CA192" s="14">
        <f t="shared" si="170"/>
        <v>9.7328366192051127E-13</v>
      </c>
      <c r="CB192" s="22">
        <f t="shared" si="171"/>
        <v>1.8017017738191463E-12</v>
      </c>
      <c r="CC192" s="62">
        <f t="shared" si="119"/>
        <v>289.97763864700568</v>
      </c>
      <c r="CD192" s="62">
        <f ca="1">AVERAGE(OFFSET($CC$3,0,0,'Données projet'!$E$12+1,1))-AVERAGE(OFFSET($H$3,0,0,'Données projet'!$E$12+1,1))</f>
        <v>405.06394904053946</v>
      </c>
      <c r="CE192" s="62">
        <f t="shared" si="148"/>
        <v>393.75247087518198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17.33583274486875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17.33583274486875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-178.57392686804454</v>
      </c>
      <c r="CU192" s="18">
        <f>CT192*VLOOKUP('Données projet'!$B$13,Paramètres!$A$1:$I$89,3,0)*VLOOKUP('Données projet'!$B$13,Paramètres!$A$1:$I$89,5,0)</f>
        <v>-181.07396184419716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474.46836359712393</v>
      </c>
      <c r="CZ192" s="62">
        <f t="shared" si="150"/>
        <v>221.28699636637722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182.96843250679166</v>
      </c>
      <c r="DG192" s="23">
        <f>EXP(-LN(2)/25)*DG191+(1-EXP(-LN(2)/25))/(LN(2)/25)*Calculateur!DB192*Calculateur!DD192*VLOOKUP('Données projet'!$B$13,Paramètres!$A$1:$I$89,3,0)*0.475*44/12</f>
        <v>20.462625488779324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203.431057995571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4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-178.57392686804454</v>
      </c>
      <c r="O193" s="14">
        <f>N193*VLOOKUP('Données projet'!$B$9,Paramètres!$A$1:$I$89,3,0)*VLOOKUP('Données projet'!$B$9,Paramètres!$A$1:$I$89,5,0)</f>
        <v>-161.57368903020668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432.80275651765203</v>
      </c>
      <c r="T193" s="62">
        <f t="shared" si="142"/>
        <v>203.89279893419919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160.06262957558997</v>
      </c>
      <c r="AA193" s="23">
        <f>EXP(-LN(2)/25)*AA192+(1-EXP(-LN(2)/25))/(LN(2)/25)*Calculateur!V193*Calculateur!X193*VLOOKUP('Données projet'!$B$9,Paramètres!$A$1:$I$89,3,0)*0.475*44/12</f>
        <v>17.759665958229924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177.8222955338199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3.813056537183002E-14</v>
      </c>
      <c r="AK193" s="14">
        <f t="shared" si="164"/>
        <v>6.4086286045526829E-13</v>
      </c>
      <c r="AL193" s="22">
        <f t="shared" si="165"/>
        <v>1.1825802166488628E-12</v>
      </c>
      <c r="AM193" s="62">
        <f t="shared" si="113"/>
        <v>290.03585244760347</v>
      </c>
      <c r="AN193" s="62">
        <f ca="1">AVERAGE(OFFSET($AM$3,0,0,'Données projet'!$E$10+1,1))-AVERAGE(OFFSET($H$3,0,0,'Données projet'!$E$10+1,1))</f>
        <v>273.21861937609918</v>
      </c>
      <c r="AO193" s="62">
        <f t="shared" si="144"/>
        <v>268.83004886965318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13.054812244108062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13.054812244108062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4.6111381379887463E-14</v>
      </c>
      <c r="BF193" s="14">
        <f t="shared" si="167"/>
        <v>7.5804141040779151E-13</v>
      </c>
      <c r="BG193" s="22">
        <f t="shared" si="168"/>
        <v>1.4005661123635408E-12</v>
      </c>
      <c r="BH193" s="62">
        <f t="shared" si="116"/>
        <v>290.0358524476037</v>
      </c>
      <c r="BI193" s="62">
        <f ca="1">AVERAGE(OFFSET($BH$3,0,0,'Données projet'!$E$11+1,1))-AVERAGE(OFFSET($H$3,0,0,'Données projet'!$E$11+1,1))</f>
        <v>319.01020001288975</v>
      </c>
      <c r="BJ193" s="62">
        <f t="shared" si="146"/>
        <v>312.22190035638084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15.787214806828352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15.787214806828352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6.1186256061773749E-14</v>
      </c>
      <c r="CA193" s="14">
        <f t="shared" si="170"/>
        <v>9.7328366192051127E-13</v>
      </c>
      <c r="CB193" s="22">
        <f t="shared" si="171"/>
        <v>1.8017017738191463E-12</v>
      </c>
      <c r="CC193" s="62">
        <f t="shared" si="119"/>
        <v>290.0358524476041</v>
      </c>
      <c r="CD193" s="62">
        <f ca="1">AVERAGE(OFFSET($CC$3,0,0,'Données projet'!$E$12+1,1))-AVERAGE(OFFSET($H$3,0,0,'Données projet'!$E$12+1,1))</f>
        <v>405.06394904053946</v>
      </c>
      <c r="CE193" s="62">
        <f t="shared" si="148"/>
        <v>393.75247087518198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16.995887638555772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16.995887638555772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-178.57392686804454</v>
      </c>
      <c r="CU193" s="18">
        <f>CT193*VLOOKUP('Données projet'!$B$13,Paramètres!$A$1:$I$89,3,0)*VLOOKUP('Données projet'!$B$13,Paramètres!$A$1:$I$89,5,0)</f>
        <v>-181.07396184419716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474.46836359712393</v>
      </c>
      <c r="CZ193" s="62">
        <f t="shared" si="150"/>
        <v>221.28699636637722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179.38053314505774</v>
      </c>
      <c r="DG193" s="23">
        <f>EXP(-LN(2)/25)*DG192+(1-EXP(-LN(2)/25))/(LN(2)/25)*Calculateur!DB193*Calculateur!DD193*VLOOKUP('Données projet'!$B$13,Paramètres!$A$1:$I$89,3,0)*0.475*44/12</f>
        <v>19.903073918705946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199.2836070637637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4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-178.57392686804454</v>
      </c>
      <c r="O194" s="14">
        <f>N194*VLOOKUP('Données projet'!$B$9,Paramètres!$A$1:$I$89,3,0)*VLOOKUP('Données projet'!$B$9,Paramètres!$A$1:$I$89,5,0)</f>
        <v>-161.57368903020668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432.80275651765203</v>
      </c>
      <c r="T194" s="62">
        <f t="shared" si="142"/>
        <v>203.89279893419919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156.92389903817667</v>
      </c>
      <c r="AA194" s="23">
        <f>EXP(-LN(2)/25)*AA193+(1-EXP(-LN(2)/25))/(LN(2)/25)*Calculateur!V194*Calculateur!X194*VLOOKUP('Données projet'!$B$9,Paramètres!$A$1:$I$89,3,0)*0.475*44/12</f>
        <v>17.274026958661885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174.19792599683856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3.813056537183002E-14</v>
      </c>
      <c r="AK194" s="14">
        <f t="shared" si="164"/>
        <v>6.4086286045526829E-13</v>
      </c>
      <c r="AL194" s="22">
        <f t="shared" si="165"/>
        <v>1.1825802166488628E-12</v>
      </c>
      <c r="AM194" s="62">
        <f t="shared" si="113"/>
        <v>290.09305636890804</v>
      </c>
      <c r="AN194" s="62">
        <f ca="1">AVERAGE(OFFSET($AM$3,0,0,'Données projet'!$E$10+1,1))-AVERAGE(OFFSET($H$3,0,0,'Données projet'!$E$10+1,1))</f>
        <v>273.21861937609918</v>
      </c>
      <c r="AO194" s="62">
        <f t="shared" si="144"/>
        <v>268.83004886965318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12.798815338650325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12.798815338650325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4.6111381379887463E-14</v>
      </c>
      <c r="BF194" s="14">
        <f t="shared" si="167"/>
        <v>7.5804141040779151E-13</v>
      </c>
      <c r="BG194" s="22">
        <f t="shared" si="168"/>
        <v>1.4005661123635408E-12</v>
      </c>
      <c r="BH194" s="62">
        <f t="shared" si="116"/>
        <v>290.09305636890826</v>
      </c>
      <c r="BI194" s="62">
        <f ca="1">AVERAGE(OFFSET($BH$3,0,0,'Données projet'!$E$11+1,1))-AVERAGE(OFFSET($H$3,0,0,'Données projet'!$E$11+1,1))</f>
        <v>319.01020001288975</v>
      </c>
      <c r="BJ194" s="62">
        <f t="shared" si="146"/>
        <v>312.22190035638084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15.477637153716671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15.477637153716671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6.1186256061773749E-14</v>
      </c>
      <c r="CA194" s="14">
        <f t="shared" si="170"/>
        <v>9.7328366192051127E-13</v>
      </c>
      <c r="CB194" s="22">
        <f t="shared" si="171"/>
        <v>1.8017017738191463E-12</v>
      </c>
      <c r="CC194" s="62">
        <f t="shared" si="119"/>
        <v>290.09305636890866</v>
      </c>
      <c r="CD194" s="62">
        <f ca="1">AVERAGE(OFFSET($CC$3,0,0,'Données projet'!$E$12+1,1))-AVERAGE(OFFSET($H$3,0,0,'Données projet'!$E$12+1,1))</f>
        <v>405.06394904053946</v>
      </c>
      <c r="CE194" s="62">
        <f t="shared" si="148"/>
        <v>393.75247087518198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16.662608648431547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16.662608648431547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-178.57392686804454</v>
      </c>
      <c r="CU194" s="18">
        <f>CT194*VLOOKUP('Données projet'!$B$13,Paramètres!$A$1:$I$89,3,0)*VLOOKUP('Données projet'!$B$13,Paramètres!$A$1:$I$89,5,0)</f>
        <v>-181.07396184419716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474.46836359712393</v>
      </c>
      <c r="CZ194" s="62">
        <f t="shared" si="150"/>
        <v>221.28699636637722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175.86299030140489</v>
      </c>
      <c r="DG194" s="23">
        <f>EXP(-LN(2)/25)*DG193+(1-EXP(-LN(2)/25))/(LN(2)/25)*Calculateur!DB194*Calculateur!DD194*VLOOKUP('Données projet'!$B$13,Paramètres!$A$1:$I$89,3,0)*0.475*44/12</f>
        <v>19.358823315741763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195.22181361714667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4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-178.57392686804454</v>
      </c>
      <c r="O195" s="14">
        <f>N195*VLOOKUP('Données projet'!$B$9,Paramètres!$A$1:$I$89,3,0)*VLOOKUP('Données projet'!$B$9,Paramètres!$A$1:$I$89,5,0)</f>
        <v>-161.57368903020668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432.80275651765203</v>
      </c>
      <c r="T195" s="62">
        <f t="shared" si="142"/>
        <v>203.89279893419919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153.84671709216545</v>
      </c>
      <c r="AA195" s="23">
        <f>EXP(-LN(2)/25)*AA194+(1-EXP(-LN(2)/25))/(LN(2)/25)*Calculateur!V195*Calculateur!X195*VLOOKUP('Données projet'!$B$9,Paramètres!$A$1:$I$89,3,0)*0.475*44/12</f>
        <v>16.801667783075679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170.64838487524113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3.813056537183002E-14</v>
      </c>
      <c r="AK195" s="14">
        <f t="shared" si="164"/>
        <v>6.4086286045526829E-13</v>
      </c>
      <c r="AL195" s="22">
        <f t="shared" si="165"/>
        <v>1.1825802166488628E-12</v>
      </c>
      <c r="AM195" s="62">
        <f t="shared" si="113"/>
        <v>290.14926793006686</v>
      </c>
      <c r="AN195" s="62">
        <f ca="1">AVERAGE(OFFSET($AM$3,0,0,'Données projet'!$E$10+1,1))-AVERAGE(OFFSET($H$3,0,0,'Données projet'!$E$10+1,1))</f>
        <v>273.21861937609918</v>
      </c>
      <c r="AO195" s="62">
        <f t="shared" si="144"/>
        <v>268.83004886965318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12.54783837636592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12.54783837636592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4.6111381379887463E-14</v>
      </c>
      <c r="BF195" s="14">
        <f t="shared" si="167"/>
        <v>7.5804141040779151E-13</v>
      </c>
      <c r="BG195" s="22">
        <f t="shared" si="168"/>
        <v>1.4005661123635408E-12</v>
      </c>
      <c r="BH195" s="62">
        <f t="shared" si="116"/>
        <v>290.14926793006708</v>
      </c>
      <c r="BI195" s="62">
        <f ca="1">AVERAGE(OFFSET($BH$3,0,0,'Données projet'!$E$11+1,1))-AVERAGE(OFFSET($H$3,0,0,'Données projet'!$E$11+1,1))</f>
        <v>319.01020001288975</v>
      </c>
      <c r="BJ195" s="62">
        <f t="shared" si="146"/>
        <v>312.22190035638084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15.174130129558787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15.174130129558787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6.1186256061773749E-14</v>
      </c>
      <c r="CA195" s="14">
        <f t="shared" si="170"/>
        <v>9.7328366192051127E-13</v>
      </c>
      <c r="CB195" s="22">
        <f t="shared" si="171"/>
        <v>1.8017017738191463E-12</v>
      </c>
      <c r="CC195" s="62">
        <f t="shared" si="119"/>
        <v>290.14926793006748</v>
      </c>
      <c r="CD195" s="62">
        <f ca="1">AVERAGE(OFFSET($CC$3,0,0,'Données projet'!$E$12+1,1))-AVERAGE(OFFSET($H$3,0,0,'Données projet'!$E$12+1,1))</f>
        <v>405.06394904053946</v>
      </c>
      <c r="CE195" s="62">
        <f t="shared" si="148"/>
        <v>393.75247087518198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16.33586505602355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16.33586505602355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-178.57392686804454</v>
      </c>
      <c r="CU195" s="18">
        <f>CT195*VLOOKUP('Données projet'!$B$13,Paramètres!$A$1:$I$89,3,0)*VLOOKUP('Données projet'!$B$13,Paramètres!$A$1:$I$89,5,0)</f>
        <v>-181.07396184419716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474.46836359712393</v>
      </c>
      <c r="CZ195" s="62">
        <f t="shared" si="150"/>
        <v>221.28699636637722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172.41442432742681</v>
      </c>
      <c r="DG195" s="23">
        <f>EXP(-LN(2)/25)*DG194+(1-EXP(-LN(2)/25))/(LN(2)/25)*Calculateur!DB195*Calculateur!DD195*VLOOKUP('Données projet'!$B$13,Paramètres!$A$1:$I$89,3,0)*0.475*44/12</f>
        <v>18.829455274136532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191.24387960156335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4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-178.57392686804454</v>
      </c>
      <c r="O196" s="14">
        <f>N196*VLOOKUP('Données projet'!$B$9,Paramètres!$A$1:$I$89,3,0)*VLOOKUP('Données projet'!$B$9,Paramètres!$A$1:$I$89,5,0)</f>
        <v>-161.57368903020668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432.80275651765203</v>
      </c>
      <c r="T196" s="62">
        <f t="shared" si="142"/>
        <v>203.89279893419919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150.82987680721985</v>
      </c>
      <c r="AA196" s="23">
        <f>EXP(-LN(2)/25)*AA195+(1-EXP(-LN(2)/25))/(LN(2)/25)*Calculateur!V196*Calculateur!X196*VLOOKUP('Données projet'!$B$9,Paramètres!$A$1:$I$89,3,0)*0.475*44/12</f>
        <v>16.342225293986168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167.17210210120601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3.813056537183002E-14</v>
      </c>
      <c r="AK196" s="14">
        <f t="shared" si="164"/>
        <v>6.4086286045526829E-13</v>
      </c>
      <c r="AL196" s="22">
        <f t="shared" si="165"/>
        <v>1.1825802166488628E-12</v>
      </c>
      <c r="AM196" s="62">
        <f t="shared" ref="AM196:AM203" si="193">AL196+(AD196+AE196)*44/12</f>
        <v>290.2045043463097</v>
      </c>
      <c r="AN196" s="62">
        <f ca="1">AVERAGE(OFFSET($AM$3,0,0,'Données projet'!$E$10+1,1))-AVERAGE(OFFSET($H$3,0,0,'Données projet'!$E$10+1,1))</f>
        <v>273.21861937609918</v>
      </c>
      <c r="AO196" s="62">
        <f t="shared" si="144"/>
        <v>268.83004886965318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12.301782919231082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12.301782919231082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4.6111381379887463E-14</v>
      </c>
      <c r="BF196" s="14">
        <f t="shared" si="167"/>
        <v>7.5804141040779151E-13</v>
      </c>
      <c r="BG196" s="22">
        <f t="shared" si="168"/>
        <v>1.4005661123635408E-12</v>
      </c>
      <c r="BH196" s="62">
        <f t="shared" ref="BH196:BH203" si="194">BG196+(AY196+AZ196)*44/12</f>
        <v>290.20450434630993</v>
      </c>
      <c r="BI196" s="62">
        <f ca="1">AVERAGE(OFFSET($BH$3,0,0,'Données projet'!$E$11+1,1))-AVERAGE(OFFSET($H$3,0,0,'Données projet'!$E$11+1,1))</f>
        <v>319.01020001288975</v>
      </c>
      <c r="BJ196" s="62">
        <f t="shared" si="146"/>
        <v>312.22190035638084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14.876574693023633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14.876574693023633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6.1186256061773749E-14</v>
      </c>
      <c r="CA196" s="14">
        <f t="shared" si="170"/>
        <v>9.7328366192051127E-13</v>
      </c>
      <c r="CB196" s="22">
        <f t="shared" si="171"/>
        <v>1.8017017738191463E-12</v>
      </c>
      <c r="CC196" s="62">
        <f t="shared" ref="CC196:CC203" si="195">CB196+(BT196+BU196)*44/12</f>
        <v>290.20450434631033</v>
      </c>
      <c r="CD196" s="62">
        <f ca="1">AVERAGE(OFFSET($CC$3,0,0,'Données projet'!$E$12+1,1))-AVERAGE(OFFSET($H$3,0,0,'Données projet'!$E$12+1,1))</f>
        <v>405.06394904053946</v>
      </c>
      <c r="CE196" s="62">
        <f t="shared" si="148"/>
        <v>393.75247087518198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16.015528706168759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16.015528706168759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-178.57392686804454</v>
      </c>
      <c r="CU196" s="18">
        <f>CT196*VLOOKUP('Données projet'!$B$13,Paramètres!$A$1:$I$89,3,0)*VLOOKUP('Données projet'!$B$13,Paramètres!$A$1:$I$89,5,0)</f>
        <v>-181.07396184419716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474.46836359712393</v>
      </c>
      <c r="CZ196" s="62">
        <f t="shared" si="150"/>
        <v>221.28699636637722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169.03348262878089</v>
      </c>
      <c r="DG196" s="23">
        <f>EXP(-LN(2)/25)*DG195+(1-EXP(-LN(2)/25))/(LN(2)/25)*Calculateur!DB196*Calculateur!DD196*VLOOKUP('Données projet'!$B$13,Paramètres!$A$1:$I$89,3,0)*0.475*44/12</f>
        <v>18.314562829467249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187.34804545824812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4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-178.57392686804454</v>
      </c>
      <c r="O197" s="14">
        <f>N197*VLOOKUP('Données projet'!$B$9,Paramètres!$A$1:$I$89,3,0)*VLOOKUP('Données projet'!$B$9,Paramètres!$A$1:$I$89,5,0)</f>
        <v>-161.57368903020668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432.80275651765203</v>
      </c>
      <c r="T197" s="62">
        <f t="shared" ref="T197:T203" si="204">$T$3</f>
        <v>203.89279893419919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147.87219492017115</v>
      </c>
      <c r="AA197" s="23">
        <f>EXP(-LN(2)/25)*AA196+(1-EXP(-LN(2)/25))/(LN(2)/25)*Calculateur!V197*Calculateur!X197*VLOOKUP('Données projet'!$B$9,Paramètres!$A$1:$I$89,3,0)*0.475*44/12</f>
        <v>15.895346283921839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163.76754120409299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3.813056537183002E-14</v>
      </c>
      <c r="AK197" s="14">
        <f t="shared" si="164"/>
        <v>6.4086286045526829E-13</v>
      </c>
      <c r="AL197" s="22">
        <f t="shared" si="165"/>
        <v>1.1825802166488628E-12</v>
      </c>
      <c r="AM197" s="62">
        <f t="shared" si="193"/>
        <v>290.25878253422093</v>
      </c>
      <c r="AN197" s="62">
        <f ca="1">AVERAGE(OFFSET($AM$3,0,0,'Données projet'!$E$10+1,1))-AVERAGE(OFFSET($H$3,0,0,'Données projet'!$E$10+1,1))</f>
        <v>273.21861937609918</v>
      </c>
      <c r="AO197" s="62">
        <f t="shared" ref="AO197:AO203" si="205">$AO$3</f>
        <v>268.83004886965318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12.060552459531648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12.060552459531648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4.6111381379887463E-14</v>
      </c>
      <c r="BF197" s="14">
        <f t="shared" si="167"/>
        <v>7.5804141040779151E-13</v>
      </c>
      <c r="BG197" s="22">
        <f t="shared" si="168"/>
        <v>1.4005661123635408E-12</v>
      </c>
      <c r="BH197" s="62">
        <f t="shared" si="194"/>
        <v>290.25878253422115</v>
      </c>
      <c r="BI197" s="62">
        <f ca="1">AVERAGE(OFFSET($BH$3,0,0,'Données projet'!$E$11+1,1))-AVERAGE(OFFSET($H$3,0,0,'Données projet'!$E$11+1,1))</f>
        <v>319.01020001288975</v>
      </c>
      <c r="BJ197" s="62">
        <f t="shared" ref="BJ197:BJ203" si="206">$BJ$3</f>
        <v>312.22190035638084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14.584854137108037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14.584854137108037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6.1186256061773749E-14</v>
      </c>
      <c r="CA197" s="14">
        <f t="shared" si="170"/>
        <v>9.7328366192051127E-13</v>
      </c>
      <c r="CB197" s="22">
        <f t="shared" si="171"/>
        <v>1.8017017738191463E-12</v>
      </c>
      <c r="CC197" s="62">
        <f t="shared" si="195"/>
        <v>290.25878253422155</v>
      </c>
      <c r="CD197" s="62">
        <f ca="1">AVERAGE(OFFSET($CC$3,0,0,'Données projet'!$E$12+1,1))-AVERAGE(OFFSET($H$3,0,0,'Données projet'!$E$12+1,1))</f>
        <v>405.06394904053946</v>
      </c>
      <c r="CE197" s="62">
        <f t="shared" ref="CE197:CE203" si="207">$CE$3</f>
        <v>393.75247087518198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15.701473956748741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15.701473956748741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-178.57392686804454</v>
      </c>
      <c r="CU197" s="18">
        <f>CT197*VLOOKUP('Données projet'!$B$13,Paramètres!$A$1:$I$89,3,0)*VLOOKUP('Données projet'!$B$13,Paramètres!$A$1:$I$89,5,0)</f>
        <v>-181.07396184419716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474.46836359712393</v>
      </c>
      <c r="CZ197" s="62">
        <f t="shared" ref="CZ197:CZ203" si="208">$CZ$3</f>
        <v>221.28699636637722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165.7188391346746</v>
      </c>
      <c r="DG197" s="23">
        <f>EXP(-LN(2)/25)*DG196+(1-EXP(-LN(2)/25))/(LN(2)/25)*Calculateur!DB197*Calculateur!DD197*VLOOKUP('Données projet'!$B$13,Paramètres!$A$1:$I$89,3,0)*0.475*44/12</f>
        <v>17.813750145774467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183.53258928044906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4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-178.57392686804454</v>
      </c>
      <c r="O198" s="14">
        <f>N198*VLOOKUP('Données projet'!$B$9,Paramètres!$A$1:$I$89,3,0)*VLOOKUP('Données projet'!$B$9,Paramètres!$A$1:$I$89,5,0)</f>
        <v>-161.57368903020668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432.80275651765203</v>
      </c>
      <c r="T198" s="62">
        <f t="shared" si="204"/>
        <v>203.89279893419919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144.97251137091968</v>
      </c>
      <c r="AA198" s="23">
        <f>EXP(-LN(2)/25)*AA197+(1-EXP(-LN(2)/25))/(LN(2)/25)*Calculateur!V198*Calculateur!X198*VLOOKUP('Données projet'!$B$9,Paramètres!$A$1:$I$89,3,0)*0.475*44/12</f>
        <v>15.460687203888064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160.43319857480773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3.813056537183002E-14</v>
      </c>
      <c r="AK198" s="14">
        <f t="shared" si="164"/>
        <v>6.4086286045526829E-13</v>
      </c>
      <c r="AL198" s="22">
        <f t="shared" si="165"/>
        <v>1.1825802166488628E-12</v>
      </c>
      <c r="AM198" s="62">
        <f t="shared" si="193"/>
        <v>290.31211911691969</v>
      </c>
      <c r="AN198" s="62">
        <f ca="1">AVERAGE(OFFSET($AM$3,0,0,'Données projet'!$E$10+1,1))-AVERAGE(OFFSET($H$3,0,0,'Données projet'!$E$10+1,1))</f>
        <v>273.21861937609918</v>
      </c>
      <c r="AO198" s="62">
        <f t="shared" si="205"/>
        <v>268.83004886965318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11.824052382010867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11.824052382010867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4.6111381379887463E-14</v>
      </c>
      <c r="BF198" s="14">
        <f t="shared" si="167"/>
        <v>7.5804141040779151E-13</v>
      </c>
      <c r="BG198" s="22">
        <f t="shared" si="168"/>
        <v>1.4005661123635408E-12</v>
      </c>
      <c r="BH198" s="62">
        <f t="shared" si="194"/>
        <v>290.31211911691992</v>
      </c>
      <c r="BI198" s="62">
        <f ca="1">AVERAGE(OFFSET($BH$3,0,0,'Données projet'!$E$11+1,1))-AVERAGE(OFFSET($H$3,0,0,'Données projet'!$E$11+1,1))</f>
        <v>319.01020001288975</v>
      </c>
      <c r="BJ198" s="62">
        <f t="shared" si="206"/>
        <v>312.22190035638084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14.298854043361976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14.298854043361976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6.1186256061773749E-14</v>
      </c>
      <c r="CA198" s="14">
        <f t="shared" si="170"/>
        <v>9.7328366192051127E-13</v>
      </c>
      <c r="CB198" s="22">
        <f t="shared" si="171"/>
        <v>1.8017017738191463E-12</v>
      </c>
      <c r="CC198" s="62">
        <f t="shared" si="195"/>
        <v>290.31211911692031</v>
      </c>
      <c r="CD198" s="62">
        <f ca="1">AVERAGE(OFFSET($CC$3,0,0,'Données projet'!$E$12+1,1))-AVERAGE(OFFSET($H$3,0,0,'Données projet'!$E$12+1,1))</f>
        <v>405.06394904053946</v>
      </c>
      <c r="CE198" s="62">
        <f t="shared" si="207"/>
        <v>393.75247087518198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15.393577629410366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15.393577629410366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-178.57392686804454</v>
      </c>
      <c r="CU198" s="18">
        <f>CT198*VLOOKUP('Données projet'!$B$13,Paramètres!$A$1:$I$89,3,0)*VLOOKUP('Données projet'!$B$13,Paramètres!$A$1:$I$89,5,0)</f>
        <v>-181.07396184419716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474.46836359712393</v>
      </c>
      <c r="CZ198" s="62">
        <f t="shared" si="208"/>
        <v>221.28699636637722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162.46919377775484</v>
      </c>
      <c r="DG198" s="23">
        <f>EXP(-LN(2)/25)*DG197+(1-EXP(-LN(2)/25))/(LN(2)/25)*Calculateur!DB198*Calculateur!DD198*VLOOKUP('Données projet'!$B$13,Paramètres!$A$1:$I$89,3,0)*0.475*44/12</f>
        <v>17.326632211253859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179.7958259890087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4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-178.57392686804454</v>
      </c>
      <c r="O199" s="14">
        <f>N199*VLOOKUP('Données projet'!$B$9,Paramètres!$A$1:$I$89,3,0)*VLOOKUP('Données projet'!$B$9,Paramètres!$A$1:$I$89,5,0)</f>
        <v>-161.57368903020668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432.80275651765203</v>
      </c>
      <c r="T199" s="62">
        <f t="shared" si="204"/>
        <v>203.89279893419919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142.12968884743668</v>
      </c>
      <c r="AA199" s="23">
        <f>EXP(-LN(2)/25)*AA198+(1-EXP(-LN(2)/25))/(LN(2)/25)*Calculateur!V199*Calculateur!X199*VLOOKUP('Données projet'!$B$9,Paramètres!$A$1:$I$89,3,0)*0.475*44/12</f>
        <v>15.037913899255541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157.16760274669221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3.813056537183002E-14</v>
      </c>
      <c r="AK199" s="14">
        <f t="shared" si="164"/>
        <v>6.4086286045526829E-13</v>
      </c>
      <c r="AL199" s="22">
        <f t="shared" si="165"/>
        <v>1.1825802166488628E-12</v>
      </c>
      <c r="AM199" s="62">
        <f t="shared" si="193"/>
        <v>290.36453042915139</v>
      </c>
      <c r="AN199" s="62">
        <f ca="1">AVERAGE(OFFSET($AM$3,0,0,'Données projet'!$E$10+1,1))-AVERAGE(OFFSET($H$3,0,0,'Données projet'!$E$10+1,1))</f>
        <v>273.21861937609918</v>
      </c>
      <c r="AO199" s="62">
        <f t="shared" si="205"/>
        <v>268.83004886965318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11.592189926759465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11.592189926759465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4.6111381379887463E-14</v>
      </c>
      <c r="BF199" s="14">
        <f t="shared" si="167"/>
        <v>7.5804141040779151E-13</v>
      </c>
      <c r="BG199" s="22">
        <f t="shared" si="168"/>
        <v>1.4005661123635408E-12</v>
      </c>
      <c r="BH199" s="62">
        <f t="shared" si="194"/>
        <v>290.36453042915161</v>
      </c>
      <c r="BI199" s="62">
        <f ca="1">AVERAGE(OFFSET($BH$3,0,0,'Données projet'!$E$11+1,1))-AVERAGE(OFFSET($H$3,0,0,'Données projet'!$E$11+1,1))</f>
        <v>319.01020001288975</v>
      </c>
      <c r="BJ199" s="62">
        <f t="shared" si="206"/>
        <v>312.22190035638084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14.018462237011443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14.018462237011443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6.1186256061773749E-14</v>
      </c>
      <c r="CA199" s="14">
        <f t="shared" si="170"/>
        <v>9.7328366192051127E-13</v>
      </c>
      <c r="CB199" s="22">
        <f t="shared" si="171"/>
        <v>1.8017017738191463E-12</v>
      </c>
      <c r="CC199" s="62">
        <f t="shared" si="195"/>
        <v>290.36453042915201</v>
      </c>
      <c r="CD199" s="62">
        <f ca="1">AVERAGE(OFFSET($CC$3,0,0,'Données projet'!$E$12+1,1))-AVERAGE(OFFSET($H$3,0,0,'Données projet'!$E$12+1,1))</f>
        <v>405.06394904053946</v>
      </c>
      <c r="CE199" s="62">
        <f t="shared" si="207"/>
        <v>393.75247087518198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15.09171896125288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15.09171896125288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-178.57392686804454</v>
      </c>
      <c r="CU199" s="18">
        <f>CT199*VLOOKUP('Données projet'!$B$13,Paramètres!$A$1:$I$89,3,0)*VLOOKUP('Données projet'!$B$13,Paramètres!$A$1:$I$89,5,0)</f>
        <v>-181.07396184419716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474.46836359712393</v>
      </c>
      <c r="CZ199" s="62">
        <f t="shared" si="208"/>
        <v>221.28699636637722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159.28327198419632</v>
      </c>
      <c r="DG199" s="23">
        <f>EXP(-LN(2)/25)*DG198+(1-EXP(-LN(2)/25))/(LN(2)/25)*Calculateur!DB199*Calculateur!DD199*VLOOKUP('Données projet'!$B$13,Paramètres!$A$1:$I$89,3,0)*0.475*44/12</f>
        <v>16.852834542269136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176.13610652646545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4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-178.57392686804454</v>
      </c>
      <c r="O200" s="14">
        <f>N200*VLOOKUP('Données projet'!$B$9,Paramètres!$A$1:$I$89,3,0)*VLOOKUP('Données projet'!$B$9,Paramètres!$A$1:$I$89,5,0)</f>
        <v>-161.57368903020668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432.80275651765203</v>
      </c>
      <c r="T200" s="62">
        <f t="shared" si="204"/>
        <v>203.89279893419919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139.34261233968866</v>
      </c>
      <c r="AA200" s="23">
        <f>EXP(-LN(2)/25)*AA199+(1-EXP(-LN(2)/25))/(LN(2)/25)*Calculateur!V200*Calculateur!X200*VLOOKUP('Données projet'!$B$9,Paramètres!$A$1:$I$89,3,0)*0.475*44/12</f>
        <v>14.626701352870876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153.96931369255952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3.813056537183002E-14</v>
      </c>
      <c r="AK200" s="14">
        <f t="shared" si="164"/>
        <v>6.4086286045526829E-13</v>
      </c>
      <c r="AL200" s="22">
        <f t="shared" si="165"/>
        <v>1.1825802166488628E-12</v>
      </c>
      <c r="AM200" s="62">
        <f t="shared" si="193"/>
        <v>290.41603252228998</v>
      </c>
      <c r="AN200" s="62">
        <f ca="1">AVERAGE(OFFSET($AM$3,0,0,'Données projet'!$E$10+1,1))-AVERAGE(OFFSET($H$3,0,0,'Données projet'!$E$10+1,1))</f>
        <v>273.21861937609918</v>
      </c>
      <c r="AO200" s="62">
        <f t="shared" si="205"/>
        <v>268.83004886965318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11.36487415283341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11.36487415283341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4.6111381379887463E-14</v>
      </c>
      <c r="BF200" s="14">
        <f t="shared" si="167"/>
        <v>7.5804141040779151E-13</v>
      </c>
      <c r="BG200" s="22">
        <f t="shared" si="168"/>
        <v>1.4005661123635408E-12</v>
      </c>
      <c r="BH200" s="62">
        <f t="shared" si="194"/>
        <v>290.41603252229021</v>
      </c>
      <c r="BI200" s="62">
        <f ca="1">AVERAGE(OFFSET($BH$3,0,0,'Données projet'!$E$11+1,1))-AVERAGE(OFFSET($H$3,0,0,'Données projet'!$E$11+1,1))</f>
        <v>319.01020001288975</v>
      </c>
      <c r="BJ200" s="62">
        <f t="shared" si="206"/>
        <v>312.22190035638084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13.74356874296133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13.74356874296133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6.1186256061773749E-14</v>
      </c>
      <c r="CA200" s="14">
        <f t="shared" si="170"/>
        <v>9.7328366192051127E-13</v>
      </c>
      <c r="CB200" s="22">
        <f t="shared" si="171"/>
        <v>1.8017017738191463E-12</v>
      </c>
      <c r="CC200" s="62">
        <f t="shared" si="195"/>
        <v>290.41603252229061</v>
      </c>
      <c r="CD200" s="62">
        <f ca="1">AVERAGE(OFFSET($CC$3,0,0,'Données projet'!$E$12+1,1))-AVERAGE(OFFSET($H$3,0,0,'Données projet'!$E$12+1,1))</f>
        <v>405.06394904053946</v>
      </c>
      <c r="CE200" s="62">
        <f t="shared" si="207"/>
        <v>393.75247087518198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14.795779557462355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14.795779557462355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-178.57392686804454</v>
      </c>
      <c r="CU200" s="18">
        <f>CT200*VLOOKUP('Données projet'!$B$13,Paramètres!$A$1:$I$89,3,0)*VLOOKUP('Données projet'!$B$13,Paramètres!$A$1:$I$89,5,0)</f>
        <v>-181.07396184419716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474.46836359712393</v>
      </c>
      <c r="CZ200" s="62">
        <f t="shared" si="208"/>
        <v>221.28699636637722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156.15982417378905</v>
      </c>
      <c r="DG200" s="23">
        <f>EXP(-LN(2)/25)*DG199+(1-EXP(-LN(2)/25))/(LN(2)/25)*Calculateur!DB200*Calculateur!DD200*VLOOKUP('Données projet'!$B$13,Paramètres!$A$1:$I$89,3,0)*0.475*44/12</f>
        <v>16.391992895458735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172.55181706924779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4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-178.57392686804454</v>
      </c>
      <c r="O201" s="14">
        <f>N201*VLOOKUP('Données projet'!$B$9,Paramètres!$A$1:$I$89,3,0)*VLOOKUP('Données projet'!$B$9,Paramètres!$A$1:$I$89,5,0)</f>
        <v>-161.57368903020668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432.80275651765203</v>
      </c>
      <c r="T201" s="62">
        <f t="shared" si="204"/>
        <v>203.89279893419919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136.61018870230876</v>
      </c>
      <c r="AA201" s="23">
        <f>EXP(-LN(2)/25)*AA200+(1-EXP(-LN(2)/25))/(LN(2)/25)*Calculateur!V201*Calculateur!X201*VLOOKUP('Données projet'!$B$9,Paramètres!$A$1:$I$89,3,0)*0.475*44/12</f>
        <v>14.226733435191829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150.83692213750058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3.813056537183002E-14</v>
      </c>
      <c r="AK201" s="14">
        <f t="shared" si="164"/>
        <v>6.4086286045526829E-13</v>
      </c>
      <c r="AL201" s="22">
        <f t="shared" si="165"/>
        <v>1.1825802166488628E-12</v>
      </c>
      <c r="AM201" s="62">
        <f t="shared" si="193"/>
        <v>290.4666411692541</v>
      </c>
      <c r="AN201" s="62">
        <f ca="1">AVERAGE(OFFSET($AM$3,0,0,'Données projet'!$E$10+1,1))-AVERAGE(OFFSET($H$3,0,0,'Données projet'!$E$10+1,1))</f>
        <v>273.21861937609918</v>
      </c>
      <c r="AO201" s="62">
        <f t="shared" si="205"/>
        <v>268.83004886965318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11.142015902585113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11.142015902585113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4.6111381379887463E-14</v>
      </c>
      <c r="BF201" s="14">
        <f t="shared" si="167"/>
        <v>7.5804141040779151E-13</v>
      </c>
      <c r="BG201" s="22">
        <f t="shared" si="168"/>
        <v>1.4005661123635408E-12</v>
      </c>
      <c r="BH201" s="62">
        <f t="shared" si="194"/>
        <v>290.46664116925433</v>
      </c>
      <c r="BI201" s="62">
        <f ca="1">AVERAGE(OFFSET($BH$3,0,0,'Données projet'!$E$11+1,1))-AVERAGE(OFFSET($H$3,0,0,'Données projet'!$E$11+1,1))</f>
        <v>319.01020001288975</v>
      </c>
      <c r="BJ201" s="62">
        <f t="shared" si="206"/>
        <v>312.22190035638084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13.474065742661063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13.474065742661063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6.1186256061773749E-14</v>
      </c>
      <c r="CA201" s="14">
        <f t="shared" si="170"/>
        <v>9.7328366192051127E-13</v>
      </c>
      <c r="CB201" s="22">
        <f t="shared" si="171"/>
        <v>1.8017017738191463E-12</v>
      </c>
      <c r="CC201" s="62">
        <f t="shared" si="195"/>
        <v>290.46664116925473</v>
      </c>
      <c r="CD201" s="62">
        <f ca="1">AVERAGE(OFFSET($CC$3,0,0,'Données projet'!$E$12+1,1))-AVERAGE(OFFSET($H$3,0,0,'Données projet'!$E$12+1,1))</f>
        <v>405.06394904053946</v>
      </c>
      <c r="CE201" s="62">
        <f t="shared" si="207"/>
        <v>393.75247087518198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14.505643344874949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14.505643344874949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-178.57392686804454</v>
      </c>
      <c r="CU201" s="18">
        <f>CT201*VLOOKUP('Données projet'!$B$13,Paramètres!$A$1:$I$89,3,0)*VLOOKUP('Données projet'!$B$13,Paramètres!$A$1:$I$89,5,0)</f>
        <v>-181.07396184419716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474.46836359712393</v>
      </c>
      <c r="CZ201" s="62">
        <f t="shared" si="208"/>
        <v>221.28699636637722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153.09762526982882</v>
      </c>
      <c r="DG201" s="23">
        <f>EXP(-LN(2)/25)*DG200+(1-EXP(-LN(2)/25))/(LN(2)/25)*Calculateur!DB201*Calculateur!DD201*VLOOKUP('Données projet'!$B$13,Paramètres!$A$1:$I$89,3,0)*0.475*44/12</f>
        <v>15.943752987714975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169.04137825754381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4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-178.57392686804454</v>
      </c>
      <c r="O202" s="14">
        <f>N202*VLOOKUP('Données projet'!$B$9,Paramètres!$A$1:$I$89,3,0)*VLOOKUP('Données projet'!$B$9,Paramètres!$A$1:$I$89,5,0)</f>
        <v>-161.57368903020668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432.80275651765203</v>
      </c>
      <c r="T202" s="62">
        <f t="shared" si="204"/>
        <v>203.89279893419919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133.93134622584404</v>
      </c>
      <c r="AA202" s="23">
        <f>EXP(-LN(2)/25)*AA201+(1-EXP(-LN(2)/25))/(LN(2)/25)*Calculateur!V202*Calculateur!X202*VLOOKUP('Données projet'!$B$9,Paramètres!$A$1:$I$89,3,0)*0.475*44/12</f>
        <v>13.837702661255113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147.76904888709916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3.813056537183002E-14</v>
      </c>
      <c r="AK202" s="14">
        <f t="shared" si="164"/>
        <v>6.4086286045526829E-13</v>
      </c>
      <c r="AL202" s="22">
        <f t="shared" si="165"/>
        <v>1.1825802166488628E-12</v>
      </c>
      <c r="AM202" s="62">
        <f t="shared" si="193"/>
        <v>290.51637186933732</v>
      </c>
      <c r="AN202" s="62">
        <f ca="1">AVERAGE(OFFSET($AM$3,0,0,'Données projet'!$E$10+1,1))-AVERAGE(OFFSET($H$3,0,0,'Données projet'!$E$10+1,1))</f>
        <v>273.21861937609918</v>
      </c>
      <c r="AO202" s="62">
        <f t="shared" si="205"/>
        <v>268.83004886965318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10.923527766694074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10.923527766694074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4.6111381379887463E-14</v>
      </c>
      <c r="BF202" s="14">
        <f t="shared" si="167"/>
        <v>7.5804141040779151E-13</v>
      </c>
      <c r="BG202" s="22">
        <f t="shared" si="168"/>
        <v>1.4005661123635408E-12</v>
      </c>
      <c r="BH202" s="62">
        <f t="shared" si="194"/>
        <v>290.51637186933755</v>
      </c>
      <c r="BI202" s="62">
        <f ca="1">AVERAGE(OFFSET($BH$3,0,0,'Données projet'!$E$11+1,1))-AVERAGE(OFFSET($H$3,0,0,'Données projet'!$E$11+1,1))</f>
        <v>319.01020001288975</v>
      </c>
      <c r="BJ202" s="62">
        <f t="shared" si="206"/>
        <v>312.22190035638084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13.209847531816086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13.209847531816086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6.1186256061773749E-14</v>
      </c>
      <c r="CA202" s="14">
        <f t="shared" si="170"/>
        <v>9.7328366192051127E-13</v>
      </c>
      <c r="CB202" s="22">
        <f t="shared" si="171"/>
        <v>1.8017017738191463E-12</v>
      </c>
      <c r="CC202" s="62">
        <f t="shared" si="195"/>
        <v>290.51637186933795</v>
      </c>
      <c r="CD202" s="62">
        <f ca="1">AVERAGE(OFFSET($CC$3,0,0,'Données projet'!$E$12+1,1))-AVERAGE(OFFSET($H$3,0,0,'Données projet'!$E$12+1,1))</f>
        <v>405.06394904053946</v>
      </c>
      <c r="CE202" s="62">
        <f t="shared" si="207"/>
        <v>393.75247087518198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14.221196526450766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14.221196526450766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-178.57392686804454</v>
      </c>
      <c r="CU202" s="18">
        <f>CT202*VLOOKUP('Données projet'!$B$13,Paramètres!$A$1:$I$89,3,0)*VLOOKUP('Données projet'!$B$13,Paramètres!$A$1:$I$89,5,0)</f>
        <v>-181.07396184419716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474.46836359712393</v>
      </c>
      <c r="CZ202" s="62">
        <f t="shared" si="208"/>
        <v>221.28699636637722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150.09547421861836</v>
      </c>
      <c r="DG202" s="23">
        <f>EXP(-LN(2)/25)*DG201+(1-EXP(-LN(2)/25))/(LN(2)/25)*Calculateur!DB202*Calculateur!DD202*VLOOKUP('Données projet'!$B$13,Paramètres!$A$1:$I$89,3,0)*0.475*44/12</f>
        <v>15.50777022382038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165.60324444243875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4.65" thickBot="1" x14ac:dyDescent="0.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-178.57392686804454</v>
      </c>
      <c r="O203" s="14">
        <f>N203*VLOOKUP('Données projet'!$B$9,Paramètres!$A$1:$I$89,3,0)*VLOOKUP('Données projet'!$B$9,Paramètres!$A$1:$I$89,5,0)</f>
        <v>-161.57368903020668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432.80275651765203</v>
      </c>
      <c r="T203" s="62">
        <f t="shared" si="204"/>
        <v>203.89279893419919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131.30503421641021</v>
      </c>
      <c r="AA203" s="23">
        <f>EXP(-LN(2)/25)*AA202+(1-EXP(-LN(2)/25))/(LN(2)/25)*Calculateur!V203*Calculateur!X203*VLOOKUP('Données projet'!$B$9,Paramètres!$A$1:$I$89,3,0)*0.475*44/12</f>
        <v>13.459309954289935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144.76434417070016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3.813056537183002E-14</v>
      </c>
      <c r="AK203" s="14">
        <f t="shared" si="164"/>
        <v>6.4086286045526829E-13</v>
      </c>
      <c r="AL203" s="22">
        <f t="shared" si="165"/>
        <v>1.1825802166488628E-12</v>
      </c>
      <c r="AM203" s="62">
        <f t="shared" si="193"/>
        <v>290.5652398529553</v>
      </c>
      <c r="AN203" s="62">
        <f ca="1">AVERAGE(OFFSET($AM$3,0,0,'Données projet'!$E$10+1,1))-AVERAGE(OFFSET($H$3,0,0,'Données projet'!$E$10+1,1))</f>
        <v>273.21861937609918</v>
      </c>
      <c r="AO203" s="62">
        <f t="shared" si="205"/>
        <v>268.83004886965318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10.709324049883254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10.709324049883254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4.6111381379887463E-14</v>
      </c>
      <c r="BF203" s="14">
        <f t="shared" si="167"/>
        <v>7.5804141040779151E-13</v>
      </c>
      <c r="BG203" s="22">
        <f t="shared" si="168"/>
        <v>1.4005661123635408E-12</v>
      </c>
      <c r="BH203" s="62">
        <f t="shared" si="194"/>
        <v>290.56523985295553</v>
      </c>
      <c r="BI203" s="62">
        <f ca="1">AVERAGE(OFFSET($BH$3,0,0,'Données projet'!$E$11+1,1))-AVERAGE(OFFSET($H$3,0,0,'Données projet'!$E$11+1,1))</f>
        <v>319.01020001288975</v>
      </c>
      <c r="BJ203" s="62">
        <f t="shared" si="206"/>
        <v>312.22190035638084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12.950810478928583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12.950810478928583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6.1186256061773749E-14</v>
      </c>
      <c r="CA203" s="14">
        <f t="shared" si="170"/>
        <v>9.7328366192051127E-13</v>
      </c>
      <c r="CB203" s="22">
        <f t="shared" si="171"/>
        <v>1.8017017738191463E-12</v>
      </c>
      <c r="CC203" s="62">
        <f t="shared" si="195"/>
        <v>290.56523985295593</v>
      </c>
      <c r="CD203" s="62">
        <f ca="1">AVERAGE(OFFSET($CC$3,0,0,'Données projet'!$E$12+1,1))-AVERAGE(OFFSET($H$3,0,0,'Données projet'!$E$12+1,1))</f>
        <v>405.06394904053946</v>
      </c>
      <c r="CE203" s="62">
        <f t="shared" si="207"/>
        <v>393.75247087518198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13.942327536640455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13.942327536640455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-178.57392686804454</v>
      </c>
      <c r="CU203" s="18">
        <f>CT203*VLOOKUP('Données projet'!$B$13,Paramètres!$A$1:$I$89,3,0)*VLOOKUP('Données projet'!$B$13,Paramètres!$A$1:$I$89,5,0)</f>
        <v>-181.07396184419716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474.46836359712393</v>
      </c>
      <c r="CZ203" s="62">
        <f t="shared" si="208"/>
        <v>221.28699636637722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147.15219351839079</v>
      </c>
      <c r="DG203" s="23">
        <f>EXP(-LN(2)/25)*DG202+(1-EXP(-LN(2)/25))/(LN(2)/25)*Calculateur!DB203*Calculateur!DD203*VLOOKUP('Données projet'!$B$13,Paramètres!$A$1:$I$89,3,0)*0.475*44/12</f>
        <v>15.083709431531819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162.2359029499226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4.65" thickBot="1" x14ac:dyDescent="0.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4.65" thickBot="1" x14ac:dyDescent="0.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1.097634537603984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1.2788040393997409</v>
      </c>
      <c r="BA205" s="88">
        <f>EXP(LN('Données projet'!B88)/'Données projet'!A88)</f>
        <v>1.2788040393997409</v>
      </c>
      <c r="BV205" s="88">
        <f>EXP(LN('Données projet'!B114)/'Données projet'!A114)</f>
        <v>1.2788040393997409</v>
      </c>
      <c r="CQ205" s="88">
        <f>EXP(LN('Données projet'!B140)/'Données projet'!A140)</f>
        <v>1.097634537603984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5" bestFit="1" customWidth="1"/>
    <col min="2" max="2" width="27.73046875" style="5" bestFit="1" customWidth="1"/>
    <col min="3" max="3" width="11.86328125" style="5" bestFit="1" customWidth="1"/>
    <col min="4" max="4" width="40" style="5" bestFit="1" customWidth="1"/>
    <col min="5" max="5" width="11.86328125" style="5" bestFit="1" customWidth="1"/>
    <col min="6" max="6" width="13.73046875" style="5" bestFit="1" customWidth="1"/>
    <col min="7" max="7" width="11.3984375" style="5" bestFit="1" customWidth="1"/>
    <col min="8" max="8" width="39" style="5" bestFit="1" customWidth="1"/>
    <col min="9" max="9" width="16.73046875" style="5" customWidth="1"/>
    <col min="10" max="14" width="11.3984375" style="5"/>
    <col min="15" max="15" width="23.3984375" style="5" bestFit="1" customWidth="1"/>
    <col min="16" max="16384" width="11.3984375" style="5"/>
  </cols>
  <sheetData>
    <row r="1" spans="1:16" ht="43.15" thickBot="1" x14ac:dyDescent="0.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4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4.65" thickBot="1" x14ac:dyDescent="0.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4.65" thickBot="1" x14ac:dyDescent="0.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4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4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4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4.65" thickBot="1" x14ac:dyDescent="0.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4.65" thickBot="1" x14ac:dyDescent="0.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4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4.65" thickBot="1" x14ac:dyDescent="0.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4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4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4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4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4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4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4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4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4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4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4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4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4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4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4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4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4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4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4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4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4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4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4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4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4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4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4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4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4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4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4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4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4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4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4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4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4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4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4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4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4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4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4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4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4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4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4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4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4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4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4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4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4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4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4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4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4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4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4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4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4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4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4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4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4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4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4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4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4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4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4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4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4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4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4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4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4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4.65" thickBot="1" x14ac:dyDescent="0.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45">
      <c r="A93" s="131" t="s">
        <v>208</v>
      </c>
    </row>
    <row r="94" spans="1:14" x14ac:dyDescent="0.45">
      <c r="A94" s="131" t="s">
        <v>209</v>
      </c>
    </row>
    <row r="95" spans="1:14" x14ac:dyDescent="0.4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70" zoomScaleNormal="70" workbookViewId="0">
      <selection activeCell="F16" sqref="F16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5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5.9" thickBot="1" x14ac:dyDescent="0.8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4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4.65" thickBot="1" x14ac:dyDescent="0.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7.4" thickBot="1" x14ac:dyDescent="0.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45">
      <c r="A6" s="154" t="str">
        <f>IF('Données projet'!$B$9="","",'Données projet'!$B$9)</f>
        <v>Chêne sessile</v>
      </c>
      <c r="B6" s="155">
        <f>'Données projet'!D9</f>
        <v>4.24</v>
      </c>
      <c r="C6" s="156">
        <f ca="1">IF(OR('Données projet'!B9="",'Données projet'!C9="",'Données projet'!C9=0%),0,Calculateur!S3)</f>
        <v>432.80275651765203</v>
      </c>
      <c r="D6" s="156">
        <f>IF(OR('Données projet'!B9="",'Données projet'!C9="",'Données projet'!C9=0%),0,Calculateur!T3)</f>
        <v>203.89279893419919</v>
      </c>
      <c r="E6" s="156">
        <f ca="1">MIN(C6,D6)</f>
        <v>203.89279893419919</v>
      </c>
      <c r="F6" s="156">
        <f ca="1">E6*B6</f>
        <v>864.50546748100464</v>
      </c>
      <c r="G6" s="156">
        <f ca="1">F6*(100%-'Données projet'!$C$24)*(100%-'Données projet'!$C$25)*(100%-'Données projet'!$C$26)*(100%-'Données projet'!$C$27)</f>
        <v>778.05492073290418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778.05492073290418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45">
      <c r="A7" s="162" t="str">
        <f>IF('Données projet'!$B$10="","",'Données projet'!$B$10)</f>
        <v>Tilleul</v>
      </c>
      <c r="B7" s="163">
        <f>'Données projet'!D10</f>
        <v>9.5399999999999985E-2</v>
      </c>
      <c r="C7" s="156">
        <f ca="1">IF(OR('Données projet'!B10="",'Données projet'!C10="",'Données projet'!C10=0%),0,Calculateur!AN3)</f>
        <v>273.21861937609918</v>
      </c>
      <c r="D7" s="156">
        <f>IF(OR('Données projet'!B10="",'Données projet'!C10="",'Données projet'!C10=0%),0,Calculateur!AO3)</f>
        <v>268.83004886965318</v>
      </c>
      <c r="E7" s="156">
        <f t="shared" ref="E7:E15" ca="1" si="0">MIN(C7,D7)</f>
        <v>268.83004886965318</v>
      </c>
      <c r="F7" s="156">
        <f t="shared" ref="F7:F15" ca="1" si="1">E7*B7</f>
        <v>25.646386662164911</v>
      </c>
      <c r="G7" s="156">
        <f ca="1">F7*(100%-'Données projet'!$C$24)*(100%-'Données projet'!$C$25)*(100%-'Données projet'!$C$26)*(100%-'Données projet'!$C$27)</f>
        <v>23.081747995948419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1.3117499999999997</v>
      </c>
      <c r="K7" s="160">
        <f>J7*(100%-'Données projet'!$C$24)*(100%-'Données projet'!$C$25)*(100%-'Données projet'!$C$26)*(100%-'Données projet'!$C$27)</f>
        <v>1.1805749999999997</v>
      </c>
      <c r="L7" s="161">
        <f t="shared" ref="L7:L15" ca="1" si="2">G7+I7+K7</f>
        <v>24.26232299594842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5">
      <c r="A8" s="162" t="str">
        <f>IF('Données projet'!$B$11="","",'Données projet'!$B$11)</f>
        <v>Noyer</v>
      </c>
      <c r="B8" s="163">
        <f>'Données projet'!D11</f>
        <v>0.1802</v>
      </c>
      <c r="C8" s="156">
        <f ca="1">IF(OR('Données projet'!B11="",'Données projet'!C11="",'Données projet'!C11=0%),0,Calculateur!BI3)</f>
        <v>319.01020001288975</v>
      </c>
      <c r="D8" s="156">
        <f>IF(OR('Données projet'!B11="",'Données projet'!C11="",'Données projet'!C11=0%),0,Calculateur!BJ3)</f>
        <v>312.22190035638084</v>
      </c>
      <c r="E8" s="156">
        <f t="shared" ca="1" si="0"/>
        <v>312.22190035638084</v>
      </c>
      <c r="F8" s="156">
        <f t="shared" ca="1" si="1"/>
        <v>56.262386444219828</v>
      </c>
      <c r="G8" s="156">
        <f ca="1">F8*(100%-'Données projet'!$C$24)*(100%-'Données projet'!$C$25)*(100%-'Données projet'!$C$26)*(100%-'Données projet'!$C$27)</f>
        <v>50.636147799797847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2.4777499999999999</v>
      </c>
      <c r="K8" s="160">
        <f>J8*(100%-'Données projet'!$C$24)*(100%-'Données projet'!$C$25)*(100%-'Données projet'!$C$26)*(100%-'Données projet'!$C$27)</f>
        <v>2.229975</v>
      </c>
      <c r="L8" s="161">
        <f t="shared" ca="1" si="2"/>
        <v>52.86612279979785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45">
      <c r="A9" s="162" t="str">
        <f>IF('Données projet'!$B$12="","",'Données projet'!$B$12)</f>
        <v>Cormier</v>
      </c>
      <c r="B9" s="163">
        <f>'Données projet'!D12</f>
        <v>9.5399999999999985E-2</v>
      </c>
      <c r="C9" s="156">
        <f ca="1">IF(OR('Données projet'!B12="",'Données projet'!C12="",'Données projet'!C12=0%),0,Calculateur!CD3)</f>
        <v>405.06394904053946</v>
      </c>
      <c r="D9" s="156">
        <f>IF(OR('Données projet'!B12="",'Données projet'!C12="",'Données projet'!C12=0%),0,Calculateur!CE3)</f>
        <v>393.75247087518198</v>
      </c>
      <c r="E9" s="156">
        <f t="shared" ca="1" si="0"/>
        <v>393.75247087518198</v>
      </c>
      <c r="F9" s="156">
        <f t="shared" ca="1" si="1"/>
        <v>37.563985721492358</v>
      </c>
      <c r="G9" s="156">
        <f ca="1">F9*(100%-'Données projet'!$C$24)*(100%-'Données projet'!$C$25)*(100%-'Données projet'!$C$26)*(100%-'Données projet'!$C$27)</f>
        <v>33.807587149343121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1.3117499999999997</v>
      </c>
      <c r="K9" s="160">
        <f>J9*(100%-'Données projet'!$C$24)*(100%-'Données projet'!$C$25)*(100%-'Données projet'!$C$26)*(100%-'Données projet'!$C$27)</f>
        <v>1.1805749999999997</v>
      </c>
      <c r="L9" s="161">
        <f t="shared" ca="1" si="2"/>
        <v>34.988162149343118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45">
      <c r="A10" s="162" t="str">
        <f>IF('Données projet'!$B$13="","",'Données projet'!$B$13)</f>
        <v>Chêne pubescent</v>
      </c>
      <c r="B10" s="163">
        <f>'Données projet'!D13</f>
        <v>0.68899999999999995</v>
      </c>
      <c r="C10" s="156">
        <f ca="1">IF(OR('Données projet'!B13="",'Données projet'!C13="",'Données projet'!C13=0%),0,Calculateur!CY3)</f>
        <v>474.46836359712393</v>
      </c>
      <c r="D10" s="156">
        <f>IF(OR('Données projet'!B13="",'Données projet'!C13="",'Données projet'!C13=0%),0,Calculateur!CZ3)</f>
        <v>221.28699636637722</v>
      </c>
      <c r="E10" s="156">
        <f t="shared" ca="1" si="0"/>
        <v>221.28699636637722</v>
      </c>
      <c r="F10" s="156">
        <f t="shared" ca="1" si="1"/>
        <v>152.46674049643389</v>
      </c>
      <c r="G10" s="156">
        <f ca="1">F10*(100%-'Données projet'!$C$24)*(100%-'Données projet'!$C$25)*(100%-'Données projet'!$C$26)*(100%-'Données projet'!$C$27)</f>
        <v>137.2200664467905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137.2200664467905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4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4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4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4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.65" thickBot="1" x14ac:dyDescent="0.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4.65" thickBot="1" x14ac:dyDescent="0.5">
      <c r="A16" s="226"/>
      <c r="B16" s="233"/>
      <c r="C16" s="234"/>
      <c r="D16" s="25"/>
      <c r="E16" s="25"/>
      <c r="F16" s="174">
        <f t="shared" ref="F16:L16" ca="1" si="3">SUM(F6:F15)</f>
        <v>1136.4449668053157</v>
      </c>
      <c r="G16" s="175">
        <f t="shared" ca="1" si="3"/>
        <v>1022.8004701247841</v>
      </c>
      <c r="H16" s="176">
        <f t="shared" si="3"/>
        <v>0</v>
      </c>
      <c r="I16" s="176">
        <f t="shared" si="3"/>
        <v>0</v>
      </c>
      <c r="J16" s="177">
        <f t="shared" si="3"/>
        <v>5.1012499999999994</v>
      </c>
      <c r="K16" s="177">
        <f t="shared" si="3"/>
        <v>4.5911249999999999</v>
      </c>
      <c r="L16" s="178">
        <f t="shared" ca="1" si="3"/>
        <v>1027.3915951247841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4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4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4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65" thickBot="1" x14ac:dyDescent="0.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.65" thickBot="1" x14ac:dyDescent="0.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4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4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4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4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4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4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4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4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4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4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4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4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4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4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4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4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4.65" thickBot="1" x14ac:dyDescent="0.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4.65" thickBot="1" x14ac:dyDescent="0.5">
      <c r="A39" s="179" t="str">
        <f>A7</f>
        <v>Tilleul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4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4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4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4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4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4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4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4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4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4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4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4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4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4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4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4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4.65" thickBot="1" x14ac:dyDescent="0.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4.65" thickBot="1" x14ac:dyDescent="0.5">
      <c r="A57" s="179" t="str">
        <f>A8</f>
        <v>Noyer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4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4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4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4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4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4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4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4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4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4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4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4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4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4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4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4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4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4.65" thickBot="1" x14ac:dyDescent="0.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4.65" thickBot="1" x14ac:dyDescent="0.5">
      <c r="A76" s="179" t="str">
        <f>A9</f>
        <v>Cormier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4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4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4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4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4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4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4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4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4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4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4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4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4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4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4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4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4.65" thickBot="1" x14ac:dyDescent="0.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4.65" thickBot="1" x14ac:dyDescent="0.5">
      <c r="A94" s="179" t="str">
        <f>A10</f>
        <v>Chêne pubescent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4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4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4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4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4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4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4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4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4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4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4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4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4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4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4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4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4.65" thickBot="1" x14ac:dyDescent="0.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4.65" thickBot="1" x14ac:dyDescent="0.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4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4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4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4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4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4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4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4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4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4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4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4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4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4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4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4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4.65" thickBot="1" x14ac:dyDescent="0.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4.65" thickBot="1" x14ac:dyDescent="0.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4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4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4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4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4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4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4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4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4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4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4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4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4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4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4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4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4.65" thickBot="1" x14ac:dyDescent="0.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4.65" thickBot="1" x14ac:dyDescent="0.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4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4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4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4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4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4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4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4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4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4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4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4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4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4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4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4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4.65" thickBot="1" x14ac:dyDescent="0.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4.65" thickBot="1" x14ac:dyDescent="0.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4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4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4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4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4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4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4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4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4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4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4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4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4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4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4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4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4.65" thickBot="1" x14ac:dyDescent="0.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4.65" thickBot="1" x14ac:dyDescent="0.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4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4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4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4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4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4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4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4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4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4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4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4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4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4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4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4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4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4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4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4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4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4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4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4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4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4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4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4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4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4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4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4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4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4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4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4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4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4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4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4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4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4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4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4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4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4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4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4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4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4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4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4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4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4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4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4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4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4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4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4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4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4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4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4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4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4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4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4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4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4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4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4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4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4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4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4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4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4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4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4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4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4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4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4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4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4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4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4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4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4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4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4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4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4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4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4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4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4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4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4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4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4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4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4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4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4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4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4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4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4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4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4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4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4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4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4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4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4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4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4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4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4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4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4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4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4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4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4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4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4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4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4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4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4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4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4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4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4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4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4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4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4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4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4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4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4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4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4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4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4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4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4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4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4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4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4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4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4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F128" sqref="F128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3" customWidth="1"/>
    <col min="7" max="7" width="17.59765625" style="3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5.9" thickBot="1" x14ac:dyDescent="0.8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4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4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4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4.65" thickBot="1" x14ac:dyDescent="0.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8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4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4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4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50.076140114004716</v>
      </c>
      <c r="U10" s="190">
        <f>'Données projet'!D9</f>
        <v>4.24</v>
      </c>
      <c r="V10" s="189">
        <f>U10*T10</f>
        <v>212.32283408338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4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Tilleul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2139.7004757414684</v>
      </c>
      <c r="U11" s="190">
        <f>'Données projet'!D10</f>
        <v>9.5399999999999985E-2</v>
      </c>
      <c r="V11" s="189">
        <f t="shared" ref="V11" si="0">U11*T11</f>
        <v>204.12742538573605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4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Noyer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2166.6522616209668</v>
      </c>
      <c r="U12" s="190">
        <f>'Données projet'!D11</f>
        <v>0.1802</v>
      </c>
      <c r="V12" s="189">
        <f t="shared" ref="V12:V19" si="1">U12*T12</f>
        <v>390.43073754409824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4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Cormier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2166.6522616209668</v>
      </c>
      <c r="U13" s="190">
        <f>'Données projet'!D12</f>
        <v>9.5399999999999985E-2</v>
      </c>
      <c r="V13" s="189">
        <f t="shared" si="1"/>
        <v>206.69862575864019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4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pubescent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178.43845846477879</v>
      </c>
      <c r="U14" s="190">
        <f>'Données projet'!D13</f>
        <v>0.68899999999999995</v>
      </c>
      <c r="V14" s="189">
        <f t="shared" si="1"/>
        <v>122.94409788223258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45">
      <c r="A15" s="5"/>
      <c r="B15" s="5"/>
      <c r="C15" s="5"/>
      <c r="D15" s="5"/>
      <c r="E15" s="5"/>
      <c r="F15" s="261"/>
      <c r="G15" s="327" t="s">
        <v>318</v>
      </c>
      <c r="H15" s="203">
        <v>1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4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4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4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4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4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3768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4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4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375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45">
      <c r="A23" s="192">
        <f>'Données projet'!A36</f>
        <v>52</v>
      </c>
      <c r="B23" s="193">
        <f>'Données projet'!D36</f>
        <v>29</v>
      </c>
      <c r="C23" s="206"/>
      <c r="D23" s="194">
        <f>B23*C23</f>
        <v>0</v>
      </c>
      <c r="E23" s="206"/>
      <c r="F23" s="261"/>
      <c r="H23" s="203">
        <v>4</v>
      </c>
      <c r="I23" s="204">
        <v>375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-23202.200350390423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45">
      <c r="A24" s="192">
        <f>'Données projet'!A37</f>
        <v>60</v>
      </c>
      <c r="B24" s="193">
        <f>'Données projet'!D37</f>
        <v>30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45">
      <c r="A25" s="192">
        <f>'Données projet'!A38</f>
        <v>68</v>
      </c>
      <c r="B25" s="193">
        <f>'Données projet'!D38</f>
        <v>31</v>
      </c>
      <c r="C25" s="206">
        <v>5</v>
      </c>
      <c r="D25" s="194">
        <f t="shared" si="2"/>
        <v>155</v>
      </c>
      <c r="E25" s="206">
        <v>60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-23202.200350390423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45">
      <c r="A26" s="192">
        <f>'Données projet'!A39</f>
        <v>78</v>
      </c>
      <c r="B26" s="193">
        <f>'Données projet'!D39</f>
        <v>32</v>
      </c>
      <c r="C26" s="206">
        <v>5</v>
      </c>
      <c r="D26" s="194">
        <f t="shared" si="2"/>
        <v>160</v>
      </c>
      <c r="E26" s="206">
        <v>60</v>
      </c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45">
      <c r="A27" s="192">
        <f>'Données projet'!A40</f>
        <v>88</v>
      </c>
      <c r="B27" s="193">
        <f>'Données projet'!D40</f>
        <v>35</v>
      </c>
      <c r="C27" s="206">
        <v>5</v>
      </c>
      <c r="D27" s="194">
        <f t="shared" si="2"/>
        <v>175</v>
      </c>
      <c r="E27" s="206">
        <v>60</v>
      </c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45">
      <c r="A28" s="192">
        <f>'Données projet'!A41</f>
        <v>98</v>
      </c>
      <c r="B28" s="193">
        <f>'Données projet'!D41</f>
        <v>34</v>
      </c>
      <c r="C28" s="206">
        <v>20</v>
      </c>
      <c r="D28" s="194">
        <f t="shared" si="2"/>
        <v>680</v>
      </c>
      <c r="E28" s="206">
        <v>60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45">
      <c r="A29" s="192">
        <f>'Données projet'!A42</f>
        <v>108</v>
      </c>
      <c r="B29" s="193">
        <f>'Données projet'!D42</f>
        <v>39</v>
      </c>
      <c r="C29" s="206">
        <v>150</v>
      </c>
      <c r="D29" s="194">
        <f t="shared" si="2"/>
        <v>5850</v>
      </c>
      <c r="E29" s="206">
        <v>60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45">
      <c r="A30" s="192">
        <f>'Données projet'!A43</f>
        <v>118</v>
      </c>
      <c r="B30" s="193">
        <f>'Données projet'!D43</f>
        <v>40</v>
      </c>
      <c r="C30" s="206">
        <v>150</v>
      </c>
      <c r="D30" s="194">
        <f t="shared" si="2"/>
        <v>6000</v>
      </c>
      <c r="E30" s="206">
        <v>60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45">
      <c r="A31" s="192">
        <f>'Données projet'!A44</f>
        <v>128</v>
      </c>
      <c r="B31" s="193">
        <f>'Données projet'!D44</f>
        <v>39</v>
      </c>
      <c r="C31" s="206">
        <v>150</v>
      </c>
      <c r="D31" s="194">
        <f t="shared" si="2"/>
        <v>5850</v>
      </c>
      <c r="E31" s="206">
        <v>60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45">
      <c r="A32" s="192">
        <f>'Données projet'!A45</f>
        <v>138</v>
      </c>
      <c r="B32" s="193">
        <f>'Données projet'!D45</f>
        <v>39</v>
      </c>
      <c r="C32" s="206">
        <v>150</v>
      </c>
      <c r="D32" s="194">
        <f t="shared" si="2"/>
        <v>5850</v>
      </c>
      <c r="E32" s="206">
        <v>60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45">
      <c r="A33" s="192">
        <f>'Données projet'!A46</f>
        <v>148</v>
      </c>
      <c r="B33" s="193">
        <f>'Données projet'!D46</f>
        <v>41</v>
      </c>
      <c r="C33" s="206">
        <v>150</v>
      </c>
      <c r="D33" s="194">
        <f t="shared" si="2"/>
        <v>6150</v>
      </c>
      <c r="E33" s="206">
        <v>60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45">
      <c r="A34" s="192">
        <f>'Données projet'!A47</f>
        <v>185</v>
      </c>
      <c r="B34" s="193">
        <f>'Données projet'!D47</f>
        <v>41</v>
      </c>
      <c r="C34" s="206">
        <v>150</v>
      </c>
      <c r="D34" s="194">
        <f t="shared" si="2"/>
        <v>6150</v>
      </c>
      <c r="E34" s="206">
        <v>60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45">
      <c r="A35" s="192">
        <f>'Données projet'!A48</f>
        <v>168</v>
      </c>
      <c r="B35" s="193">
        <f>'Données projet'!D48</f>
        <v>41</v>
      </c>
      <c r="C35" s="206">
        <v>150</v>
      </c>
      <c r="D35" s="194">
        <f t="shared" si="2"/>
        <v>6150</v>
      </c>
      <c r="E35" s="206">
        <v>60</v>
      </c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45">
      <c r="A36" s="192">
        <f>'Données projet'!A49</f>
        <v>180</v>
      </c>
      <c r="B36" s="193">
        <f>'Données projet'!D49</f>
        <v>368</v>
      </c>
      <c r="C36" s="206">
        <v>150</v>
      </c>
      <c r="D36" s="194">
        <f t="shared" si="2"/>
        <v>55200</v>
      </c>
      <c r="E36" s="206">
        <v>60</v>
      </c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45">
      <c r="A37" s="192">
        <f>'Données projet'!A50</f>
        <v>0</v>
      </c>
      <c r="B37" s="193">
        <f>'Données projet'!D50</f>
        <v>0</v>
      </c>
      <c r="C37" s="206">
        <v>150</v>
      </c>
      <c r="D37" s="194">
        <f t="shared" si="2"/>
        <v>0</v>
      </c>
      <c r="E37" s="206">
        <v>60</v>
      </c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45">
      <c r="A38" s="192">
        <f>'Données projet'!A51</f>
        <v>0</v>
      </c>
      <c r="B38" s="193">
        <f>'Données projet'!D51</f>
        <v>0</v>
      </c>
      <c r="C38" s="206">
        <v>200</v>
      </c>
      <c r="D38" s="194">
        <f t="shared" si="2"/>
        <v>0</v>
      </c>
      <c r="E38" s="206">
        <v>60</v>
      </c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4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4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4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4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4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4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45">
      <c r="A45" s="49" t="s">
        <v>166</v>
      </c>
      <c r="B45" s="186" t="str">
        <f>IF('Données projet'!$B$10="","",'Données projet'!$B$10)</f>
        <v>Tilleul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4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4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4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4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4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4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4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4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45">
      <c r="A54" s="192">
        <f>'Données projet'!A62</f>
        <v>15</v>
      </c>
      <c r="B54" s="193">
        <f>'Données projet'!D62</f>
        <v>3</v>
      </c>
      <c r="C54" s="204">
        <v>5</v>
      </c>
      <c r="D54" s="191">
        <f>B54*C54</f>
        <v>15</v>
      </c>
      <c r="E54" s="206">
        <v>60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45">
      <c r="A55" s="192">
        <f>'Données projet'!A63</f>
        <v>20</v>
      </c>
      <c r="B55" s="193">
        <f>'Données projet'!D63</f>
        <v>25</v>
      </c>
      <c r="C55" s="204">
        <v>5</v>
      </c>
      <c r="D55" s="191">
        <f t="shared" ref="D55:D73" si="4">B55*C55</f>
        <v>125</v>
      </c>
      <c r="E55" s="206">
        <v>60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45">
      <c r="A56" s="192">
        <f>'Données projet'!A64</f>
        <v>25</v>
      </c>
      <c r="B56" s="193">
        <f>'Données projet'!D64</f>
        <v>27</v>
      </c>
      <c r="C56" s="204">
        <v>5</v>
      </c>
      <c r="D56" s="191">
        <f t="shared" si="4"/>
        <v>135</v>
      </c>
      <c r="E56" s="206">
        <v>60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45">
      <c r="A57" s="192">
        <f>'Données projet'!A65</f>
        <v>31</v>
      </c>
      <c r="B57" s="193">
        <f>'Données projet'!D65</f>
        <v>36</v>
      </c>
      <c r="C57" s="204">
        <v>20</v>
      </c>
      <c r="D57" s="191">
        <f t="shared" si="4"/>
        <v>720</v>
      </c>
      <c r="E57" s="206">
        <v>60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45">
      <c r="A58" s="192">
        <f>'Données projet'!A66</f>
        <v>37</v>
      </c>
      <c r="B58" s="193">
        <f>'Données projet'!D66</f>
        <v>36</v>
      </c>
      <c r="C58" s="204">
        <v>20</v>
      </c>
      <c r="D58" s="191">
        <f t="shared" si="4"/>
        <v>720</v>
      </c>
      <c r="E58" s="206">
        <v>60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45">
      <c r="A59" s="192">
        <f>'Données projet'!A67</f>
        <v>44</v>
      </c>
      <c r="B59" s="193">
        <f>'Données projet'!D67</f>
        <v>43</v>
      </c>
      <c r="C59" s="204">
        <v>20</v>
      </c>
      <c r="D59" s="191">
        <f t="shared" si="4"/>
        <v>860</v>
      </c>
      <c r="E59" s="206">
        <v>60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45">
      <c r="A60" s="192">
        <f>'Données projet'!A68</f>
        <v>52</v>
      </c>
      <c r="B60" s="193">
        <f>'Données projet'!D68</f>
        <v>48</v>
      </c>
      <c r="C60" s="204">
        <v>20</v>
      </c>
      <c r="D60" s="191">
        <f t="shared" si="4"/>
        <v>960</v>
      </c>
      <c r="E60" s="206">
        <v>60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45">
      <c r="A61" s="192">
        <f>'Données projet'!A69</f>
        <v>60</v>
      </c>
      <c r="B61" s="193">
        <f>'Données projet'!D69</f>
        <v>47</v>
      </c>
      <c r="C61" s="204">
        <v>20</v>
      </c>
      <c r="D61" s="191">
        <f t="shared" si="4"/>
        <v>940</v>
      </c>
      <c r="E61" s="206">
        <v>60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45">
      <c r="A62" s="192">
        <f>'Données projet'!A70</f>
        <v>69</v>
      </c>
      <c r="B62" s="193">
        <f>'Données projet'!D70</f>
        <v>328</v>
      </c>
      <c r="C62" s="204">
        <v>100</v>
      </c>
      <c r="D62" s="191">
        <f t="shared" si="4"/>
        <v>32800</v>
      </c>
      <c r="E62" s="206">
        <v>60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4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4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4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4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4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4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4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4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4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4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4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4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4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45">
      <c r="A76" s="49" t="s">
        <v>167</v>
      </c>
      <c r="B76" s="186" t="str">
        <f>IF('Données projet'!B11="","",'Données projet'!B11)</f>
        <v>Noyer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4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4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4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4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4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4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4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4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45">
      <c r="A85" s="192">
        <f>'Données projet'!A88</f>
        <v>15</v>
      </c>
      <c r="B85" s="193">
        <f>'Données projet'!D88</f>
        <v>3</v>
      </c>
      <c r="C85" s="204">
        <v>5</v>
      </c>
      <c r="D85" s="191">
        <f>B85*C85</f>
        <v>15</v>
      </c>
      <c r="E85" s="206">
        <v>60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45">
      <c r="A86" s="192">
        <f>'Données projet'!A89</f>
        <v>20</v>
      </c>
      <c r="B86" s="193">
        <f>'Données projet'!D89</f>
        <v>25</v>
      </c>
      <c r="C86" s="204">
        <v>5</v>
      </c>
      <c r="D86" s="191">
        <f t="shared" ref="D86:D104" si="6">B86*C86</f>
        <v>125</v>
      </c>
      <c r="E86" s="206">
        <v>60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45">
      <c r="A87" s="192">
        <f>'Données projet'!A90</f>
        <v>25</v>
      </c>
      <c r="B87" s="193">
        <f>'Données projet'!D90</f>
        <v>27</v>
      </c>
      <c r="C87" s="204">
        <v>5</v>
      </c>
      <c r="D87" s="191">
        <f t="shared" si="6"/>
        <v>135</v>
      </c>
      <c r="E87" s="206">
        <v>60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45">
      <c r="A88" s="192">
        <f>'Données projet'!A91</f>
        <v>31</v>
      </c>
      <c r="B88" s="193">
        <f>'Données projet'!D91</f>
        <v>36</v>
      </c>
      <c r="C88" s="204">
        <v>20</v>
      </c>
      <c r="D88" s="191">
        <f t="shared" si="6"/>
        <v>720</v>
      </c>
      <c r="E88" s="206">
        <v>60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45">
      <c r="A89" s="192">
        <f>'Données projet'!A92</f>
        <v>37</v>
      </c>
      <c r="B89" s="193">
        <f>'Données projet'!D92</f>
        <v>36</v>
      </c>
      <c r="C89" s="204">
        <v>20</v>
      </c>
      <c r="D89" s="191">
        <f t="shared" si="6"/>
        <v>720</v>
      </c>
      <c r="E89" s="206">
        <v>60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45">
      <c r="A90" s="192">
        <f>'Données projet'!A93</f>
        <v>44</v>
      </c>
      <c r="B90" s="193">
        <f>'Données projet'!D93</f>
        <v>43</v>
      </c>
      <c r="C90" s="204">
        <v>20</v>
      </c>
      <c r="D90" s="191">
        <f t="shared" si="6"/>
        <v>860</v>
      </c>
      <c r="E90" s="206">
        <v>60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45">
      <c r="A91" s="192">
        <f>'Données projet'!A94</f>
        <v>52</v>
      </c>
      <c r="B91" s="193">
        <f>'Données projet'!D94</f>
        <v>48</v>
      </c>
      <c r="C91" s="204">
        <v>20</v>
      </c>
      <c r="D91" s="191">
        <f t="shared" si="6"/>
        <v>960</v>
      </c>
      <c r="E91" s="206">
        <v>60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45">
      <c r="A92" s="192">
        <f>'Données projet'!A95</f>
        <v>60</v>
      </c>
      <c r="B92" s="193">
        <f>'Données projet'!D95</f>
        <v>47</v>
      </c>
      <c r="C92" s="204">
        <v>20</v>
      </c>
      <c r="D92" s="191">
        <f t="shared" si="6"/>
        <v>940</v>
      </c>
      <c r="E92" s="206">
        <v>60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45">
      <c r="A93" s="192">
        <f>'Données projet'!A96</f>
        <v>69</v>
      </c>
      <c r="B93" s="193">
        <f>'Données projet'!D96</f>
        <v>328</v>
      </c>
      <c r="C93" s="204">
        <v>100</v>
      </c>
      <c r="D93" s="191">
        <f t="shared" si="6"/>
        <v>32800</v>
      </c>
      <c r="E93" s="206">
        <v>60</v>
      </c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4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4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4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4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4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4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4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4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4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4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4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4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4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45">
      <c r="A107" s="49" t="s">
        <v>168</v>
      </c>
      <c r="B107" s="186" t="str">
        <f>IF('Données projet'!B12="","",'Données projet'!B12)</f>
        <v>Cormier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4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4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4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4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4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4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4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4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45">
      <c r="A116" s="192">
        <f>'Données projet'!A114</f>
        <v>15</v>
      </c>
      <c r="B116" s="193">
        <f>'Données projet'!D114</f>
        <v>3</v>
      </c>
      <c r="C116" s="204">
        <v>5</v>
      </c>
      <c r="D116" s="191">
        <f>B116*C116</f>
        <v>15</v>
      </c>
      <c r="E116" s="206">
        <v>60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45">
      <c r="A117" s="192">
        <f>'Données projet'!A115</f>
        <v>20</v>
      </c>
      <c r="B117" s="193">
        <f>'Données projet'!D115</f>
        <v>25</v>
      </c>
      <c r="C117" s="204">
        <v>5</v>
      </c>
      <c r="D117" s="191">
        <f t="shared" ref="D117:D135" si="8">B117*C117</f>
        <v>125</v>
      </c>
      <c r="E117" s="206">
        <v>60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45">
      <c r="A118" s="192">
        <f>'Données projet'!A116</f>
        <v>25</v>
      </c>
      <c r="B118" s="193">
        <f>'Données projet'!D116</f>
        <v>27</v>
      </c>
      <c r="C118" s="204">
        <v>5</v>
      </c>
      <c r="D118" s="191">
        <f t="shared" si="8"/>
        <v>135</v>
      </c>
      <c r="E118" s="206">
        <v>60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45">
      <c r="A119" s="192">
        <f>'Données projet'!A117</f>
        <v>31</v>
      </c>
      <c r="B119" s="193">
        <f>'Données projet'!D117</f>
        <v>36</v>
      </c>
      <c r="C119" s="204">
        <v>20</v>
      </c>
      <c r="D119" s="191">
        <f t="shared" si="8"/>
        <v>720</v>
      </c>
      <c r="E119" s="206">
        <v>60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45">
      <c r="A120" s="192">
        <f>'Données projet'!A118</f>
        <v>37</v>
      </c>
      <c r="B120" s="193">
        <f>'Données projet'!D118</f>
        <v>36</v>
      </c>
      <c r="C120" s="204">
        <v>20</v>
      </c>
      <c r="D120" s="191">
        <f t="shared" si="8"/>
        <v>720</v>
      </c>
      <c r="E120" s="206">
        <v>60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45">
      <c r="A121" s="192">
        <f>'Données projet'!A119</f>
        <v>44</v>
      </c>
      <c r="B121" s="193">
        <f>'Données projet'!D119</f>
        <v>43</v>
      </c>
      <c r="C121" s="204">
        <v>20</v>
      </c>
      <c r="D121" s="191">
        <f t="shared" si="8"/>
        <v>860</v>
      </c>
      <c r="E121" s="206">
        <v>60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45">
      <c r="A122" s="192">
        <f>'Données projet'!A120</f>
        <v>52</v>
      </c>
      <c r="B122" s="193">
        <f>'Données projet'!D120</f>
        <v>48</v>
      </c>
      <c r="C122" s="204">
        <v>20</v>
      </c>
      <c r="D122" s="191">
        <f t="shared" si="8"/>
        <v>960</v>
      </c>
      <c r="E122" s="206">
        <v>60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45">
      <c r="A123" s="192">
        <f>'Données projet'!A121</f>
        <v>60</v>
      </c>
      <c r="B123" s="193">
        <f>'Données projet'!D121</f>
        <v>47</v>
      </c>
      <c r="C123" s="204">
        <v>20</v>
      </c>
      <c r="D123" s="191">
        <f t="shared" si="8"/>
        <v>940</v>
      </c>
      <c r="E123" s="206">
        <v>60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45">
      <c r="A124" s="192">
        <f>'Données projet'!A122</f>
        <v>69</v>
      </c>
      <c r="B124" s="193">
        <f>'Données projet'!D122</f>
        <v>328</v>
      </c>
      <c r="C124" s="204">
        <v>100</v>
      </c>
      <c r="D124" s="191">
        <f t="shared" si="8"/>
        <v>32800</v>
      </c>
      <c r="E124" s="206">
        <v>60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4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4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4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4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4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4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4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4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4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4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4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4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4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45">
      <c r="A138" s="49" t="s">
        <v>169</v>
      </c>
      <c r="B138" s="186" t="str">
        <f>IF('Données projet'!B13="","",'Données projet'!B13)</f>
        <v>Chêne pubescent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4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4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4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4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4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4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4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4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45">
      <c r="A147" s="45">
        <f>'Données projet'!A140</f>
        <v>52</v>
      </c>
      <c r="B147" s="187">
        <f>'Données projet'!D140</f>
        <v>29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45">
      <c r="A148" s="45">
        <f>'Données projet'!A141</f>
        <v>60</v>
      </c>
      <c r="B148" s="187">
        <f>'Données projet'!D141</f>
        <v>30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45">
      <c r="A149" s="45">
        <f>'Données projet'!A142</f>
        <v>68</v>
      </c>
      <c r="B149" s="187">
        <f>'Données projet'!D142</f>
        <v>31</v>
      </c>
      <c r="C149" s="204">
        <v>5</v>
      </c>
      <c r="D149" s="194">
        <f t="shared" si="10"/>
        <v>155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45">
      <c r="A150" s="45">
        <f>'Données projet'!A143</f>
        <v>78</v>
      </c>
      <c r="B150" s="187">
        <f>'Données projet'!D143</f>
        <v>32</v>
      </c>
      <c r="C150" s="204">
        <v>5</v>
      </c>
      <c r="D150" s="194">
        <f t="shared" si="10"/>
        <v>160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45">
      <c r="A151" s="45">
        <f>'Données projet'!A144</f>
        <v>88</v>
      </c>
      <c r="B151" s="187">
        <f>'Données projet'!D144</f>
        <v>35</v>
      </c>
      <c r="C151" s="204">
        <v>5</v>
      </c>
      <c r="D151" s="194">
        <f t="shared" si="10"/>
        <v>175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45">
      <c r="A152" s="45">
        <f>'Données projet'!A145</f>
        <v>98</v>
      </c>
      <c r="B152" s="187">
        <f>'Données projet'!D145</f>
        <v>34</v>
      </c>
      <c r="C152" s="204">
        <v>20</v>
      </c>
      <c r="D152" s="194">
        <f t="shared" si="10"/>
        <v>680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45">
      <c r="A153" s="45">
        <f>'Données projet'!A146</f>
        <v>108</v>
      </c>
      <c r="B153" s="187">
        <f>'Données projet'!D146</f>
        <v>39</v>
      </c>
      <c r="C153" s="204">
        <v>150</v>
      </c>
      <c r="D153" s="194">
        <f t="shared" si="10"/>
        <v>5850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45">
      <c r="A154" s="45">
        <f>'Données projet'!A147</f>
        <v>118</v>
      </c>
      <c r="B154" s="187">
        <f>'Données projet'!D147</f>
        <v>40</v>
      </c>
      <c r="C154" s="204">
        <v>150</v>
      </c>
      <c r="D154" s="194">
        <f t="shared" si="10"/>
        <v>6000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45">
      <c r="A155" s="45">
        <f>'Données projet'!A148</f>
        <v>128</v>
      </c>
      <c r="B155" s="187">
        <f>'Données projet'!D148</f>
        <v>39</v>
      </c>
      <c r="C155" s="204">
        <v>150</v>
      </c>
      <c r="D155" s="194">
        <f t="shared" si="10"/>
        <v>5850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45">
      <c r="A156" s="45">
        <f>'Données projet'!A149</f>
        <v>138</v>
      </c>
      <c r="B156" s="187">
        <f>'Données projet'!D149</f>
        <v>39</v>
      </c>
      <c r="C156" s="204">
        <v>150</v>
      </c>
      <c r="D156" s="194">
        <f t="shared" si="10"/>
        <v>5850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45">
      <c r="A157" s="45">
        <f>'Données projet'!A150</f>
        <v>148</v>
      </c>
      <c r="B157" s="187">
        <f>'Données projet'!D150</f>
        <v>41</v>
      </c>
      <c r="C157" s="204">
        <v>150</v>
      </c>
      <c r="D157" s="194">
        <f t="shared" si="10"/>
        <v>6150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45">
      <c r="A158" s="45">
        <f>'Données projet'!A151</f>
        <v>185</v>
      </c>
      <c r="B158" s="187">
        <f>'Données projet'!D151</f>
        <v>41</v>
      </c>
      <c r="C158" s="204">
        <v>150</v>
      </c>
      <c r="D158" s="194">
        <f t="shared" si="10"/>
        <v>6150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45">
      <c r="A159" s="45">
        <f>'Données projet'!A152</f>
        <v>168</v>
      </c>
      <c r="B159" s="187">
        <f>'Données projet'!D152</f>
        <v>41</v>
      </c>
      <c r="C159" s="204">
        <v>150</v>
      </c>
      <c r="D159" s="194">
        <f t="shared" si="10"/>
        <v>6150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45">
      <c r="A160" s="45">
        <f>'Données projet'!A153</f>
        <v>180</v>
      </c>
      <c r="B160" s="187">
        <f>'Données projet'!D153</f>
        <v>368</v>
      </c>
      <c r="C160" s="204">
        <v>150</v>
      </c>
      <c r="D160" s="194">
        <f t="shared" si="10"/>
        <v>55200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45">
      <c r="A161" s="45">
        <f>'Données projet'!A154</f>
        <v>0</v>
      </c>
      <c r="B161" s="187">
        <f>'Données projet'!D154</f>
        <v>0</v>
      </c>
      <c r="C161" s="204">
        <v>150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45">
      <c r="A162" s="45">
        <f>'Données projet'!A155</f>
        <v>0</v>
      </c>
      <c r="B162" s="187">
        <f>'Données projet'!D155</f>
        <v>0</v>
      </c>
      <c r="C162" s="204">
        <v>200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4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4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4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4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4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4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4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4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4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4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4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4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4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4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4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4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4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4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4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4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4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4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4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4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4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4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4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4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4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4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4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4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4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4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4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4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4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4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4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4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4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4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4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4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4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4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4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4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4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4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4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4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4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4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4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4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4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4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4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4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4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4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4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4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4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4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4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4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4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4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4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4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4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4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4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4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4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4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4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4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4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4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4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4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4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4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4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4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4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4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4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4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4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4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4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4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4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4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4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4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4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4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4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4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4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4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4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4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4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4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4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4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4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4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4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4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4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4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4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4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4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4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4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4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4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4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4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4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4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4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4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4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4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4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4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4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4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4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4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4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4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4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4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4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4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4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4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4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4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4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4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4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4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4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4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4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4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4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4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4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4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4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4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4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4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4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4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4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4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4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4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4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4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4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4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4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4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4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4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4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4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4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4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4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4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4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4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4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4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4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4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4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4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4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4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4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4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4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4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4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4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4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4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4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4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4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4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4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4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4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4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4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4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4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4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4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4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4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4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4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4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4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4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4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4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4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4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4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4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4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4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4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4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4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4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4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4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4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4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4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4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4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4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4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4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4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4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4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4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4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4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4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4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4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4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4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4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4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4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4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4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4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4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4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4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4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4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4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4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4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4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4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4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4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4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4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4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4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4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4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4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4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4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4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4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4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4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4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4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4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4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4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4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4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4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4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4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4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4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4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4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4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4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4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4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4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4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4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4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4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4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4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4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4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4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4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4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4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4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4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4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4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4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4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4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4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4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4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4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4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4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4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4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4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4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4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4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4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4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4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4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4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4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4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4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4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4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4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4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4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4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4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4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4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4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4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4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4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4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4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4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4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4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4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4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4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4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4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4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4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4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4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4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4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4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4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4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4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4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4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4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4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4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4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4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4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4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4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4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4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2022-06-17T07:36:38Z</dcterms:modified>
</cp:coreProperties>
</file>