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BOISEMENT - RUSSON\"/>
    </mc:Choice>
  </mc:AlternateContent>
  <bookViews>
    <workbookView xWindow="0" yWindow="0" windowWidth="15525" windowHeight="6765" tabRatio="988"/>
  </bookViews>
  <sheets>
    <sheet name="DESCRIPTIF PROJET" sheetId="45" r:id="rId1"/>
    <sheet name="1. DE LA RIVIERE" sheetId="14" r:id="rId2"/>
    <sheet name="2. DE LANGLE" sheetId="37" r:id="rId3"/>
    <sheet name="3.LETOURNEUX" sheetId="40" r:id="rId4"/>
    <sheet name="4. CONUAU" sheetId="41" r:id="rId5"/>
    <sheet name="Répartition" sheetId="34" r:id="rId6"/>
    <sheet name="1. VAN DE LA RIVIERE" sheetId="31" r:id="rId7"/>
    <sheet name="2. VAN DE LANGLE" sheetId="35" r:id="rId8"/>
    <sheet name="3. VAN LETOURNEUX" sheetId="38" r:id="rId9"/>
    <sheet name="4. VAN CONUAU" sheetId="43" r:id="rId10"/>
    <sheet name="VAN TOTAL" sheetId="44" r:id="rId11"/>
    <sheet name="Inputs" sheetId="19" r:id="rId12"/>
    <sheet name="Inputs - Tables de production" sheetId="10" r:id="rId13"/>
    <sheet name="VERRA" sheetId="32" r:id="rId14"/>
    <sheet name="Lexique" sheetId="30" r:id="rId15"/>
  </sheets>
  <externalReferences>
    <externalReference r:id="rId16"/>
  </externalReferences>
  <definedNames>
    <definedName name="CF" localSheetId="2">Class_Fertilite[Classe de fertilité]</definedName>
    <definedName name="CF" localSheetId="4">Class_Fertilite[Classe de fertilité]</definedName>
    <definedName name="CF">Class_Fertilite[Classe de fertilité]</definedName>
    <definedName name="ESS">Inputs!$A$2:$A$6</definedName>
    <definedName name="Rab">Inputs!$A$67:$A$70</definedName>
    <definedName name="SMLT">Inputs!$B$9:$G$13</definedName>
    <definedName name="Tc" localSheetId="2">'2. DE LANGLE'!$C$30</definedName>
    <definedName name="Tc" localSheetId="8">'3.LETOURNEUX'!$C$30</definedName>
    <definedName name="Tc" localSheetId="3">'3.LETOURNEUX'!$C$30</definedName>
    <definedName name="Tc" localSheetId="4">'4. CONUAU'!$C$31</definedName>
    <definedName name="Tc" localSheetId="9">'3.LETOURNEUX'!$C$30</definedName>
    <definedName name="Tc">'1. DE LA RIVIERE'!$C$30</definedName>
    <definedName name="TPR">Inputs!$A$50:$A$63</definedName>
    <definedName name="Vbi">Inputs!$J$2:$O$6</definedName>
    <definedName name="Vt">Inputs!$B$2:$G$6</definedName>
    <definedName name="_xlnm.Print_Area" localSheetId="1">'1. DE LA RIVIERE'!$A$1:$T$77</definedName>
    <definedName name="_xlnm.Print_Area" localSheetId="2">'2. DE LANGLE'!$A$1:$T$96</definedName>
    <definedName name="_xlnm.Print_Area" localSheetId="3">'3.LETOURNEUX'!$A$1:$T$96</definedName>
    <definedName name="_xlnm.Print_Area" localSheetId="4">'4. CONUAU'!$A$1:$T$97</definedName>
    <definedName name="_xlnm.Print_Area" localSheetId="11">Inputs!$A$1:$W$177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44" l="1"/>
  <c r="C3" i="44"/>
  <c r="C4" i="44"/>
  <c r="C5" i="44"/>
  <c r="C2" i="44"/>
  <c r="J40" i="43"/>
  <c r="G93" i="41"/>
  <c r="AK13" i="32"/>
  <c r="AK14" i="32"/>
  <c r="AK15" i="32"/>
  <c r="AK16" i="32"/>
  <c r="AK17" i="32"/>
  <c r="AK18" i="32"/>
  <c r="AK19" i="32"/>
  <c r="AK20" i="32"/>
  <c r="AK21" i="32"/>
  <c r="AK22" i="32"/>
  <c r="AK23" i="32"/>
  <c r="AK24" i="32"/>
  <c r="AK25" i="32"/>
  <c r="AK26" i="32"/>
  <c r="AK27" i="32"/>
  <c r="AK28" i="32"/>
  <c r="AK29" i="32"/>
  <c r="AK30" i="32"/>
  <c r="AK31" i="32"/>
  <c r="AK32" i="32"/>
  <c r="AK33" i="32"/>
  <c r="AK34" i="32"/>
  <c r="AK12" i="32"/>
  <c r="AR21" i="10"/>
  <c r="AR22" i="10"/>
  <c r="AR23" i="10"/>
  <c r="AR24" i="10"/>
  <c r="AR25" i="10"/>
  <c r="AR26" i="10"/>
  <c r="AR27" i="10"/>
  <c r="AR28" i="10"/>
  <c r="AR29" i="10"/>
  <c r="AR30" i="10"/>
  <c r="AR31" i="10"/>
  <c r="AR32" i="10"/>
  <c r="AR33" i="10"/>
  <c r="AR34" i="10"/>
  <c r="AR35" i="10"/>
  <c r="AR36" i="10"/>
  <c r="AR37" i="10"/>
  <c r="AR38" i="10"/>
  <c r="AR39" i="10"/>
  <c r="AR40" i="10"/>
  <c r="AR41" i="10"/>
  <c r="AR42" i="10"/>
  <c r="AR20" i="10"/>
  <c r="C6" i="44" l="1"/>
  <c r="AG13" i="32" l="1"/>
  <c r="AG14" i="32"/>
  <c r="AG15" i="32"/>
  <c r="AG16" i="32"/>
  <c r="AG17" i="32"/>
  <c r="AG18" i="32"/>
  <c r="AG19" i="32"/>
  <c r="AG20" i="32"/>
  <c r="AG21" i="32"/>
  <c r="AG22" i="32"/>
  <c r="AG23" i="32"/>
  <c r="AG24" i="32"/>
  <c r="AG25" i="32"/>
  <c r="AG26" i="32"/>
  <c r="AG27" i="32"/>
  <c r="AG28" i="32"/>
  <c r="AG29" i="32"/>
  <c r="AG30" i="32"/>
  <c r="AG31" i="32"/>
  <c r="AG32" i="32"/>
  <c r="AG33" i="32"/>
  <c r="AG34" i="32"/>
  <c r="AN21" i="10"/>
  <c r="AN22" i="10"/>
  <c r="AN23" i="10"/>
  <c r="AN24" i="10"/>
  <c r="AN25" i="10"/>
  <c r="AN26" i="10"/>
  <c r="AN27" i="10"/>
  <c r="AN28" i="10"/>
  <c r="AN29" i="10"/>
  <c r="AN30" i="10"/>
  <c r="AN31" i="10"/>
  <c r="AN32" i="10"/>
  <c r="AN33" i="10"/>
  <c r="AN34" i="10"/>
  <c r="AN35" i="10"/>
  <c r="AN36" i="10"/>
  <c r="AN37" i="10"/>
  <c r="AN38" i="10"/>
  <c r="AN39" i="10"/>
  <c r="AN40" i="10"/>
  <c r="AN41" i="10"/>
  <c r="AN42" i="10"/>
  <c r="AN20" i="10"/>
  <c r="AG12" i="32" s="1"/>
  <c r="AN48" i="10"/>
  <c r="AO20" i="10" l="1"/>
  <c r="AQ20" i="10"/>
  <c r="AS20" i="10" s="1"/>
  <c r="AO21" i="10"/>
  <c r="AQ21" i="10"/>
  <c r="AS21" i="10" s="1"/>
  <c r="AO22" i="10"/>
  <c r="AQ22" i="10"/>
  <c r="AS22" i="10" s="1"/>
  <c r="AO23" i="10"/>
  <c r="AQ23" i="10"/>
  <c r="AS23" i="10" s="1"/>
  <c r="AO24" i="10"/>
  <c r="AQ24" i="10"/>
  <c r="AS24" i="10" s="1"/>
  <c r="AO25" i="10"/>
  <c r="AQ25" i="10"/>
  <c r="AS25" i="10" s="1"/>
  <c r="AO26" i="10"/>
  <c r="AQ26" i="10"/>
  <c r="AS26" i="10" s="1"/>
  <c r="AO27" i="10"/>
  <c r="AQ27" i="10"/>
  <c r="AS27" i="10" s="1"/>
  <c r="AO28" i="10"/>
  <c r="AQ28" i="10"/>
  <c r="AS28" i="10" s="1"/>
  <c r="AO29" i="10"/>
  <c r="AQ29" i="10"/>
  <c r="AS29" i="10" s="1"/>
  <c r="AO30" i="10"/>
  <c r="AQ30" i="10"/>
  <c r="AS30" i="10" s="1"/>
  <c r="AO31" i="10"/>
  <c r="AQ31" i="10"/>
  <c r="AS31" i="10" s="1"/>
  <c r="AO32" i="10"/>
  <c r="AQ32" i="10"/>
  <c r="AS32" i="10" s="1"/>
  <c r="AO33" i="10"/>
  <c r="AQ33" i="10"/>
  <c r="AS33" i="10" s="1"/>
  <c r="AO34" i="10"/>
  <c r="AQ34" i="10"/>
  <c r="AS34" i="10" s="1"/>
  <c r="AO35" i="10"/>
  <c r="AQ35" i="10"/>
  <c r="AS35" i="10" s="1"/>
  <c r="AO36" i="10"/>
  <c r="AQ36" i="10"/>
  <c r="AS36" i="10" s="1"/>
  <c r="AO37" i="10"/>
  <c r="AQ37" i="10"/>
  <c r="AS37" i="10" s="1"/>
  <c r="AO38" i="10"/>
  <c r="AQ38" i="10"/>
  <c r="AS38" i="10" s="1"/>
  <c r="AO39" i="10"/>
  <c r="AQ39" i="10"/>
  <c r="AS39" i="10" s="1"/>
  <c r="AO40" i="10"/>
  <c r="AQ40" i="10"/>
  <c r="AS40" i="10" s="1"/>
  <c r="AO41" i="10"/>
  <c r="AQ41" i="10"/>
  <c r="AS41" i="10" s="1"/>
  <c r="AO42" i="10"/>
  <c r="AQ42" i="10"/>
  <c r="AJ15" i="32"/>
  <c r="AJ13" i="32"/>
  <c r="AS42" i="10" l="1"/>
  <c r="AS43" i="10" s="1"/>
  <c r="AN6" i="10"/>
  <c r="L64" i="38" l="1"/>
  <c r="L65" i="38"/>
  <c r="L66" i="38"/>
  <c r="L67" i="38"/>
  <c r="L68" i="38"/>
  <c r="L69" i="38"/>
  <c r="L70" i="38"/>
  <c r="L71" i="38"/>
  <c r="L72" i="38"/>
  <c r="F64" i="38"/>
  <c r="F65" i="38"/>
  <c r="F66" i="38"/>
  <c r="F67" i="38"/>
  <c r="F68" i="38"/>
  <c r="F69" i="38"/>
  <c r="F70" i="38"/>
  <c r="F71" i="38"/>
  <c r="F72" i="38"/>
  <c r="F73" i="38"/>
  <c r="F74" i="38"/>
  <c r="H23" i="38"/>
  <c r="H17" i="38"/>
  <c r="F11" i="38"/>
  <c r="H21" i="38"/>
  <c r="B18" i="38"/>
  <c r="H16" i="38" s="1"/>
  <c r="B14" i="38"/>
  <c r="H13" i="38" s="1"/>
  <c r="H12" i="38" l="1"/>
  <c r="H20" i="38"/>
  <c r="E63" i="37"/>
  <c r="C46" i="40"/>
  <c r="C47" i="40" s="1"/>
  <c r="C53" i="40"/>
  <c r="F63" i="35"/>
  <c r="F64" i="35"/>
  <c r="F65" i="35"/>
  <c r="F66" i="35"/>
  <c r="F67" i="35"/>
  <c r="F68" i="35"/>
  <c r="E64" i="35"/>
  <c r="E65" i="35"/>
  <c r="E66" i="35"/>
  <c r="E67" i="35"/>
  <c r="E68" i="35"/>
  <c r="K36" i="35"/>
  <c r="K37" i="35"/>
  <c r="K38" i="35"/>
  <c r="K39" i="35"/>
  <c r="K40" i="35"/>
  <c r="E40" i="35"/>
  <c r="H24" i="35"/>
  <c r="H23" i="35"/>
  <c r="H21" i="35"/>
  <c r="E34" i="35" s="1"/>
  <c r="H18" i="35"/>
  <c r="H17" i="35"/>
  <c r="H15" i="35"/>
  <c r="H11" i="35"/>
  <c r="H12" i="35"/>
  <c r="B16" i="35"/>
  <c r="H14" i="35" s="1"/>
  <c r="C30" i="34"/>
  <c r="F30" i="34" s="1"/>
  <c r="C26" i="34"/>
  <c r="F26" i="34" s="1"/>
  <c r="G14" i="35" s="1"/>
  <c r="I31" i="35" s="1"/>
  <c r="C27" i="34"/>
  <c r="C28" i="34"/>
  <c r="C29" i="34"/>
  <c r="C31" i="34"/>
  <c r="C25" i="34"/>
  <c r="F25" i="34" s="1"/>
  <c r="G11" i="35" s="1"/>
  <c r="C31" i="35" s="1"/>
  <c r="C55" i="40" l="1"/>
  <c r="C56" i="40" s="1"/>
  <c r="K34" i="35"/>
  <c r="E62" i="35"/>
  <c r="F15" i="35"/>
  <c r="F14" i="35"/>
  <c r="F12" i="35"/>
  <c r="F11" i="35"/>
  <c r="H24" i="31"/>
  <c r="AF235" i="10"/>
  <c r="AF236" i="10"/>
  <c r="AF237" i="10"/>
  <c r="AF238" i="10"/>
  <c r="AF239" i="10"/>
  <c r="AF240" i="10"/>
  <c r="AF241" i="10"/>
  <c r="AF242" i="10"/>
  <c r="AF243" i="10"/>
  <c r="AF244" i="10"/>
  <c r="AF245" i="10"/>
  <c r="AF246" i="10"/>
  <c r="AF247" i="10"/>
  <c r="AF248" i="10"/>
  <c r="AF249" i="10"/>
  <c r="AF250" i="10"/>
  <c r="AF251" i="10"/>
  <c r="AF252" i="10"/>
  <c r="AF253" i="10"/>
  <c r="AF254" i="10"/>
  <c r="AF255" i="10"/>
  <c r="AF256" i="10"/>
  <c r="AF257" i="10"/>
  <c r="AF258" i="10"/>
  <c r="AF259" i="10"/>
  <c r="AF260" i="10"/>
  <c r="AF261" i="10"/>
  <c r="AF262" i="10"/>
  <c r="AF263" i="10"/>
  <c r="AF264" i="10"/>
  <c r="AF265" i="10"/>
  <c r="AF266" i="10"/>
  <c r="AF267" i="10"/>
  <c r="AF268" i="10"/>
  <c r="AF269" i="10"/>
  <c r="AF270" i="10"/>
  <c r="AF271" i="10"/>
  <c r="AF272" i="10"/>
  <c r="AF273" i="10"/>
  <c r="AF274" i="10"/>
  <c r="AF275" i="10"/>
  <c r="AF276" i="10"/>
  <c r="AF277" i="10"/>
  <c r="AF278" i="10"/>
  <c r="AF279" i="10"/>
  <c r="AF280" i="10"/>
  <c r="AF281" i="10"/>
  <c r="AF282" i="10"/>
  <c r="AF283" i="10"/>
  <c r="AF234" i="10"/>
  <c r="AD235" i="10"/>
  <c r="AE235" i="10" s="1"/>
  <c r="AD236" i="10"/>
  <c r="AD237" i="10"/>
  <c r="AH237" i="10" s="1"/>
  <c r="AI237" i="10" s="1"/>
  <c r="AD238" i="10"/>
  <c r="AE238" i="10" s="1"/>
  <c r="AD239" i="10"/>
  <c r="AD240" i="10"/>
  <c r="AD241" i="10"/>
  <c r="AE241" i="10" s="1"/>
  <c r="AD242" i="10"/>
  <c r="AH242" i="10" s="1"/>
  <c r="AI242" i="10" s="1"/>
  <c r="AD243" i="10"/>
  <c r="AE243" i="10" s="1"/>
  <c r="AD244" i="10"/>
  <c r="AH244" i="10" s="1"/>
  <c r="AI244" i="10" s="1"/>
  <c r="AD245" i="10"/>
  <c r="AD246" i="10"/>
  <c r="AH246" i="10" s="1"/>
  <c r="AI246" i="10" s="1"/>
  <c r="AD247" i="10"/>
  <c r="AD248" i="10"/>
  <c r="AE248" i="10" s="1"/>
  <c r="AD249" i="10"/>
  <c r="AD250" i="10"/>
  <c r="AE250" i="10" s="1"/>
  <c r="AD251" i="10"/>
  <c r="AD252" i="10"/>
  <c r="AH252" i="10" s="1"/>
  <c r="AI252" i="10" s="1"/>
  <c r="AD253" i="10"/>
  <c r="AD254" i="10"/>
  <c r="AD255" i="10"/>
  <c r="AD256" i="10"/>
  <c r="AE256" i="10" s="1"/>
  <c r="AD257" i="10"/>
  <c r="AE257" i="10" s="1"/>
  <c r="AD258" i="10"/>
  <c r="AH258" i="10" s="1"/>
  <c r="AD259" i="10"/>
  <c r="AE259" i="10" s="1"/>
  <c r="AD260" i="10"/>
  <c r="AD261" i="10"/>
  <c r="AD262" i="10"/>
  <c r="AH262" i="10" s="1"/>
  <c r="AD263" i="10"/>
  <c r="AD264" i="10"/>
  <c r="AE264" i="10" s="1"/>
  <c r="AD265" i="10"/>
  <c r="AD266" i="10"/>
  <c r="AE266" i="10" s="1"/>
  <c r="AD267" i="10"/>
  <c r="AE267" i="10" s="1"/>
  <c r="AD268" i="10"/>
  <c r="AH268" i="10" s="1"/>
  <c r="AI268" i="10" s="1"/>
  <c r="AD269" i="10"/>
  <c r="AD270" i="10"/>
  <c r="AD271" i="10"/>
  <c r="AD272" i="10"/>
  <c r="AE272" i="10" s="1"/>
  <c r="AD273" i="10"/>
  <c r="AD274" i="10"/>
  <c r="AH274" i="10" s="1"/>
  <c r="AD275" i="10"/>
  <c r="AH275" i="10" s="1"/>
  <c r="AD276" i="10"/>
  <c r="AD277" i="10"/>
  <c r="AE277" i="10" s="1"/>
  <c r="AD278" i="10"/>
  <c r="AH278" i="10" s="1"/>
  <c r="AD279" i="10"/>
  <c r="AD280" i="10"/>
  <c r="AE280" i="10" s="1"/>
  <c r="AD281" i="10"/>
  <c r="AE281" i="10" s="1"/>
  <c r="AD282" i="10"/>
  <c r="AH282" i="10" s="1"/>
  <c r="AD283" i="10"/>
  <c r="AH283" i="10" s="1"/>
  <c r="AD234" i="10"/>
  <c r="AE279" i="10"/>
  <c r="AE278" i="10"/>
  <c r="AE276" i="10"/>
  <c r="AE273" i="10"/>
  <c r="AE271" i="10"/>
  <c r="AH270" i="10"/>
  <c r="AE270" i="10"/>
  <c r="AE269" i="10"/>
  <c r="AE268" i="10"/>
  <c r="AH265" i="10"/>
  <c r="AI265" i="10" s="1"/>
  <c r="AE265" i="10"/>
  <c r="AE263" i="10"/>
  <c r="AE261" i="10"/>
  <c r="AE260" i="10"/>
  <c r="AH259" i="10"/>
  <c r="AG257" i="10"/>
  <c r="AG267" i="10" s="1"/>
  <c r="AG277" i="10" s="1"/>
  <c r="AG256" i="10"/>
  <c r="AG266" i="10" s="1"/>
  <c r="AG276" i="10" s="1"/>
  <c r="AG255" i="10"/>
  <c r="AG265" i="10" s="1"/>
  <c r="AG275" i="10" s="1"/>
  <c r="AE255" i="10"/>
  <c r="AH254" i="10"/>
  <c r="AG254" i="10"/>
  <c r="AG264" i="10" s="1"/>
  <c r="AG274" i="10" s="1"/>
  <c r="AE254" i="10"/>
  <c r="AG253" i="10"/>
  <c r="AG263" i="10" s="1"/>
  <c r="AG273" i="10" s="1"/>
  <c r="AE253" i="10"/>
  <c r="AG252" i="10"/>
  <c r="AG262" i="10" s="1"/>
  <c r="AG272" i="10" s="1"/>
  <c r="AG282" i="10" s="1"/>
  <c r="AE252" i="10"/>
  <c r="AG251" i="10"/>
  <c r="AG261" i="10" s="1"/>
  <c r="AG271" i="10" s="1"/>
  <c r="AG281" i="10" s="1"/>
  <c r="AG250" i="10"/>
  <c r="AG260" i="10" s="1"/>
  <c r="AG270" i="10" s="1"/>
  <c r="AG280" i="10" s="1"/>
  <c r="AG249" i="10"/>
  <c r="AG259" i="10" s="1"/>
  <c r="AG269" i="10" s="1"/>
  <c r="AG279" i="10" s="1"/>
  <c r="AH249" i="10"/>
  <c r="AE249" i="10"/>
  <c r="AG248" i="10"/>
  <c r="AG258" i="10" s="1"/>
  <c r="AG268" i="10" s="1"/>
  <c r="AG278" i="10" s="1"/>
  <c r="AG283" i="10" s="1"/>
  <c r="AE247" i="10"/>
  <c r="AE246" i="10"/>
  <c r="AE245" i="10"/>
  <c r="AE244" i="10"/>
  <c r="AH243" i="10"/>
  <c r="AI243" i="10" s="1"/>
  <c r="AE239" i="10"/>
  <c r="AH238" i="10"/>
  <c r="AI238" i="10" s="1"/>
  <c r="AE237" i="10"/>
  <c r="AE236" i="10"/>
  <c r="AF182" i="10"/>
  <c r="AF183" i="10"/>
  <c r="AF184" i="10"/>
  <c r="AF185" i="10"/>
  <c r="AF186" i="10"/>
  <c r="AF187" i="10"/>
  <c r="AF188" i="10"/>
  <c r="AF189" i="10"/>
  <c r="AF190" i="10"/>
  <c r="AF191" i="10"/>
  <c r="AF192" i="10"/>
  <c r="AF193" i="10"/>
  <c r="AH193" i="10" s="1"/>
  <c r="AI193" i="10" s="1"/>
  <c r="Z24" i="32" s="1"/>
  <c r="AF194" i="10"/>
  <c r="AF195" i="10"/>
  <c r="AF196" i="10"/>
  <c r="AF197" i="10"/>
  <c r="AF198" i="10"/>
  <c r="AF199" i="10"/>
  <c r="AF200" i="10"/>
  <c r="AF201" i="10"/>
  <c r="AF202" i="10"/>
  <c r="AF203" i="10"/>
  <c r="AF204" i="10"/>
  <c r="AF205" i="10"/>
  <c r="AF206" i="10"/>
  <c r="AF207" i="10"/>
  <c r="AF208" i="10"/>
  <c r="AF209" i="10"/>
  <c r="AH209" i="10" s="1"/>
  <c r="AF210" i="10"/>
  <c r="AF211" i="10"/>
  <c r="AF212" i="10"/>
  <c r="AF213" i="10"/>
  <c r="AF214" i="10"/>
  <c r="AF215" i="10"/>
  <c r="AF216" i="10"/>
  <c r="AF217" i="10"/>
  <c r="AH217" i="10" s="1"/>
  <c r="AF218" i="10"/>
  <c r="AF219" i="10"/>
  <c r="AF220" i="10"/>
  <c r="AF221" i="10"/>
  <c r="AF222" i="10"/>
  <c r="AF223" i="10"/>
  <c r="AF224" i="10"/>
  <c r="AF225" i="10"/>
  <c r="AH225" i="10" s="1"/>
  <c r="AF226" i="10"/>
  <c r="AF227" i="10"/>
  <c r="AF228" i="10"/>
  <c r="AF229" i="10"/>
  <c r="AF230" i="10"/>
  <c r="AF181" i="10"/>
  <c r="AD182" i="10"/>
  <c r="AD183" i="10"/>
  <c r="AD184" i="10"/>
  <c r="AE184" i="10" s="1"/>
  <c r="AD185" i="10"/>
  <c r="AE185" i="10" s="1"/>
  <c r="AD186" i="10"/>
  <c r="AD187" i="10"/>
  <c r="AE187" i="10" s="1"/>
  <c r="AD188" i="10"/>
  <c r="AD189" i="10"/>
  <c r="AD190" i="10"/>
  <c r="AE190" i="10" s="1"/>
  <c r="AD191" i="10"/>
  <c r="AE191" i="10" s="1"/>
  <c r="AD192" i="10"/>
  <c r="AD193" i="10"/>
  <c r="AD194" i="10"/>
  <c r="AD195" i="10"/>
  <c r="AD196" i="10"/>
  <c r="AD197" i="10"/>
  <c r="AE197" i="10" s="1"/>
  <c r="AD198" i="10"/>
  <c r="AE198" i="10" s="1"/>
  <c r="AD199" i="10"/>
  <c r="AE199" i="10" s="1"/>
  <c r="AD200" i="10"/>
  <c r="AE200" i="10" s="1"/>
  <c r="AD201" i="10"/>
  <c r="AD202" i="10"/>
  <c r="AD203" i="10"/>
  <c r="AE203" i="10" s="1"/>
  <c r="AD204" i="10"/>
  <c r="AD205" i="10"/>
  <c r="AE205" i="10" s="1"/>
  <c r="AD206" i="10"/>
  <c r="AE206" i="10" s="1"/>
  <c r="AD207" i="10"/>
  <c r="AE207" i="10" s="1"/>
  <c r="AD208" i="10"/>
  <c r="AE208" i="10" s="1"/>
  <c r="AD209" i="10"/>
  <c r="AE209" i="10" s="1"/>
  <c r="AD210" i="10"/>
  <c r="AD211" i="10"/>
  <c r="AD212" i="10"/>
  <c r="AD213" i="10"/>
  <c r="AE213" i="10" s="1"/>
  <c r="AD214" i="10"/>
  <c r="AD215" i="10"/>
  <c r="AE215" i="10" s="1"/>
  <c r="AD216" i="10"/>
  <c r="AE216" i="10" s="1"/>
  <c r="AD217" i="10"/>
  <c r="AE217" i="10" s="1"/>
  <c r="AD218" i="10"/>
  <c r="AD219" i="10"/>
  <c r="AE219" i="10" s="1"/>
  <c r="AD220" i="10"/>
  <c r="AD221" i="10"/>
  <c r="AD222" i="10"/>
  <c r="AE222" i="10" s="1"/>
  <c r="AD223" i="10"/>
  <c r="AE223" i="10" s="1"/>
  <c r="AD224" i="10"/>
  <c r="AE224" i="10" s="1"/>
  <c r="AD225" i="10"/>
  <c r="AE225" i="10" s="1"/>
  <c r="AD226" i="10"/>
  <c r="AH226" i="10" s="1"/>
  <c r="AD227" i="10"/>
  <c r="AE227" i="10" s="1"/>
  <c r="AD228" i="10"/>
  <c r="AE228" i="10" s="1"/>
  <c r="AD229" i="10"/>
  <c r="AE229" i="10" s="1"/>
  <c r="AD230" i="10"/>
  <c r="AD181" i="10"/>
  <c r="AH228" i="10"/>
  <c r="AE226" i="10"/>
  <c r="AE221" i="10"/>
  <c r="AH220" i="10"/>
  <c r="AE220" i="10"/>
  <c r="AH218" i="10"/>
  <c r="AE218" i="10"/>
  <c r="AE214" i="10"/>
  <c r="AH212" i="10"/>
  <c r="AE212" i="10"/>
  <c r="AH210" i="10"/>
  <c r="AE210" i="10"/>
  <c r="AG204" i="10"/>
  <c r="AG214" i="10" s="1"/>
  <c r="AG224" i="10" s="1"/>
  <c r="AH204" i="10"/>
  <c r="AE204" i="10"/>
  <c r="AG203" i="10"/>
  <c r="AG213" i="10" s="1"/>
  <c r="AG223" i="10" s="1"/>
  <c r="AG202" i="10"/>
  <c r="AG212" i="10" s="1"/>
  <c r="AG222" i="10" s="1"/>
  <c r="AE202" i="10"/>
  <c r="AG201" i="10"/>
  <c r="AG211" i="10" s="1"/>
  <c r="AG221" i="10" s="1"/>
  <c r="AH201" i="10"/>
  <c r="AE201" i="10"/>
  <c r="AG200" i="10"/>
  <c r="AG210" i="10" s="1"/>
  <c r="AG220" i="10" s="1"/>
  <c r="AG199" i="10"/>
  <c r="AG209" i="10" s="1"/>
  <c r="AG219" i="10" s="1"/>
  <c r="AG229" i="10" s="1"/>
  <c r="AG198" i="10"/>
  <c r="AG208" i="10" s="1"/>
  <c r="AG218" i="10" s="1"/>
  <c r="AG228" i="10" s="1"/>
  <c r="AG197" i="10"/>
  <c r="AG207" i="10" s="1"/>
  <c r="AG217" i="10" s="1"/>
  <c r="AG227" i="10" s="1"/>
  <c r="AG196" i="10"/>
  <c r="AG206" i="10" s="1"/>
  <c r="AG216" i="10" s="1"/>
  <c r="AG226" i="10" s="1"/>
  <c r="AH196" i="10"/>
  <c r="AE196" i="10"/>
  <c r="AG195" i="10"/>
  <c r="AG205" i="10" s="1"/>
  <c r="AG215" i="10" s="1"/>
  <c r="AG225" i="10" s="1"/>
  <c r="AG230" i="10" s="1"/>
  <c r="AE194" i="10"/>
  <c r="AE193" i="10"/>
  <c r="AE192" i="10"/>
  <c r="AH188" i="10"/>
  <c r="AI188" i="10" s="1"/>
  <c r="Z19" i="32" s="1"/>
  <c r="AE188" i="10"/>
  <c r="AE186" i="10"/>
  <c r="AH185" i="10"/>
  <c r="AI185" i="10" s="1"/>
  <c r="Z16" i="32" s="1"/>
  <c r="AE183" i="10"/>
  <c r="AE182" i="10"/>
  <c r="AH181" i="10"/>
  <c r="AI181" i="10" s="1"/>
  <c r="Z12" i="32" s="1"/>
  <c r="AF129" i="10"/>
  <c r="AF130" i="10"/>
  <c r="AF131" i="10"/>
  <c r="AF132" i="10"/>
  <c r="AF133" i="10"/>
  <c r="AF134" i="10"/>
  <c r="AF135" i="10"/>
  <c r="AH135" i="10" s="1"/>
  <c r="AI135" i="10" s="1"/>
  <c r="X19" i="32" s="1"/>
  <c r="AF136" i="10"/>
  <c r="AF137" i="10"/>
  <c r="AF138" i="10"/>
  <c r="AF139" i="10"/>
  <c r="AF140" i="10"/>
  <c r="AF141" i="10"/>
  <c r="AF142" i="10"/>
  <c r="AF143" i="10"/>
  <c r="AH143" i="10" s="1"/>
  <c r="AF144" i="10"/>
  <c r="AF145" i="10"/>
  <c r="AF146" i="10"/>
  <c r="AF147" i="10"/>
  <c r="AF148" i="10"/>
  <c r="AF149" i="10"/>
  <c r="AF150" i="10"/>
  <c r="AF151" i="10"/>
  <c r="AH151" i="10" s="1"/>
  <c r="AF152" i="10"/>
  <c r="AF153" i="10"/>
  <c r="AF154" i="10"/>
  <c r="AF155" i="10"/>
  <c r="AF156" i="10"/>
  <c r="AF157" i="10"/>
  <c r="AF158" i="10"/>
  <c r="AF159" i="10"/>
  <c r="AH159" i="10" s="1"/>
  <c r="AF160" i="10"/>
  <c r="AF161" i="10"/>
  <c r="AF162" i="10"/>
  <c r="AF163" i="10"/>
  <c r="AF164" i="10"/>
  <c r="AF165" i="10"/>
  <c r="AF166" i="10"/>
  <c r="AF167" i="10"/>
  <c r="AH167" i="10" s="1"/>
  <c r="AF168" i="10"/>
  <c r="AF169" i="10"/>
  <c r="AF170" i="10"/>
  <c r="AF171" i="10"/>
  <c r="AF172" i="10"/>
  <c r="AF173" i="10"/>
  <c r="AF174" i="10"/>
  <c r="AF175" i="10"/>
  <c r="AH175" i="10" s="1"/>
  <c r="AF176" i="10"/>
  <c r="AF177" i="10"/>
  <c r="AF128" i="10"/>
  <c r="AD128" i="10"/>
  <c r="AD129" i="10"/>
  <c r="AE129" i="10" s="1"/>
  <c r="AD130" i="10"/>
  <c r="AD131" i="10"/>
  <c r="AD132" i="10"/>
  <c r="AH132" i="10" s="1"/>
  <c r="AI132" i="10" s="1"/>
  <c r="X16" i="32" s="1"/>
  <c r="AD133" i="10"/>
  <c r="AD134" i="10"/>
  <c r="AD135" i="10"/>
  <c r="AD136" i="10"/>
  <c r="AE136" i="10" s="1"/>
  <c r="AD137" i="10"/>
  <c r="AE137" i="10" s="1"/>
  <c r="AD138" i="10"/>
  <c r="AH138" i="10" s="1"/>
  <c r="AI138" i="10" s="1"/>
  <c r="X22" i="32" s="1"/>
  <c r="AD139" i="10"/>
  <c r="AE139" i="10" s="1"/>
  <c r="AD140" i="10"/>
  <c r="AE140" i="10" s="1"/>
  <c r="AD141" i="10"/>
  <c r="AE141" i="10" s="1"/>
  <c r="AD142" i="10"/>
  <c r="AE142" i="10" s="1"/>
  <c r="AD143" i="10"/>
  <c r="AD144" i="10"/>
  <c r="AE144" i="10" s="1"/>
  <c r="AD145" i="10"/>
  <c r="AE145" i="10" s="1"/>
  <c r="AD146" i="10"/>
  <c r="AE146" i="10" s="1"/>
  <c r="AD147" i="10"/>
  <c r="AD148" i="10"/>
  <c r="AE148" i="10" s="1"/>
  <c r="AD149" i="10"/>
  <c r="AE149" i="10" s="1"/>
  <c r="AD150" i="10"/>
  <c r="AD151" i="10"/>
  <c r="AE151" i="10" s="1"/>
  <c r="AD152" i="10"/>
  <c r="AE152" i="10" s="1"/>
  <c r="AD153" i="10"/>
  <c r="AE153" i="10" s="1"/>
  <c r="AD154" i="10"/>
  <c r="AE154" i="10" s="1"/>
  <c r="AD155" i="10"/>
  <c r="AE155" i="10" s="1"/>
  <c r="AD156" i="10"/>
  <c r="AE156" i="10" s="1"/>
  <c r="AD157" i="10"/>
  <c r="AE157" i="10" s="1"/>
  <c r="AD158" i="10"/>
  <c r="AE158" i="10" s="1"/>
  <c r="AD159" i="10"/>
  <c r="AE159" i="10" s="1"/>
  <c r="AD160" i="10"/>
  <c r="AE160" i="10" s="1"/>
  <c r="AD161" i="10"/>
  <c r="AE161" i="10" s="1"/>
  <c r="AD162" i="10"/>
  <c r="AH162" i="10" s="1"/>
  <c r="AD163" i="10"/>
  <c r="AE163" i="10" s="1"/>
  <c r="AD164" i="10"/>
  <c r="AE164" i="10" s="1"/>
  <c r="AD165" i="10"/>
  <c r="AD166" i="10"/>
  <c r="AD167" i="10"/>
  <c r="AD168" i="10"/>
  <c r="AE168" i="10" s="1"/>
  <c r="AD169" i="10"/>
  <c r="AE169" i="10" s="1"/>
  <c r="AD170" i="10"/>
  <c r="AE170" i="10" s="1"/>
  <c r="AD171" i="10"/>
  <c r="AE171" i="10" s="1"/>
  <c r="AD172" i="10"/>
  <c r="AH172" i="10" s="1"/>
  <c r="AD173" i="10"/>
  <c r="AE173" i="10" s="1"/>
  <c r="AD174" i="10"/>
  <c r="AE174" i="10" s="1"/>
  <c r="AD175" i="10"/>
  <c r="AD176" i="10"/>
  <c r="AE176" i="10" s="1"/>
  <c r="AD177" i="10"/>
  <c r="AE177" i="10" s="1"/>
  <c r="AE130" i="10"/>
  <c r="AE131" i="10"/>
  <c r="AE132" i="10"/>
  <c r="AE133" i="10"/>
  <c r="AE134" i="10"/>
  <c r="AE135" i="10"/>
  <c r="AE143" i="10"/>
  <c r="AE147" i="10"/>
  <c r="AE150" i="10"/>
  <c r="AE162" i="10"/>
  <c r="AE165" i="10"/>
  <c r="AE166" i="10"/>
  <c r="AE167" i="10"/>
  <c r="AE175" i="10"/>
  <c r="AH170" i="10"/>
  <c r="AH155" i="10"/>
  <c r="AG151" i="10"/>
  <c r="AG161" i="10" s="1"/>
  <c r="AG171" i="10" s="1"/>
  <c r="AG150" i="10"/>
  <c r="AG160" i="10" s="1"/>
  <c r="AG170" i="10" s="1"/>
  <c r="AG149" i="10"/>
  <c r="AG159" i="10" s="1"/>
  <c r="AG169" i="10" s="1"/>
  <c r="AG148" i="10"/>
  <c r="AG158" i="10" s="1"/>
  <c r="AG168" i="10" s="1"/>
  <c r="AG147" i="10"/>
  <c r="AG157" i="10" s="1"/>
  <c r="AG167" i="10" s="1"/>
  <c r="AG146" i="10"/>
  <c r="AG156" i="10" s="1"/>
  <c r="AG166" i="10" s="1"/>
  <c r="AG176" i="10" s="1"/>
  <c r="AG145" i="10"/>
  <c r="AG155" i="10" s="1"/>
  <c r="AG165" i="10" s="1"/>
  <c r="AG175" i="10" s="1"/>
  <c r="AG144" i="10"/>
  <c r="AG154" i="10" s="1"/>
  <c r="AG164" i="10" s="1"/>
  <c r="AG174" i="10" s="1"/>
  <c r="AG143" i="10"/>
  <c r="AG153" i="10" s="1"/>
  <c r="AG163" i="10" s="1"/>
  <c r="AG173" i="10" s="1"/>
  <c r="AG142" i="10"/>
  <c r="AG152" i="10" s="1"/>
  <c r="AG162" i="10" s="1"/>
  <c r="AG172" i="10" s="1"/>
  <c r="AG177" i="10" s="1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F104" i="10"/>
  <c r="AF105" i="10"/>
  <c r="AF106" i="10"/>
  <c r="AF107" i="10"/>
  <c r="AF108" i="10"/>
  <c r="AF109" i="10"/>
  <c r="AF110" i="10"/>
  <c r="AF111" i="10"/>
  <c r="AF112" i="10"/>
  <c r="AF113" i="10"/>
  <c r="AF114" i="10"/>
  <c r="AF115" i="10"/>
  <c r="AF116" i="10"/>
  <c r="AF117" i="10"/>
  <c r="AF118" i="10"/>
  <c r="AF119" i="10"/>
  <c r="AF120" i="10"/>
  <c r="AF121" i="10"/>
  <c r="AF122" i="10"/>
  <c r="AF123" i="10"/>
  <c r="AF124" i="10"/>
  <c r="AF75" i="10"/>
  <c r="AD75" i="10"/>
  <c r="AE75" i="10" s="1"/>
  <c r="AD76" i="10"/>
  <c r="AE76" i="10" s="1"/>
  <c r="AD77" i="10"/>
  <c r="AD78" i="10"/>
  <c r="AD79" i="10"/>
  <c r="AE79" i="10" s="1"/>
  <c r="AD80" i="10"/>
  <c r="AH80" i="10" s="1"/>
  <c r="AI80" i="10" s="1"/>
  <c r="V17" i="32" s="1"/>
  <c r="AD81" i="10"/>
  <c r="AD82" i="10"/>
  <c r="AE82" i="10" s="1"/>
  <c r="AD83" i="10"/>
  <c r="AE83" i="10" s="1"/>
  <c r="AD84" i="10"/>
  <c r="AE84" i="10" s="1"/>
  <c r="AD85" i="10"/>
  <c r="AD86" i="10"/>
  <c r="AE86" i="10" s="1"/>
  <c r="AD87" i="10"/>
  <c r="AE87" i="10" s="1"/>
  <c r="AD88" i="10"/>
  <c r="AH88" i="10" s="1"/>
  <c r="AI88" i="10" s="1"/>
  <c r="V25" i="32" s="1"/>
  <c r="AD89" i="10"/>
  <c r="AD90" i="10"/>
  <c r="AE90" i="10" s="1"/>
  <c r="AD91" i="10"/>
  <c r="AD92" i="10"/>
  <c r="AE92" i="10" s="1"/>
  <c r="AD93" i="10"/>
  <c r="AE93" i="10" s="1"/>
  <c r="AD94" i="10"/>
  <c r="AD95" i="10"/>
  <c r="AE95" i="10" s="1"/>
  <c r="AD96" i="10"/>
  <c r="AH96" i="10" s="1"/>
  <c r="AI96" i="10" s="1"/>
  <c r="V33" i="32" s="1"/>
  <c r="AD97" i="10"/>
  <c r="AE97" i="10" s="1"/>
  <c r="AD98" i="10"/>
  <c r="AE98" i="10" s="1"/>
  <c r="AD99" i="10"/>
  <c r="AD100" i="10"/>
  <c r="AE100" i="10" s="1"/>
  <c r="AD101" i="10"/>
  <c r="AE101" i="10" s="1"/>
  <c r="AD102" i="10"/>
  <c r="AE102" i="10" s="1"/>
  <c r="AD103" i="10"/>
  <c r="AH103" i="10" s="1"/>
  <c r="AD104" i="10"/>
  <c r="AH104" i="10" s="1"/>
  <c r="AD105" i="10"/>
  <c r="AH105" i="10" s="1"/>
  <c r="AD106" i="10"/>
  <c r="AH106" i="10" s="1"/>
  <c r="AD107" i="10"/>
  <c r="AE107" i="10" s="1"/>
  <c r="AD108" i="10"/>
  <c r="AE108" i="10" s="1"/>
  <c r="AD109" i="10"/>
  <c r="AE109" i="10" s="1"/>
  <c r="AD110" i="10"/>
  <c r="AH110" i="10" s="1"/>
  <c r="AD111" i="10"/>
  <c r="AE111" i="10" s="1"/>
  <c r="AD112" i="10"/>
  <c r="AH112" i="10" s="1"/>
  <c r="AD113" i="10"/>
  <c r="AH113" i="10" s="1"/>
  <c r="AD114" i="10"/>
  <c r="AE114" i="10" s="1"/>
  <c r="AD115" i="10"/>
  <c r="AD116" i="10"/>
  <c r="AE116" i="10" s="1"/>
  <c r="AD117" i="10"/>
  <c r="AE117" i="10" s="1"/>
  <c r="AD118" i="10"/>
  <c r="AE118" i="10" s="1"/>
  <c r="AD119" i="10"/>
  <c r="AE119" i="10" s="1"/>
  <c r="AD120" i="10"/>
  <c r="AH120" i="10" s="1"/>
  <c r="AD121" i="10"/>
  <c r="AD122" i="10"/>
  <c r="AE122" i="10" s="1"/>
  <c r="AD123" i="10"/>
  <c r="AE123" i="10" s="1"/>
  <c r="AD124" i="10"/>
  <c r="AH124" i="10" s="1"/>
  <c r="AE99" i="10"/>
  <c r="AE115" i="10"/>
  <c r="AE110" i="10"/>
  <c r="AE105" i="10"/>
  <c r="AE104" i="10"/>
  <c r="AG98" i="10"/>
  <c r="AG108" i="10" s="1"/>
  <c r="AG118" i="10" s="1"/>
  <c r="AG97" i="10"/>
  <c r="AG107" i="10" s="1"/>
  <c r="AG117" i="10" s="1"/>
  <c r="AG96" i="10"/>
  <c r="AG106" i="10" s="1"/>
  <c r="AG116" i="10" s="1"/>
  <c r="AG95" i="10"/>
  <c r="AG105" i="10" s="1"/>
  <c r="AG115" i="10" s="1"/>
  <c r="AG94" i="10"/>
  <c r="AG104" i="10" s="1"/>
  <c r="AG114" i="10" s="1"/>
  <c r="AG93" i="10"/>
  <c r="AG103" i="10" s="1"/>
  <c r="AG113" i="10" s="1"/>
  <c r="AG123" i="10" s="1"/>
  <c r="AG92" i="10"/>
  <c r="AG102" i="10" s="1"/>
  <c r="AG112" i="10" s="1"/>
  <c r="AG122" i="10" s="1"/>
  <c r="AG91" i="10"/>
  <c r="AG101" i="10" s="1"/>
  <c r="AG111" i="10" s="1"/>
  <c r="AG121" i="10" s="1"/>
  <c r="AE91" i="10"/>
  <c r="AG90" i="10"/>
  <c r="AG100" i="10" s="1"/>
  <c r="AG110" i="10" s="1"/>
  <c r="AG120" i="10" s="1"/>
  <c r="AG89" i="10"/>
  <c r="AG99" i="10" s="1"/>
  <c r="AG109" i="10" s="1"/>
  <c r="AG119" i="10" s="1"/>
  <c r="AG124" i="10" s="1"/>
  <c r="AE80" i="10"/>
  <c r="AE78" i="10"/>
  <c r="F13" i="35" l="1"/>
  <c r="AI159" i="10"/>
  <c r="X43" i="32" s="1"/>
  <c r="AI151" i="10"/>
  <c r="X35" i="32" s="1"/>
  <c r="AI143" i="10"/>
  <c r="X27" i="32" s="1"/>
  <c r="AH277" i="10"/>
  <c r="AH115" i="10"/>
  <c r="AH99" i="10"/>
  <c r="AH91" i="10"/>
  <c r="AH224" i="10"/>
  <c r="AH216" i="10"/>
  <c r="AH200" i="10"/>
  <c r="AI200" i="10" s="1"/>
  <c r="Z31" i="32" s="1"/>
  <c r="AH192" i="10"/>
  <c r="AI192" i="10" s="1"/>
  <c r="Z23" i="32" s="1"/>
  <c r="AI254" i="10"/>
  <c r="AH279" i="10"/>
  <c r="AH271" i="10"/>
  <c r="AI271" i="10" s="1"/>
  <c r="AH263" i="10"/>
  <c r="AH255" i="10"/>
  <c r="AH247" i="10"/>
  <c r="AI247" i="10" s="1"/>
  <c r="AH239" i="10"/>
  <c r="AI239" i="10" s="1"/>
  <c r="AE88" i="10"/>
  <c r="AH97" i="10"/>
  <c r="AI97" i="10" s="1"/>
  <c r="V34" i="32" s="1"/>
  <c r="AE96" i="10"/>
  <c r="AE112" i="10"/>
  <c r="AH164" i="10"/>
  <c r="AI170" i="10"/>
  <c r="X54" i="32" s="1"/>
  <c r="AH236" i="10"/>
  <c r="AI236" i="10" s="1"/>
  <c r="AE120" i="10"/>
  <c r="AH94" i="10"/>
  <c r="AH78" i="10"/>
  <c r="AH267" i="10"/>
  <c r="AH250" i="10"/>
  <c r="AI250" i="10" s="1"/>
  <c r="AH116" i="10"/>
  <c r="AH84" i="10"/>
  <c r="AH176" i="10"/>
  <c r="AH168" i="10"/>
  <c r="AI168" i="10" s="1"/>
  <c r="X52" i="32" s="1"/>
  <c r="AH160" i="10"/>
  <c r="AH152" i="10"/>
  <c r="AH202" i="10"/>
  <c r="AH194" i="10"/>
  <c r="AI194" i="10" s="1"/>
  <c r="Z25" i="32" s="1"/>
  <c r="AH186" i="10"/>
  <c r="AI186" i="10" s="1"/>
  <c r="Z17" i="32" s="1"/>
  <c r="AI249" i="10"/>
  <c r="AH281" i="10"/>
  <c r="AI281" i="10" s="1"/>
  <c r="AH273" i="10"/>
  <c r="AH257" i="10"/>
  <c r="AI257" i="10" s="1"/>
  <c r="F16" i="35"/>
  <c r="AI267" i="10"/>
  <c r="AI224" i="10"/>
  <c r="Z55" i="32" s="1"/>
  <c r="AI259" i="10"/>
  <c r="AH123" i="10"/>
  <c r="AH171" i="10"/>
  <c r="AH173" i="10"/>
  <c r="AH165" i="10"/>
  <c r="AI165" i="10" s="1"/>
  <c r="X49" i="32" s="1"/>
  <c r="AH157" i="10"/>
  <c r="AI157" i="10" s="1"/>
  <c r="AH149" i="10"/>
  <c r="AI149" i="10" s="1"/>
  <c r="X33" i="32" s="1"/>
  <c r="AH141" i="10"/>
  <c r="AI141" i="10" s="1"/>
  <c r="X25" i="32" s="1"/>
  <c r="AH133" i="10"/>
  <c r="AI133" i="10" s="1"/>
  <c r="X17" i="32" s="1"/>
  <c r="AH223" i="10"/>
  <c r="AH248" i="10"/>
  <c r="AI248" i="10" s="1"/>
  <c r="AH240" i="10"/>
  <c r="AI240" i="10" s="1"/>
  <c r="AH114" i="10"/>
  <c r="AI114" i="10" s="1"/>
  <c r="V51" i="32" s="1"/>
  <c r="AH82" i="10"/>
  <c r="AI82" i="10" s="1"/>
  <c r="V19" i="32" s="1"/>
  <c r="AI255" i="10"/>
  <c r="AI106" i="10"/>
  <c r="V43" i="32" s="1"/>
  <c r="AH122" i="10"/>
  <c r="AH90" i="10"/>
  <c r="AI90" i="10" s="1"/>
  <c r="V27" i="32" s="1"/>
  <c r="AH140" i="10"/>
  <c r="AI140" i="10" s="1"/>
  <c r="X24" i="32" s="1"/>
  <c r="AH121" i="10"/>
  <c r="AI121" i="10" s="1"/>
  <c r="V58" i="32" s="1"/>
  <c r="AH89" i="10"/>
  <c r="AH81" i="10"/>
  <c r="AI81" i="10" s="1"/>
  <c r="V18" i="32" s="1"/>
  <c r="AH211" i="10"/>
  <c r="AI211" i="10" s="1"/>
  <c r="Z42" i="32" s="1"/>
  <c r="AH195" i="10"/>
  <c r="AI195" i="10" s="1"/>
  <c r="Z26" i="32" s="1"/>
  <c r="AE262" i="10"/>
  <c r="AE282" i="10"/>
  <c r="AH98" i="10"/>
  <c r="AI98" i="10" s="1"/>
  <c r="V35" i="32" s="1"/>
  <c r="AI263" i="10"/>
  <c r="AD8" i="10" s="1"/>
  <c r="F4" i="19" s="1"/>
  <c r="AE103" i="10"/>
  <c r="AI120" i="10"/>
  <c r="V57" i="32" s="1"/>
  <c r="AE172" i="10"/>
  <c r="AH128" i="10"/>
  <c r="AI128" i="10" s="1"/>
  <c r="X12" i="32" s="1"/>
  <c r="AE275" i="10"/>
  <c r="AH119" i="10"/>
  <c r="AH111" i="10"/>
  <c r="AH95" i="10"/>
  <c r="AI95" i="10" s="1"/>
  <c r="V32" i="32" s="1"/>
  <c r="AH87" i="10"/>
  <c r="AI87" i="10" s="1"/>
  <c r="V24" i="32" s="1"/>
  <c r="AH79" i="10"/>
  <c r="AI79" i="10" s="1"/>
  <c r="V16" i="32" s="1"/>
  <c r="AI274" i="10"/>
  <c r="AI277" i="10"/>
  <c r="AI167" i="10"/>
  <c r="X51" i="32" s="1"/>
  <c r="AI201" i="10"/>
  <c r="Z32" i="32" s="1"/>
  <c r="AI204" i="10"/>
  <c r="Z35" i="32" s="1"/>
  <c r="AH251" i="10"/>
  <c r="AI251" i="10" s="1"/>
  <c r="AH234" i="10"/>
  <c r="AI234" i="10" s="1"/>
  <c r="AE242" i="10"/>
  <c r="AH245" i="10"/>
  <c r="AI245" i="10" s="1"/>
  <c r="AE251" i="10"/>
  <c r="AH253" i="10"/>
  <c r="AI253" i="10" s="1"/>
  <c r="AE258" i="10"/>
  <c r="AH260" i="10"/>
  <c r="AI260" i="10" s="1"/>
  <c r="AH266" i="10"/>
  <c r="AI266" i="10" s="1"/>
  <c r="AH269" i="10"/>
  <c r="AI269" i="10" s="1"/>
  <c r="AH272" i="10"/>
  <c r="AI272" i="10" s="1"/>
  <c r="AH261" i="10"/>
  <c r="AI261" i="10" s="1"/>
  <c r="AH276" i="10"/>
  <c r="AI276" i="10" s="1"/>
  <c r="AE283" i="10"/>
  <c r="AH235" i="10"/>
  <c r="AI235" i="10" s="1"/>
  <c r="AH256" i="10"/>
  <c r="AI256" i="10" s="1"/>
  <c r="AH264" i="10"/>
  <c r="AI264" i="10" s="1"/>
  <c r="AE274" i="10"/>
  <c r="AH280" i="10"/>
  <c r="AI280" i="10" s="1"/>
  <c r="AE234" i="10"/>
  <c r="AI275" i="10"/>
  <c r="AI278" i="10"/>
  <c r="AI273" i="10"/>
  <c r="AI262" i="10"/>
  <c r="AI270" i="10"/>
  <c r="AI279" i="10"/>
  <c r="AI282" i="10"/>
  <c r="AI258" i="10"/>
  <c r="AI283" i="10"/>
  <c r="AE240" i="10"/>
  <c r="AH241" i="10"/>
  <c r="AI241" i="10" s="1"/>
  <c r="AI104" i="10"/>
  <c r="AH102" i="10"/>
  <c r="AI102" i="10" s="1"/>
  <c r="V39" i="32" s="1"/>
  <c r="AH92" i="10"/>
  <c r="AI92" i="10" s="1"/>
  <c r="V29" i="32" s="1"/>
  <c r="AH83" i="10"/>
  <c r="AI83" i="10" s="1"/>
  <c r="V20" i="32" s="1"/>
  <c r="AH156" i="10"/>
  <c r="AE124" i="10"/>
  <c r="AH100" i="10"/>
  <c r="AI100" i="10" s="1"/>
  <c r="V37" i="32" s="1"/>
  <c r="AH117" i="10"/>
  <c r="AI117" i="10" s="1"/>
  <c r="V54" i="32" s="1"/>
  <c r="AH109" i="10"/>
  <c r="AH101" i="10"/>
  <c r="AI101" i="10" s="1"/>
  <c r="V38" i="32" s="1"/>
  <c r="AH93" i="10"/>
  <c r="AI93" i="10" s="1"/>
  <c r="V30" i="32" s="1"/>
  <c r="AH85" i="10"/>
  <c r="AI85" i="10" s="1"/>
  <c r="V22" i="32" s="1"/>
  <c r="AH77" i="10"/>
  <c r="AI77" i="10" s="1"/>
  <c r="V14" i="32" s="1"/>
  <c r="AH148" i="10"/>
  <c r="AI148" i="10" s="1"/>
  <c r="X32" i="32" s="1"/>
  <c r="AE138" i="10"/>
  <c r="AH163" i="10"/>
  <c r="AH147" i="10"/>
  <c r="AI147" i="10" s="1"/>
  <c r="X31" i="32" s="1"/>
  <c r="AH139" i="10"/>
  <c r="AI139" i="10" s="1"/>
  <c r="X23" i="32" s="1"/>
  <c r="AH131" i="10"/>
  <c r="AI131" i="10" s="1"/>
  <c r="X15" i="32" s="1"/>
  <c r="AI196" i="10"/>
  <c r="Z27" i="32" s="1"/>
  <c r="AE211" i="10"/>
  <c r="AH227" i="10"/>
  <c r="AH219" i="10"/>
  <c r="AI219" i="10" s="1"/>
  <c r="Z50" i="32" s="1"/>
  <c r="AH203" i="10"/>
  <c r="AI203" i="10" s="1"/>
  <c r="Z34" i="32" s="1"/>
  <c r="AH187" i="10"/>
  <c r="AI187" i="10" s="1"/>
  <c r="Z18" i="32" s="1"/>
  <c r="AE106" i="10"/>
  <c r="AH108" i="10"/>
  <c r="AI108" i="10" s="1"/>
  <c r="V45" i="32" s="1"/>
  <c r="AH154" i="10"/>
  <c r="AI154" i="10" s="1"/>
  <c r="X38" i="32" s="1"/>
  <c r="AH146" i="10"/>
  <c r="AI146" i="10" s="1"/>
  <c r="X30" i="32" s="1"/>
  <c r="AH130" i="10"/>
  <c r="AI130" i="10" s="1"/>
  <c r="X14" i="32" s="1"/>
  <c r="AI94" i="10"/>
  <c r="V31" i="32" s="1"/>
  <c r="AH118" i="10"/>
  <c r="AH107" i="10"/>
  <c r="AE195" i="10"/>
  <c r="AH86" i="10"/>
  <c r="AH76" i="10"/>
  <c r="AI76" i="10" s="1"/>
  <c r="V13" i="32" s="1"/>
  <c r="AH174" i="10"/>
  <c r="AI202" i="10"/>
  <c r="Z33" i="32" s="1"/>
  <c r="AI209" i="10"/>
  <c r="Z40" i="32" s="1"/>
  <c r="AH222" i="10"/>
  <c r="AH214" i="10"/>
  <c r="AH206" i="10"/>
  <c r="AI206" i="10" s="1"/>
  <c r="Z37" i="32" s="1"/>
  <c r="AH198" i="10"/>
  <c r="AI198" i="10" s="1"/>
  <c r="Z29" i="32" s="1"/>
  <c r="AH190" i="10"/>
  <c r="AI190" i="10" s="1"/>
  <c r="Z21" i="32" s="1"/>
  <c r="AH182" i="10"/>
  <c r="AI182" i="10" s="1"/>
  <c r="Z13" i="32" s="1"/>
  <c r="AH230" i="10"/>
  <c r="AI230" i="10" s="1"/>
  <c r="Z61" i="32" s="1"/>
  <c r="AH189" i="10"/>
  <c r="AI189" i="10" s="1"/>
  <c r="Z20" i="32" s="1"/>
  <c r="AH183" i="10"/>
  <c r="AI183" i="10" s="1"/>
  <c r="Z14" i="32" s="1"/>
  <c r="AH221" i="10"/>
  <c r="AI221" i="10" s="1"/>
  <c r="Z52" i="32" s="1"/>
  <c r="AH199" i="10"/>
  <c r="AI199" i="10" s="1"/>
  <c r="Z30" i="32" s="1"/>
  <c r="AH207" i="10"/>
  <c r="AI207" i="10" s="1"/>
  <c r="Z38" i="32" s="1"/>
  <c r="AH184" i="10"/>
  <c r="AI184" i="10" s="1"/>
  <c r="Z15" i="32" s="1"/>
  <c r="AH197" i="10"/>
  <c r="AI197" i="10" s="1"/>
  <c r="Z28" i="32" s="1"/>
  <c r="AH229" i="10"/>
  <c r="AI229" i="10" s="1"/>
  <c r="Z60" i="32" s="1"/>
  <c r="AH191" i="10"/>
  <c r="AI191" i="10" s="1"/>
  <c r="Z22" i="32" s="1"/>
  <c r="AH208" i="10"/>
  <c r="AI208" i="10" s="1"/>
  <c r="Z39" i="32" s="1"/>
  <c r="AH215" i="10"/>
  <c r="AI215" i="10" s="1"/>
  <c r="Z46" i="32" s="1"/>
  <c r="AH205" i="10"/>
  <c r="AI205" i="10" s="1"/>
  <c r="Z36" i="32" s="1"/>
  <c r="AH213" i="10"/>
  <c r="AI213" i="10" s="1"/>
  <c r="Z44" i="32" s="1"/>
  <c r="AI216" i="10"/>
  <c r="Z47" i="32" s="1"/>
  <c r="AI223" i="10"/>
  <c r="Z54" i="32" s="1"/>
  <c r="AI220" i="10"/>
  <c r="Z51" i="32" s="1"/>
  <c r="AI227" i="10"/>
  <c r="Z58" i="32" s="1"/>
  <c r="AI217" i="10"/>
  <c r="Z48" i="32" s="1"/>
  <c r="AI210" i="10"/>
  <c r="AI228" i="10"/>
  <c r="Z59" i="32" s="1"/>
  <c r="AI214" i="10"/>
  <c r="Z45" i="32" s="1"/>
  <c r="AI225" i="10"/>
  <c r="Z56" i="32" s="1"/>
  <c r="AI218" i="10"/>
  <c r="Z49" i="32" s="1"/>
  <c r="AI222" i="10"/>
  <c r="Z53" i="32" s="1"/>
  <c r="AI212" i="10"/>
  <c r="Z43" i="32" s="1"/>
  <c r="AI226" i="10"/>
  <c r="Z57" i="32" s="1"/>
  <c r="AE181" i="10"/>
  <c r="AE189" i="10"/>
  <c r="AE230" i="10"/>
  <c r="AH153" i="10"/>
  <c r="AI153" i="10" s="1"/>
  <c r="X37" i="32" s="1"/>
  <c r="AH166" i="10"/>
  <c r="AI166" i="10" s="1"/>
  <c r="X50" i="32" s="1"/>
  <c r="AH158" i="10"/>
  <c r="AI158" i="10" s="1"/>
  <c r="X42" i="32" s="1"/>
  <c r="AH150" i="10"/>
  <c r="AI150" i="10" s="1"/>
  <c r="X34" i="32" s="1"/>
  <c r="AH142" i="10"/>
  <c r="AI142" i="10" s="1"/>
  <c r="X26" i="32" s="1"/>
  <c r="AH134" i="10"/>
  <c r="AI134" i="10" s="1"/>
  <c r="X18" i="32" s="1"/>
  <c r="AH136" i="10"/>
  <c r="AI136" i="10" s="1"/>
  <c r="X20" i="32" s="1"/>
  <c r="AH161" i="10"/>
  <c r="AI161" i="10" s="1"/>
  <c r="X45" i="32" s="1"/>
  <c r="AH144" i="10"/>
  <c r="AI144" i="10" s="1"/>
  <c r="X28" i="32" s="1"/>
  <c r="AH129" i="10"/>
  <c r="AI129" i="10" s="1"/>
  <c r="X13" i="32" s="1"/>
  <c r="AH145" i="10"/>
  <c r="AI145" i="10" s="1"/>
  <c r="X29" i="32" s="1"/>
  <c r="AH137" i="10"/>
  <c r="AI137" i="10" s="1"/>
  <c r="X21" i="32" s="1"/>
  <c r="AH177" i="10"/>
  <c r="AI177" i="10" s="1"/>
  <c r="X61" i="32" s="1"/>
  <c r="AH169" i="10"/>
  <c r="AI169" i="10" s="1"/>
  <c r="X53" i="32" s="1"/>
  <c r="AI156" i="10"/>
  <c r="X40" i="32" s="1"/>
  <c r="AI174" i="10"/>
  <c r="X58" i="32" s="1"/>
  <c r="AI160" i="10"/>
  <c r="X44" i="32" s="1"/>
  <c r="AI171" i="10"/>
  <c r="X55" i="32" s="1"/>
  <c r="AI164" i="10"/>
  <c r="X48" i="32" s="1"/>
  <c r="AI175" i="10"/>
  <c r="X59" i="32" s="1"/>
  <c r="AI172" i="10"/>
  <c r="X56" i="32" s="1"/>
  <c r="AI155" i="10"/>
  <c r="X39" i="32" s="1"/>
  <c r="AI162" i="10"/>
  <c r="X46" i="32" s="1"/>
  <c r="AI173" i="10"/>
  <c r="X57" i="32" s="1"/>
  <c r="AI176" i="10"/>
  <c r="X60" i="32" s="1"/>
  <c r="AI152" i="10"/>
  <c r="X36" i="32" s="1"/>
  <c r="AI163" i="10"/>
  <c r="X47" i="32" s="1"/>
  <c r="AE128" i="10"/>
  <c r="AI89" i="10"/>
  <c r="V26" i="32" s="1"/>
  <c r="AE89" i="10"/>
  <c r="AE121" i="10"/>
  <c r="AE94" i="10"/>
  <c r="AI110" i="10"/>
  <c r="V47" i="32" s="1"/>
  <c r="AI86" i="10"/>
  <c r="V23" i="32" s="1"/>
  <c r="AI78" i="10"/>
  <c r="V15" i="32" s="1"/>
  <c r="AE113" i="10"/>
  <c r="AI124" i="10"/>
  <c r="V61" i="32" s="1"/>
  <c r="AI84" i="10"/>
  <c r="V21" i="32" s="1"/>
  <c r="AH75" i="10"/>
  <c r="AI75" i="10" s="1"/>
  <c r="V12" i="32" s="1"/>
  <c r="AI105" i="10"/>
  <c r="V42" i="32" s="1"/>
  <c r="AI118" i="10"/>
  <c r="V55" i="32" s="1"/>
  <c r="AI122" i="10"/>
  <c r="V59" i="32" s="1"/>
  <c r="AI112" i="10"/>
  <c r="V49" i="32" s="1"/>
  <c r="AI109" i="10"/>
  <c r="V46" i="32" s="1"/>
  <c r="AI116" i="10"/>
  <c r="V53" i="32" s="1"/>
  <c r="AI113" i="10"/>
  <c r="V50" i="32" s="1"/>
  <c r="AI91" i="10"/>
  <c r="V28" i="32" s="1"/>
  <c r="AI107" i="10"/>
  <c r="V44" i="32" s="1"/>
  <c r="AI103" i="10"/>
  <c r="V40" i="32" s="1"/>
  <c r="AI111" i="10"/>
  <c r="V48" i="32" s="1"/>
  <c r="AI115" i="10"/>
  <c r="V52" i="32" s="1"/>
  <c r="AI119" i="10"/>
  <c r="V56" i="32" s="1"/>
  <c r="AI123" i="10"/>
  <c r="V60" i="32" s="1"/>
  <c r="AE81" i="10"/>
  <c r="AI99" i="10"/>
  <c r="V36" i="32" s="1"/>
  <c r="AE77" i="10"/>
  <c r="AE85" i="10"/>
  <c r="AF70" i="10"/>
  <c r="AD70" i="10"/>
  <c r="AE70" i="10" s="1"/>
  <c r="AF69" i="10"/>
  <c r="AH69" i="10" s="1"/>
  <c r="AD69" i="10"/>
  <c r="AE69" i="10" s="1"/>
  <c r="AF68" i="10"/>
  <c r="AD68" i="10"/>
  <c r="AE68" i="10" s="1"/>
  <c r="AF67" i="10"/>
  <c r="AD67" i="10"/>
  <c r="AE67" i="10" s="1"/>
  <c r="AF66" i="10"/>
  <c r="AD66" i="10"/>
  <c r="AE66" i="10" s="1"/>
  <c r="AF65" i="10"/>
  <c r="AH65" i="10" s="1"/>
  <c r="AD65" i="10"/>
  <c r="AE65" i="10" s="1"/>
  <c r="AF64" i="10"/>
  <c r="AD64" i="10"/>
  <c r="AE64" i="10" s="1"/>
  <c r="AF63" i="10"/>
  <c r="AD63" i="10"/>
  <c r="AE63" i="10" s="1"/>
  <c r="AF62" i="10"/>
  <c r="AD62" i="10"/>
  <c r="AE62" i="10" s="1"/>
  <c r="AF61" i="10"/>
  <c r="AD61" i="10"/>
  <c r="AE61" i="10" s="1"/>
  <c r="AF60" i="10"/>
  <c r="AD60" i="10"/>
  <c r="AE60" i="10" s="1"/>
  <c r="AF59" i="10"/>
  <c r="AD59" i="10"/>
  <c r="AE59" i="10" s="1"/>
  <c r="AF58" i="10"/>
  <c r="AD58" i="10"/>
  <c r="AE58" i="10" s="1"/>
  <c r="AF57" i="10"/>
  <c r="AD57" i="10"/>
  <c r="AE57" i="10" s="1"/>
  <c r="AF56" i="10"/>
  <c r="AD56" i="10"/>
  <c r="AE56" i="10" s="1"/>
  <c r="AF55" i="10"/>
  <c r="AD55" i="10"/>
  <c r="AE55" i="10" s="1"/>
  <c r="AF54" i="10"/>
  <c r="AD54" i="10"/>
  <c r="AE54" i="10" s="1"/>
  <c r="AF53" i="10"/>
  <c r="AH53" i="10" s="1"/>
  <c r="AD53" i="10"/>
  <c r="AE53" i="10" s="1"/>
  <c r="AF52" i="10"/>
  <c r="AD52" i="10"/>
  <c r="AE52" i="10" s="1"/>
  <c r="AF51" i="10"/>
  <c r="AD51" i="10"/>
  <c r="AE51" i="10" s="1"/>
  <c r="AF50" i="10"/>
  <c r="AD50" i="10"/>
  <c r="AE50" i="10" s="1"/>
  <c r="AF49" i="10"/>
  <c r="AH49" i="10" s="1"/>
  <c r="AE49" i="10"/>
  <c r="AD49" i="10"/>
  <c r="AF48" i="10"/>
  <c r="AH48" i="10" s="1"/>
  <c r="AD48" i="10"/>
  <c r="AE48" i="10" s="1"/>
  <c r="AF47" i="10"/>
  <c r="AD47" i="10"/>
  <c r="AE47" i="10" s="1"/>
  <c r="AF46" i="10"/>
  <c r="AD46" i="10"/>
  <c r="AE46" i="10" s="1"/>
  <c r="AF45" i="10"/>
  <c r="AD45" i="10"/>
  <c r="AE45" i="10" s="1"/>
  <c r="AG44" i="10"/>
  <c r="AG54" i="10" s="1"/>
  <c r="AG64" i="10" s="1"/>
  <c r="AF44" i="10"/>
  <c r="AH44" i="10" s="1"/>
  <c r="AI44" i="10" s="1"/>
  <c r="T35" i="32" s="1"/>
  <c r="AD44" i="10"/>
  <c r="AE44" i="10" s="1"/>
  <c r="AG43" i="10"/>
  <c r="AG53" i="10" s="1"/>
  <c r="AG63" i="10" s="1"/>
  <c r="AF43" i="10"/>
  <c r="AH43" i="10" s="1"/>
  <c r="AD43" i="10"/>
  <c r="AE43" i="10" s="1"/>
  <c r="AG42" i="10"/>
  <c r="AG52" i="10" s="1"/>
  <c r="AG62" i="10" s="1"/>
  <c r="AF42" i="10"/>
  <c r="AD42" i="10"/>
  <c r="AE42" i="10" s="1"/>
  <c r="AG41" i="10"/>
  <c r="AG51" i="10" s="1"/>
  <c r="AG61" i="10" s="1"/>
  <c r="AF41" i="10"/>
  <c r="AD41" i="10"/>
  <c r="AE41" i="10" s="1"/>
  <c r="AG40" i="10"/>
  <c r="AG50" i="10" s="1"/>
  <c r="AG60" i="10" s="1"/>
  <c r="AF40" i="10"/>
  <c r="AD40" i="10"/>
  <c r="AE40" i="10" s="1"/>
  <c r="AG39" i="10"/>
  <c r="AG49" i="10" s="1"/>
  <c r="AG59" i="10" s="1"/>
  <c r="AG69" i="10" s="1"/>
  <c r="AF39" i="10"/>
  <c r="AD39" i="10"/>
  <c r="AE39" i="10" s="1"/>
  <c r="AG38" i="10"/>
  <c r="AG48" i="10" s="1"/>
  <c r="AG58" i="10" s="1"/>
  <c r="AG68" i="10" s="1"/>
  <c r="AF38" i="10"/>
  <c r="AD38" i="10"/>
  <c r="AE38" i="10" s="1"/>
  <c r="AG37" i="10"/>
  <c r="AG47" i="10" s="1"/>
  <c r="AG57" i="10" s="1"/>
  <c r="AG67" i="10" s="1"/>
  <c r="AF37" i="10"/>
  <c r="AD37" i="10"/>
  <c r="AE37" i="10" s="1"/>
  <c r="AG36" i="10"/>
  <c r="AG46" i="10" s="1"/>
  <c r="AG56" i="10" s="1"/>
  <c r="AG66" i="10" s="1"/>
  <c r="AF36" i="10"/>
  <c r="AD36" i="10"/>
  <c r="AE36" i="10" s="1"/>
  <c r="AG35" i="10"/>
  <c r="AG45" i="10" s="1"/>
  <c r="AG55" i="10" s="1"/>
  <c r="AG65" i="10" s="1"/>
  <c r="AG70" i="10" s="1"/>
  <c r="AF35" i="10"/>
  <c r="AD35" i="10"/>
  <c r="AE35" i="10" s="1"/>
  <c r="AF34" i="10"/>
  <c r="AD34" i="10"/>
  <c r="AE34" i="10" s="1"/>
  <c r="AF33" i="10"/>
  <c r="AD33" i="10"/>
  <c r="AE33" i="10" s="1"/>
  <c r="AF32" i="10"/>
  <c r="AD32" i="10"/>
  <c r="AE32" i="10" s="1"/>
  <c r="AF31" i="10"/>
  <c r="AH31" i="10" s="1"/>
  <c r="AI31" i="10" s="1"/>
  <c r="T22" i="32" s="1"/>
  <c r="AD31" i="10"/>
  <c r="AE31" i="10" s="1"/>
  <c r="AF30" i="10"/>
  <c r="AD30" i="10"/>
  <c r="AH30" i="10" s="1"/>
  <c r="AI30" i="10" s="1"/>
  <c r="T21" i="32" s="1"/>
  <c r="AF29" i="10"/>
  <c r="AH29" i="10" s="1"/>
  <c r="AI29" i="10" s="1"/>
  <c r="T20" i="32" s="1"/>
  <c r="AD29" i="10"/>
  <c r="AE29" i="10" s="1"/>
  <c r="AF28" i="10"/>
  <c r="AD28" i="10"/>
  <c r="AF27" i="10"/>
  <c r="AD27" i="10"/>
  <c r="AE27" i="10" s="1"/>
  <c r="AF26" i="10"/>
  <c r="AD26" i="10"/>
  <c r="AE26" i="10" s="1"/>
  <c r="AF25" i="10"/>
  <c r="AD25" i="10"/>
  <c r="AE25" i="10" s="1"/>
  <c r="AF24" i="10"/>
  <c r="AD24" i="10"/>
  <c r="AE24" i="10" s="1"/>
  <c r="AF23" i="10"/>
  <c r="AD23" i="10"/>
  <c r="AE23" i="10" s="1"/>
  <c r="AF22" i="10"/>
  <c r="AD22" i="10"/>
  <c r="AE22" i="10" s="1"/>
  <c r="AF21" i="10"/>
  <c r="AD21" i="10"/>
  <c r="AE21" i="10" s="1"/>
  <c r="AH60" i="10" l="1"/>
  <c r="AH40" i="10"/>
  <c r="AI40" i="10" s="1"/>
  <c r="T31" i="32" s="1"/>
  <c r="AI43" i="10"/>
  <c r="T34" i="32" s="1"/>
  <c r="AD6" i="10"/>
  <c r="D4" i="19" s="1"/>
  <c r="M22" i="40" s="1"/>
  <c r="X41" i="32"/>
  <c r="AD7" i="10"/>
  <c r="E4" i="19" s="1"/>
  <c r="Z41" i="32"/>
  <c r="AH50" i="10"/>
  <c r="AH54" i="10"/>
  <c r="AH58" i="10"/>
  <c r="AH62" i="10"/>
  <c r="AI62" i="10" s="1"/>
  <c r="T53" i="32" s="1"/>
  <c r="AH66" i="10"/>
  <c r="AH70" i="10"/>
  <c r="AD5" i="10"/>
  <c r="C4" i="19" s="1"/>
  <c r="V41" i="32"/>
  <c r="AH39" i="10"/>
  <c r="AH55" i="10"/>
  <c r="AH26" i="10"/>
  <c r="AI26" i="10" s="1"/>
  <c r="T17" i="32" s="1"/>
  <c r="AE30" i="10"/>
  <c r="AH56" i="10"/>
  <c r="AH36" i="10"/>
  <c r="AI36" i="10" s="1"/>
  <c r="T27" i="32" s="1"/>
  <c r="AH34" i="10"/>
  <c r="AI34" i="10" s="1"/>
  <c r="T25" i="32" s="1"/>
  <c r="AH47" i="10"/>
  <c r="AI47" i="10" s="1"/>
  <c r="T38" i="32" s="1"/>
  <c r="AH68" i="10"/>
  <c r="AH23" i="10"/>
  <c r="AI23" i="10" s="1"/>
  <c r="T14" i="32" s="1"/>
  <c r="AH28" i="10"/>
  <c r="AI28" i="10" s="1"/>
  <c r="T19" i="32" s="1"/>
  <c r="AH37" i="10"/>
  <c r="AI37" i="10" s="1"/>
  <c r="T28" i="32" s="1"/>
  <c r="AH42" i="10"/>
  <c r="AI42" i="10" s="1"/>
  <c r="T33" i="32" s="1"/>
  <c r="AI54" i="10"/>
  <c r="T45" i="32" s="1"/>
  <c r="AH57" i="10"/>
  <c r="AI57" i="10" s="1"/>
  <c r="T48" i="32" s="1"/>
  <c r="AH63" i="10"/>
  <c r="AI63" i="10" s="1"/>
  <c r="T54" i="32" s="1"/>
  <c r="AH22" i="10"/>
  <c r="AI22" i="10" s="1"/>
  <c r="T13" i="32" s="1"/>
  <c r="AH51" i="10"/>
  <c r="AI51" i="10" s="1"/>
  <c r="T42" i="32" s="1"/>
  <c r="AH46" i="10"/>
  <c r="AI46" i="10" s="1"/>
  <c r="T37" i="32" s="1"/>
  <c r="AH45" i="10"/>
  <c r="AH25" i="10"/>
  <c r="AI25" i="10" s="1"/>
  <c r="T16" i="32" s="1"/>
  <c r="AH35" i="10"/>
  <c r="AI35" i="10" s="1"/>
  <c r="T26" i="32" s="1"/>
  <c r="AH52" i="10"/>
  <c r="AI52" i="10" s="1"/>
  <c r="T43" i="32" s="1"/>
  <c r="AH64" i="10"/>
  <c r="AH67" i="10"/>
  <c r="AH61" i="10"/>
  <c r="AI61" i="10" s="1"/>
  <c r="T52" i="32" s="1"/>
  <c r="AH32" i="10"/>
  <c r="AI32" i="10" s="1"/>
  <c r="T23" i="32" s="1"/>
  <c r="AI45" i="10"/>
  <c r="T36" i="32" s="1"/>
  <c r="AI53" i="10"/>
  <c r="T44" i="32" s="1"/>
  <c r="AH27" i="10"/>
  <c r="AI27" i="10" s="1"/>
  <c r="T18" i="32" s="1"/>
  <c r="AH33" i="10"/>
  <c r="AI33" i="10" s="1"/>
  <c r="T24" i="32" s="1"/>
  <c r="AH38" i="10"/>
  <c r="AI38" i="10" s="1"/>
  <c r="T29" i="32" s="1"/>
  <c r="AI48" i="10"/>
  <c r="T39" i="32" s="1"/>
  <c r="AI50" i="10"/>
  <c r="AH59" i="10"/>
  <c r="AI59" i="10" s="1"/>
  <c r="T50" i="32" s="1"/>
  <c r="AH21" i="10"/>
  <c r="AI21" i="10" s="1"/>
  <c r="T12" i="32" s="1"/>
  <c r="AH41" i="10"/>
  <c r="AI41" i="10" s="1"/>
  <c r="T32" i="32" s="1"/>
  <c r="AI49" i="10"/>
  <c r="T40" i="32" s="1"/>
  <c r="AH24" i="10"/>
  <c r="AI24" i="10" s="1"/>
  <c r="T15" i="32" s="1"/>
  <c r="AI39" i="10"/>
  <c r="T30" i="32" s="1"/>
  <c r="AI55" i="10"/>
  <c r="T46" i="32" s="1"/>
  <c r="AI58" i="10"/>
  <c r="T49" i="32" s="1"/>
  <c r="AI68" i="10"/>
  <c r="T59" i="32" s="1"/>
  <c r="AI65" i="10"/>
  <c r="T56" i="32" s="1"/>
  <c r="AI56" i="10"/>
  <c r="T47" i="32" s="1"/>
  <c r="AI69" i="10"/>
  <c r="T60" i="32" s="1"/>
  <c r="AI60" i="10"/>
  <c r="T51" i="32" s="1"/>
  <c r="AI66" i="10"/>
  <c r="T57" i="32" s="1"/>
  <c r="AI64" i="10"/>
  <c r="T55" i="32" s="1"/>
  <c r="AI67" i="10"/>
  <c r="T58" i="32" s="1"/>
  <c r="AI70" i="10"/>
  <c r="T61" i="32" s="1"/>
  <c r="AE28" i="10"/>
  <c r="AY42" i="10"/>
  <c r="AY41" i="10"/>
  <c r="AY40" i="10"/>
  <c r="AY39" i="10"/>
  <c r="AY38" i="10"/>
  <c r="AY37" i="10"/>
  <c r="AY36" i="10"/>
  <c r="AY35" i="10"/>
  <c r="AY34" i="10"/>
  <c r="AY33" i="10"/>
  <c r="AY32" i="10"/>
  <c r="AY31" i="10"/>
  <c r="AY30" i="10"/>
  <c r="AY29" i="10"/>
  <c r="AY28" i="10"/>
  <c r="AY27" i="10"/>
  <c r="AY26" i="10"/>
  <c r="AY25" i="10"/>
  <c r="AY24" i="10"/>
  <c r="AY23" i="10"/>
  <c r="AY22" i="10"/>
  <c r="AY21" i="10"/>
  <c r="U32" i="10"/>
  <c r="U31" i="10"/>
  <c r="O50" i="32"/>
  <c r="O51" i="32"/>
  <c r="O52" i="32"/>
  <c r="O53" i="32"/>
  <c r="O54" i="32"/>
  <c r="O55" i="32"/>
  <c r="O56" i="32"/>
  <c r="O57" i="32"/>
  <c r="O58" i="32"/>
  <c r="O59" i="32"/>
  <c r="O60" i="32"/>
  <c r="O61" i="32"/>
  <c r="O62" i="32"/>
  <c r="O63" i="32"/>
  <c r="O64" i="32"/>
  <c r="O65" i="32"/>
  <c r="O66" i="32"/>
  <c r="O67" i="32"/>
  <c r="O68" i="32"/>
  <c r="O69" i="32"/>
  <c r="O70" i="32"/>
  <c r="O71" i="32"/>
  <c r="O72" i="32"/>
  <c r="O73" i="32"/>
  <c r="O74" i="32"/>
  <c r="O75" i="32"/>
  <c r="O76" i="32"/>
  <c r="O77" i="32"/>
  <c r="O78" i="32"/>
  <c r="O79" i="32"/>
  <c r="O80" i="32"/>
  <c r="O81" i="32"/>
  <c r="O82" i="32"/>
  <c r="O83" i="32"/>
  <c r="O84" i="32"/>
  <c r="O85" i="32"/>
  <c r="O86" i="32"/>
  <c r="O87" i="32"/>
  <c r="O88" i="32"/>
  <c r="O89" i="32"/>
  <c r="O90" i="32"/>
  <c r="O91" i="32"/>
  <c r="O92" i="32"/>
  <c r="O93" i="32"/>
  <c r="O94" i="32"/>
  <c r="O95" i="32"/>
  <c r="O96" i="32"/>
  <c r="O97" i="32"/>
  <c r="O98" i="32"/>
  <c r="O99" i="32"/>
  <c r="O100" i="32"/>
  <c r="O101" i="32"/>
  <c r="O102" i="32"/>
  <c r="O103" i="32"/>
  <c r="O104" i="32"/>
  <c r="O105" i="32"/>
  <c r="O106" i="32"/>
  <c r="O107" i="32"/>
  <c r="O108" i="32"/>
  <c r="O109" i="32"/>
  <c r="O110" i="32"/>
  <c r="O111" i="32"/>
  <c r="O112" i="32"/>
  <c r="O113" i="32"/>
  <c r="O114" i="32"/>
  <c r="O115" i="32"/>
  <c r="O116" i="32"/>
  <c r="O117" i="32"/>
  <c r="O118" i="32"/>
  <c r="O119" i="32"/>
  <c r="O120" i="32"/>
  <c r="O121" i="32"/>
  <c r="O122" i="32"/>
  <c r="O123" i="32"/>
  <c r="O124" i="32"/>
  <c r="O125" i="32"/>
  <c r="O126" i="32"/>
  <c r="O127" i="32"/>
  <c r="O128" i="32"/>
  <c r="O129" i="32"/>
  <c r="O130" i="32"/>
  <c r="O131" i="32"/>
  <c r="O132" i="32"/>
  <c r="O133" i="32"/>
  <c r="O134" i="32"/>
  <c r="O135" i="32"/>
  <c r="O136" i="32"/>
  <c r="O137" i="32"/>
  <c r="O138" i="32"/>
  <c r="O139" i="32"/>
  <c r="O140" i="32"/>
  <c r="O141" i="32"/>
  <c r="O142" i="32"/>
  <c r="O143" i="32"/>
  <c r="O144" i="32"/>
  <c r="O145" i="32"/>
  <c r="O146" i="32"/>
  <c r="O147" i="32"/>
  <c r="O148" i="32"/>
  <c r="O149" i="32"/>
  <c r="O150" i="32"/>
  <c r="O151" i="32"/>
  <c r="O152" i="32"/>
  <c r="O153" i="32"/>
  <c r="O154" i="32"/>
  <c r="O155" i="32"/>
  <c r="O156" i="32"/>
  <c r="O157" i="32"/>
  <c r="O158" i="32"/>
  <c r="O159" i="32"/>
  <c r="O160" i="32"/>
  <c r="O161" i="32"/>
  <c r="O162" i="32"/>
  <c r="O163" i="32"/>
  <c r="O164" i="32"/>
  <c r="O165" i="32"/>
  <c r="O166" i="32"/>
  <c r="O167" i="32"/>
  <c r="O168" i="32"/>
  <c r="O169" i="32"/>
  <c r="O170" i="32"/>
  <c r="O171" i="32"/>
  <c r="O172" i="32"/>
  <c r="O173" i="32"/>
  <c r="O174" i="32"/>
  <c r="O175" i="32"/>
  <c r="O176" i="32"/>
  <c r="O177" i="32"/>
  <c r="O178" i="32"/>
  <c r="O179" i="32"/>
  <c r="O180" i="32"/>
  <c r="O181" i="32"/>
  <c r="O182" i="32"/>
  <c r="O183" i="32"/>
  <c r="O184" i="32"/>
  <c r="O185" i="32"/>
  <c r="O186" i="32"/>
  <c r="O187" i="32"/>
  <c r="O188" i="32"/>
  <c r="O189" i="32"/>
  <c r="O190" i="32"/>
  <c r="O191" i="32"/>
  <c r="O192" i="32"/>
  <c r="O193" i="32"/>
  <c r="O194" i="32"/>
  <c r="O195" i="32"/>
  <c r="O196" i="32"/>
  <c r="O197" i="32"/>
  <c r="O198" i="32"/>
  <c r="O199" i="32"/>
  <c r="O200" i="32"/>
  <c r="O201" i="32"/>
  <c r="O202" i="32"/>
  <c r="O203" i="32"/>
  <c r="O204" i="32"/>
  <c r="O205" i="32"/>
  <c r="O206" i="32"/>
  <c r="O207" i="32"/>
  <c r="O208" i="32"/>
  <c r="O209" i="32"/>
  <c r="O210" i="32"/>
  <c r="O211" i="32"/>
  <c r="O212" i="32"/>
  <c r="O213" i="32"/>
  <c r="O214" i="32"/>
  <c r="O215" i="32"/>
  <c r="O216" i="32"/>
  <c r="O217" i="32"/>
  <c r="O218" i="32"/>
  <c r="O219" i="32"/>
  <c r="O220" i="32"/>
  <c r="O221" i="32"/>
  <c r="O222" i="32"/>
  <c r="O223" i="32"/>
  <c r="O224" i="32"/>
  <c r="O225" i="32"/>
  <c r="O226" i="32"/>
  <c r="O227" i="32"/>
  <c r="O228" i="32"/>
  <c r="O229" i="32"/>
  <c r="O230" i="32"/>
  <c r="O231" i="32"/>
  <c r="O232" i="32"/>
  <c r="O233" i="32"/>
  <c r="O234" i="32"/>
  <c r="O235" i="32"/>
  <c r="O236" i="32"/>
  <c r="O237" i="32"/>
  <c r="O238" i="32"/>
  <c r="O49" i="32"/>
  <c r="Q13" i="32"/>
  <c r="Q14" i="32"/>
  <c r="Q15" i="32"/>
  <c r="Q16" i="32"/>
  <c r="Q17" i="32"/>
  <c r="Q18" i="32"/>
  <c r="Q19" i="32"/>
  <c r="Q20" i="32"/>
  <c r="Q21" i="32"/>
  <c r="Q22" i="32"/>
  <c r="Q23" i="32"/>
  <c r="Q12" i="32"/>
  <c r="P13" i="32"/>
  <c r="P14" i="32"/>
  <c r="P15" i="32"/>
  <c r="P16" i="32"/>
  <c r="P17" i="32"/>
  <c r="P18" i="32"/>
  <c r="P19" i="32"/>
  <c r="P20" i="32"/>
  <c r="P21" i="32"/>
  <c r="P22" i="32"/>
  <c r="P23" i="32"/>
  <c r="P12" i="32"/>
  <c r="M50" i="32"/>
  <c r="M51" i="32"/>
  <c r="M52" i="32"/>
  <c r="M53" i="32"/>
  <c r="M54" i="32"/>
  <c r="M55" i="32"/>
  <c r="M56" i="32"/>
  <c r="M57" i="32"/>
  <c r="M58" i="32"/>
  <c r="M59" i="32"/>
  <c r="M60" i="32"/>
  <c r="M61" i="32"/>
  <c r="M62" i="32"/>
  <c r="M63" i="32"/>
  <c r="M64" i="32"/>
  <c r="M65" i="32"/>
  <c r="M66" i="32"/>
  <c r="M67" i="32"/>
  <c r="M68" i="32"/>
  <c r="M69" i="32"/>
  <c r="M70" i="32"/>
  <c r="M71" i="32"/>
  <c r="M72" i="32"/>
  <c r="M73" i="32"/>
  <c r="M74" i="32"/>
  <c r="M75" i="32"/>
  <c r="M76" i="32"/>
  <c r="M77" i="32"/>
  <c r="M78" i="32"/>
  <c r="M79" i="32"/>
  <c r="M80" i="32"/>
  <c r="M81" i="32"/>
  <c r="M82" i="32"/>
  <c r="M83" i="32"/>
  <c r="M84" i="32"/>
  <c r="M85" i="32"/>
  <c r="M86" i="32"/>
  <c r="M87" i="32"/>
  <c r="M88" i="32"/>
  <c r="M89" i="32"/>
  <c r="M90" i="32"/>
  <c r="M91" i="32"/>
  <c r="M92" i="32"/>
  <c r="M93" i="32"/>
  <c r="M94" i="32"/>
  <c r="M95" i="32"/>
  <c r="M96" i="32"/>
  <c r="M97" i="32"/>
  <c r="M98" i="32"/>
  <c r="M99" i="32"/>
  <c r="M100" i="32"/>
  <c r="M101" i="32"/>
  <c r="M102" i="32"/>
  <c r="M103" i="32"/>
  <c r="M104" i="32"/>
  <c r="M105" i="32"/>
  <c r="M106" i="32"/>
  <c r="M107" i="32"/>
  <c r="M108" i="32"/>
  <c r="M109" i="32"/>
  <c r="M110" i="32"/>
  <c r="M111" i="32"/>
  <c r="M112" i="32"/>
  <c r="M113" i="32"/>
  <c r="M114" i="32"/>
  <c r="M115" i="32"/>
  <c r="M116" i="32"/>
  <c r="M117" i="32"/>
  <c r="M118" i="32"/>
  <c r="M119" i="32"/>
  <c r="M120" i="32"/>
  <c r="M121" i="32"/>
  <c r="M122" i="32"/>
  <c r="M123" i="32"/>
  <c r="M124" i="32"/>
  <c r="M125" i="32"/>
  <c r="M126" i="32"/>
  <c r="M127" i="32"/>
  <c r="M128" i="32"/>
  <c r="M129" i="32"/>
  <c r="M130" i="32"/>
  <c r="M131" i="32"/>
  <c r="M132" i="32"/>
  <c r="M133" i="32"/>
  <c r="M134" i="32"/>
  <c r="M135" i="32"/>
  <c r="M136" i="32"/>
  <c r="M137" i="32"/>
  <c r="M138" i="32"/>
  <c r="M139" i="32"/>
  <c r="M140" i="32"/>
  <c r="M141" i="32"/>
  <c r="M142" i="32"/>
  <c r="M143" i="32"/>
  <c r="M144" i="32"/>
  <c r="M145" i="32"/>
  <c r="M146" i="32"/>
  <c r="M147" i="32"/>
  <c r="M148" i="32"/>
  <c r="M149" i="32"/>
  <c r="M150" i="32"/>
  <c r="M151" i="32"/>
  <c r="M152" i="32"/>
  <c r="M153" i="32"/>
  <c r="M154" i="32"/>
  <c r="M155" i="32"/>
  <c r="M156" i="32"/>
  <c r="M157" i="32"/>
  <c r="M158" i="32"/>
  <c r="M159" i="32"/>
  <c r="M160" i="32"/>
  <c r="M161" i="32"/>
  <c r="M162" i="32"/>
  <c r="M163" i="32"/>
  <c r="M164" i="32"/>
  <c r="M165" i="32"/>
  <c r="M166" i="32"/>
  <c r="M167" i="32"/>
  <c r="M168" i="32"/>
  <c r="M169" i="32"/>
  <c r="M170" i="32"/>
  <c r="M171" i="32"/>
  <c r="M172" i="32"/>
  <c r="M173" i="32"/>
  <c r="M174" i="32"/>
  <c r="M175" i="32"/>
  <c r="M176" i="32"/>
  <c r="M177" i="32"/>
  <c r="M178" i="32"/>
  <c r="M179" i="32"/>
  <c r="M180" i="32"/>
  <c r="M181" i="32"/>
  <c r="M182" i="32"/>
  <c r="M183" i="32"/>
  <c r="M184" i="32"/>
  <c r="M185" i="32"/>
  <c r="M186" i="32"/>
  <c r="M187" i="32"/>
  <c r="M188" i="32"/>
  <c r="M189" i="32"/>
  <c r="M190" i="32"/>
  <c r="M191" i="32"/>
  <c r="M192" i="32"/>
  <c r="M193" i="32"/>
  <c r="M194" i="32"/>
  <c r="M195" i="32"/>
  <c r="M196" i="32"/>
  <c r="M197" i="32"/>
  <c r="M198" i="32"/>
  <c r="M199" i="32"/>
  <c r="M200" i="32"/>
  <c r="M201" i="32"/>
  <c r="M202" i="32"/>
  <c r="M203" i="32"/>
  <c r="M204" i="32"/>
  <c r="M205" i="32"/>
  <c r="M206" i="32"/>
  <c r="M207" i="32"/>
  <c r="M208" i="32"/>
  <c r="M209" i="32"/>
  <c r="M210" i="32"/>
  <c r="M211" i="32"/>
  <c r="M212" i="32"/>
  <c r="M213" i="32"/>
  <c r="M214" i="32"/>
  <c r="M215" i="32"/>
  <c r="M216" i="32"/>
  <c r="M217" i="32"/>
  <c r="M218" i="32"/>
  <c r="M219" i="32"/>
  <c r="M220" i="32"/>
  <c r="M221" i="32"/>
  <c r="M222" i="32"/>
  <c r="M223" i="32"/>
  <c r="M224" i="32"/>
  <c r="M225" i="32"/>
  <c r="M226" i="32"/>
  <c r="M227" i="32"/>
  <c r="M228" i="32"/>
  <c r="M49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12" i="32"/>
  <c r="M13" i="32"/>
  <c r="M14" i="32"/>
  <c r="M15" i="32"/>
  <c r="M16" i="32"/>
  <c r="M17" i="32"/>
  <c r="M18" i="32"/>
  <c r="M19" i="32"/>
  <c r="M20" i="32"/>
  <c r="M21" i="32"/>
  <c r="M22" i="32"/>
  <c r="M23" i="32"/>
  <c r="M24" i="32"/>
  <c r="M25" i="32"/>
  <c r="M12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49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12" i="32"/>
  <c r="H22" i="37" l="1"/>
  <c r="H22" i="14"/>
  <c r="AD4" i="10"/>
  <c r="B4" i="19" s="1"/>
  <c r="T41" i="32"/>
  <c r="U33" i="10"/>
  <c r="U34" i="10" s="1"/>
  <c r="U25" i="10"/>
  <c r="U26" i="10" s="1"/>
  <c r="U24" i="10"/>
  <c r="U18" i="10"/>
  <c r="U19" i="10" s="1"/>
  <c r="U17" i="10"/>
  <c r="U27" i="10" l="1"/>
  <c r="C2" i="19"/>
  <c r="T5" i="10"/>
  <c r="D2" i="19"/>
  <c r="T6" i="10"/>
  <c r="U20" i="10"/>
  <c r="B2" i="19" l="1"/>
  <c r="T4" i="10"/>
  <c r="M28" i="34" l="1"/>
  <c r="M27" i="34"/>
  <c r="C83" i="34"/>
  <c r="C94" i="34" s="1"/>
  <c r="D75" i="34"/>
  <c r="C79" i="34"/>
  <c r="D76" i="34" s="1"/>
  <c r="L39" i="43"/>
  <c r="K39" i="43"/>
  <c r="K38" i="43"/>
  <c r="L38" i="43" s="1"/>
  <c r="K37" i="43"/>
  <c r="K36" i="43"/>
  <c r="K35" i="43"/>
  <c r="E35" i="43"/>
  <c r="K33" i="43"/>
  <c r="E33" i="43"/>
  <c r="E38" i="43"/>
  <c r="F38" i="43" s="1"/>
  <c r="E37" i="43"/>
  <c r="E36" i="43"/>
  <c r="F18" i="43"/>
  <c r="K34" i="43" s="1"/>
  <c r="H18" i="43"/>
  <c r="F17" i="43"/>
  <c r="F16" i="43"/>
  <c r="F14" i="43"/>
  <c r="F13" i="43"/>
  <c r="H13" i="43" s="1"/>
  <c r="F12" i="43"/>
  <c r="F11" i="43"/>
  <c r="H11" i="43" s="1"/>
  <c r="D28" i="43"/>
  <c r="F50" i="43" s="1"/>
  <c r="C6" i="43"/>
  <c r="D4" i="43" s="1"/>
  <c r="H22" i="31"/>
  <c r="E46" i="14"/>
  <c r="C41" i="34"/>
  <c r="C40" i="34"/>
  <c r="C39" i="34"/>
  <c r="C38" i="34"/>
  <c r="E64" i="41"/>
  <c r="E65" i="41"/>
  <c r="E63" i="41"/>
  <c r="B18" i="41"/>
  <c r="G18" i="41"/>
  <c r="E34" i="43" l="1"/>
  <c r="C42" i="34"/>
  <c r="D74" i="34"/>
  <c r="D78" i="34"/>
  <c r="D77" i="34"/>
  <c r="L40" i="43"/>
  <c r="F33" i="43"/>
  <c r="H14" i="43"/>
  <c r="L34" i="43"/>
  <c r="F34" i="43"/>
  <c r="L35" i="43"/>
  <c r="L37" i="43"/>
  <c r="C30" i="43"/>
  <c r="F36" i="43"/>
  <c r="F39" i="43"/>
  <c r="F43" i="43"/>
  <c r="F47" i="43"/>
  <c r="F51" i="43"/>
  <c r="I30" i="43"/>
  <c r="H16" i="43"/>
  <c r="L36" i="43"/>
  <c r="F40" i="43"/>
  <c r="F44" i="43"/>
  <c r="F48" i="43"/>
  <c r="F52" i="43"/>
  <c r="F53" i="43"/>
  <c r="F41" i="43"/>
  <c r="F45" i="43"/>
  <c r="F49" i="43"/>
  <c r="F54" i="43"/>
  <c r="H12" i="43"/>
  <c r="L33" i="43"/>
  <c r="F35" i="43"/>
  <c r="F37" i="43"/>
  <c r="F42" i="43"/>
  <c r="F46" i="43"/>
  <c r="L41" i="43" l="1"/>
  <c r="F55" i="43"/>
  <c r="D58" i="43" s="1"/>
  <c r="H19" i="43"/>
  <c r="F19" i="43" s="1"/>
  <c r="H15" i="43"/>
  <c r="F15" i="43" s="1"/>
  <c r="D5" i="44" l="1"/>
  <c r="H20" i="43"/>
  <c r="H22" i="43" l="1"/>
  <c r="H24" i="43" s="1"/>
  <c r="I41" i="34" s="1"/>
  <c r="K41" i="34" l="1"/>
  <c r="J41" i="34"/>
  <c r="K3" i="32" l="1"/>
  <c r="C10" i="41" l="1"/>
  <c r="D65" i="41"/>
  <c r="D63" i="41"/>
  <c r="C54" i="41"/>
  <c r="C47" i="41" s="1"/>
  <c r="C32" i="41"/>
  <c r="H27" i="41"/>
  <c r="C27" i="41"/>
  <c r="C24" i="41"/>
  <c r="K24" i="34"/>
  <c r="C12" i="41" s="1"/>
  <c r="K23" i="34"/>
  <c r="AN7" i="10" s="1"/>
  <c r="AV43" i="10" l="1"/>
  <c r="AW43" i="10"/>
  <c r="AW44" i="10" s="1"/>
  <c r="AW45" i="10" s="1"/>
  <c r="AW46" i="10" s="1"/>
  <c r="AW47" i="10" s="1"/>
  <c r="AW48" i="10" s="1"/>
  <c r="AW49" i="10" s="1"/>
  <c r="AW50" i="10" s="1"/>
  <c r="H23" i="41"/>
  <c r="AS14" i="10"/>
  <c r="M83" i="41" s="1"/>
  <c r="M85" i="41" s="1"/>
  <c r="N87" i="41" s="1"/>
  <c r="C11" i="41"/>
  <c r="C37" i="41"/>
  <c r="C39" i="41" s="1"/>
  <c r="E39" i="41" s="1"/>
  <c r="F63" i="41"/>
  <c r="G63" i="41" s="1"/>
  <c r="F65" i="41"/>
  <c r="F64" i="41"/>
  <c r="J39" i="41"/>
  <c r="C48" i="41"/>
  <c r="C56" i="41" s="1"/>
  <c r="G65" i="41"/>
  <c r="N89" i="41" l="1"/>
  <c r="F41" i="34"/>
  <c r="F42" i="34" s="1"/>
  <c r="AV44" i="10"/>
  <c r="AY43" i="10"/>
  <c r="D66" i="41"/>
  <c r="E66" i="41" s="1"/>
  <c r="F66" i="41" s="1"/>
  <c r="C57" i="41"/>
  <c r="C58" i="41" s="1"/>
  <c r="B81" i="41"/>
  <c r="G64" i="41"/>
  <c r="B84" i="41" s="1"/>
  <c r="AV45" i="10" l="1"/>
  <c r="AY44" i="10"/>
  <c r="C23" i="40"/>
  <c r="C26" i="40"/>
  <c r="H26" i="40"/>
  <c r="M26" i="40"/>
  <c r="R26" i="40"/>
  <c r="D62" i="40"/>
  <c r="E62" i="40" s="1"/>
  <c r="E63" i="40"/>
  <c r="D64" i="40"/>
  <c r="E64" i="40" s="1"/>
  <c r="R22" i="37"/>
  <c r="BC43" i="32"/>
  <c r="BC44" i="32"/>
  <c r="BC45" i="32"/>
  <c r="BC46" i="32"/>
  <c r="BD46" i="32" s="1"/>
  <c r="BC47" i="32"/>
  <c r="BC48" i="32"/>
  <c r="BC49" i="32"/>
  <c r="BC50" i="32"/>
  <c r="BD50" i="32" s="1"/>
  <c r="BC51" i="32"/>
  <c r="BC52" i="32"/>
  <c r="BC53" i="32"/>
  <c r="BC54" i="32"/>
  <c r="BD54" i="32" s="1"/>
  <c r="BC55" i="32"/>
  <c r="BC56" i="32"/>
  <c r="BC57" i="32"/>
  <c r="BC58" i="32"/>
  <c r="BD58" i="32" s="1"/>
  <c r="BC59" i="32"/>
  <c r="BC60" i="32"/>
  <c r="BC61" i="32"/>
  <c r="BC62" i="32"/>
  <c r="BD62" i="32" s="1"/>
  <c r="BC63" i="32"/>
  <c r="BC64" i="32"/>
  <c r="BC65" i="32"/>
  <c r="BC66" i="32"/>
  <c r="BD66" i="32" s="1"/>
  <c r="BC67" i="32"/>
  <c r="BC68" i="32"/>
  <c r="BC69" i="32"/>
  <c r="BC70" i="32"/>
  <c r="BD70" i="32" s="1"/>
  <c r="BC71" i="32"/>
  <c r="BC72" i="32"/>
  <c r="BC73" i="32"/>
  <c r="BC74" i="32"/>
  <c r="BD74" i="32" s="1"/>
  <c r="BC75" i="32"/>
  <c r="BC76" i="32"/>
  <c r="BC77" i="32"/>
  <c r="BC78" i="32"/>
  <c r="BC79" i="32"/>
  <c r="BC80" i="32"/>
  <c r="BC81" i="32"/>
  <c r="BC82" i="32"/>
  <c r="BD82" i="32" s="1"/>
  <c r="BC83" i="32"/>
  <c r="BC84" i="32"/>
  <c r="BD84" i="32" s="1"/>
  <c r="BC85" i="32"/>
  <c r="BC86" i="32"/>
  <c r="BD86" i="32" s="1"/>
  <c r="BC87" i="32"/>
  <c r="BC88" i="32"/>
  <c r="BC89" i="32"/>
  <c r="BC90" i="32"/>
  <c r="BD90" i="32" s="1"/>
  <c r="BC91" i="32"/>
  <c r="BC92" i="32"/>
  <c r="BC93" i="32"/>
  <c r="BD93" i="32" s="1"/>
  <c r="BC94" i="32"/>
  <c r="BD94" i="32" s="1"/>
  <c r="BC95" i="32"/>
  <c r="BC96" i="32"/>
  <c r="BC97" i="32"/>
  <c r="BC98" i="32"/>
  <c r="BD98" i="32" s="1"/>
  <c r="BC99" i="32"/>
  <c r="BC100" i="32"/>
  <c r="BD100" i="32" s="1"/>
  <c r="BC101" i="32"/>
  <c r="BD101" i="32" s="1"/>
  <c r="BC102" i="32"/>
  <c r="BD102" i="32" s="1"/>
  <c r="BC103" i="32"/>
  <c r="BC104" i="32"/>
  <c r="BD104" i="32" s="1"/>
  <c r="BC105" i="32"/>
  <c r="BC106" i="32"/>
  <c r="BD106" i="32" s="1"/>
  <c r="BC42" i="32"/>
  <c r="BA43" i="32"/>
  <c r="BA44" i="32"/>
  <c r="BA45" i="32"/>
  <c r="BB45" i="32" s="1"/>
  <c r="BA46" i="32"/>
  <c r="BA47" i="32"/>
  <c r="BA48" i="32"/>
  <c r="BB48" i="32" s="1"/>
  <c r="BA49" i="32"/>
  <c r="BB49" i="32" s="1"/>
  <c r="BA50" i="32"/>
  <c r="BA51" i="32"/>
  <c r="BA52" i="32"/>
  <c r="BA53" i="32"/>
  <c r="BB53" i="32" s="1"/>
  <c r="BA54" i="32"/>
  <c r="BA55" i="32"/>
  <c r="BA56" i="32"/>
  <c r="BA57" i="32"/>
  <c r="BB57" i="32" s="1"/>
  <c r="BA58" i="32"/>
  <c r="BB58" i="32" s="1"/>
  <c r="BA59" i="32"/>
  <c r="BB59" i="32" s="1"/>
  <c r="BA60" i="32"/>
  <c r="BA61" i="32"/>
  <c r="BB61" i="32" s="1"/>
  <c r="BA62" i="32"/>
  <c r="BA63" i="32"/>
  <c r="BA64" i="32"/>
  <c r="BA65" i="32"/>
  <c r="BB65" i="32" s="1"/>
  <c r="BA66" i="32"/>
  <c r="BB66" i="32" s="1"/>
  <c r="BA67" i="32"/>
  <c r="BA68" i="32"/>
  <c r="BA69" i="32"/>
  <c r="BB69" i="32" s="1"/>
  <c r="BA70" i="32"/>
  <c r="BA71" i="32"/>
  <c r="BA72" i="32"/>
  <c r="BA73" i="32"/>
  <c r="BA74" i="32"/>
  <c r="BB74" i="32" s="1"/>
  <c r="BA75" i="32"/>
  <c r="BA76" i="32"/>
  <c r="BA77" i="32"/>
  <c r="BB77" i="32" s="1"/>
  <c r="BA78" i="32"/>
  <c r="BA79" i="32"/>
  <c r="BA80" i="32"/>
  <c r="BA81" i="32"/>
  <c r="BB81" i="32" s="1"/>
  <c r="BA82" i="32"/>
  <c r="BB82" i="32" s="1"/>
  <c r="BA83" i="32"/>
  <c r="BB83" i="32" s="1"/>
  <c r="BA84" i="32"/>
  <c r="BA85" i="32"/>
  <c r="BB85" i="32" s="1"/>
  <c r="BA86" i="32"/>
  <c r="BA87" i="32"/>
  <c r="BA88" i="32"/>
  <c r="BB88" i="32" s="1"/>
  <c r="BA89" i="32"/>
  <c r="BB89" i="32" s="1"/>
  <c r="BA90" i="32"/>
  <c r="BB90" i="32" s="1"/>
  <c r="BA91" i="32"/>
  <c r="BB91" i="32" s="1"/>
  <c r="BA92" i="32"/>
  <c r="BB92" i="32" s="1"/>
  <c r="BA93" i="32"/>
  <c r="BB93" i="32" s="1"/>
  <c r="BA94" i="32"/>
  <c r="BA95" i="32"/>
  <c r="BB95" i="32" s="1"/>
  <c r="BA96" i="32"/>
  <c r="BA97" i="32"/>
  <c r="BB97" i="32" s="1"/>
  <c r="BA98" i="32"/>
  <c r="BB98" i="32" s="1"/>
  <c r="BA99" i="32"/>
  <c r="BA100" i="32"/>
  <c r="BB100" i="32" s="1"/>
  <c r="BA101" i="32"/>
  <c r="BB101" i="32" s="1"/>
  <c r="BA102" i="32"/>
  <c r="BA103" i="32"/>
  <c r="BA104" i="32"/>
  <c r="BB104" i="32" s="1"/>
  <c r="BA105" i="32"/>
  <c r="BB105" i="32" s="1"/>
  <c r="BA106" i="32"/>
  <c r="BB106" i="32" s="1"/>
  <c r="BA42" i="32"/>
  <c r="AY104" i="32"/>
  <c r="AZ104" i="32" s="1"/>
  <c r="AY105" i="32"/>
  <c r="AZ105" i="32" s="1"/>
  <c r="BD105" i="32"/>
  <c r="AY106" i="32"/>
  <c r="AZ106" i="32" s="1"/>
  <c r="AY43" i="32"/>
  <c r="AZ43" i="32" s="1"/>
  <c r="AY44" i="32"/>
  <c r="AZ44" i="32" s="1"/>
  <c r="AY45" i="32"/>
  <c r="AY46" i="32"/>
  <c r="AZ46" i="32" s="1"/>
  <c r="AY47" i="32"/>
  <c r="AY48" i="32"/>
  <c r="AY49" i="32"/>
  <c r="AY50" i="32"/>
  <c r="AZ50" i="32" s="1"/>
  <c r="AY51" i="32"/>
  <c r="AZ51" i="32" s="1"/>
  <c r="AY52" i="32"/>
  <c r="AZ52" i="32" s="1"/>
  <c r="AY53" i="32"/>
  <c r="AY54" i="32"/>
  <c r="AZ54" i="32" s="1"/>
  <c r="AY55" i="32"/>
  <c r="AY56" i="32"/>
  <c r="AY57" i="32"/>
  <c r="AY58" i="32"/>
  <c r="AZ58" i="32" s="1"/>
  <c r="AY59" i="32"/>
  <c r="AZ59" i="32" s="1"/>
  <c r="AY60" i="32"/>
  <c r="AZ60" i="32" s="1"/>
  <c r="AY61" i="32"/>
  <c r="AY62" i="32"/>
  <c r="AZ62" i="32" s="1"/>
  <c r="AY63" i="32"/>
  <c r="AY64" i="32"/>
  <c r="AY65" i="32"/>
  <c r="AY66" i="32"/>
  <c r="AZ66" i="32" s="1"/>
  <c r="AY67" i="32"/>
  <c r="AZ67" i="32" s="1"/>
  <c r="AY68" i="32"/>
  <c r="AZ68" i="32" s="1"/>
  <c r="AY69" i="32"/>
  <c r="AY70" i="32"/>
  <c r="AZ70" i="32" s="1"/>
  <c r="AY71" i="32"/>
  <c r="AY72" i="32"/>
  <c r="AY73" i="32"/>
  <c r="AY74" i="32"/>
  <c r="AZ74" i="32" s="1"/>
  <c r="AY75" i="32"/>
  <c r="AZ75" i="32" s="1"/>
  <c r="AY76" i="32"/>
  <c r="AZ76" i="32" s="1"/>
  <c r="AY77" i="32"/>
  <c r="AY78" i="32"/>
  <c r="AZ78" i="32" s="1"/>
  <c r="AY79" i="32"/>
  <c r="AY80" i="32"/>
  <c r="AY81" i="32"/>
  <c r="AY82" i="32"/>
  <c r="AZ82" i="32" s="1"/>
  <c r="AY83" i="32"/>
  <c r="AZ83" i="32" s="1"/>
  <c r="AY84" i="32"/>
  <c r="AZ84" i="32" s="1"/>
  <c r="AY85" i="32"/>
  <c r="AY86" i="32"/>
  <c r="AZ86" i="32" s="1"/>
  <c r="AY87" i="32"/>
  <c r="AY88" i="32"/>
  <c r="AY89" i="32"/>
  <c r="AY90" i="32"/>
  <c r="AZ90" i="32" s="1"/>
  <c r="AY91" i="32"/>
  <c r="AZ91" i="32" s="1"/>
  <c r="AY92" i="32"/>
  <c r="AZ92" i="32" s="1"/>
  <c r="AY93" i="32"/>
  <c r="AY94" i="32"/>
  <c r="AZ94" i="32" s="1"/>
  <c r="AY95" i="32"/>
  <c r="AY96" i="32"/>
  <c r="AY97" i="32"/>
  <c r="AY98" i="32"/>
  <c r="AZ98" i="32" s="1"/>
  <c r="AY99" i="32"/>
  <c r="AZ99" i="32" s="1"/>
  <c r="AY100" i="32"/>
  <c r="AZ100" i="32" s="1"/>
  <c r="AY101" i="32"/>
  <c r="AY102" i="32"/>
  <c r="AY103" i="32"/>
  <c r="AY42" i="32"/>
  <c r="AZ48" i="32"/>
  <c r="AZ56" i="32"/>
  <c r="AZ64" i="32"/>
  <c r="AZ72" i="32"/>
  <c r="AZ80" i="32"/>
  <c r="AZ88" i="32"/>
  <c r="AZ96" i="32"/>
  <c r="BB44" i="32"/>
  <c r="BB67" i="32"/>
  <c r="BB76" i="32"/>
  <c r="BB80" i="32"/>
  <c r="BB99" i="32"/>
  <c r="BB103" i="32"/>
  <c r="AZ45" i="32"/>
  <c r="AZ47" i="32"/>
  <c r="AZ49" i="32"/>
  <c r="AZ53" i="32"/>
  <c r="AZ55" i="32"/>
  <c r="AZ57" i="32"/>
  <c r="AZ61" i="32"/>
  <c r="AZ63" i="32"/>
  <c r="AZ65" i="32"/>
  <c r="AZ69" i="32"/>
  <c r="AZ71" i="32"/>
  <c r="AZ73" i="32"/>
  <c r="AZ77" i="32"/>
  <c r="AZ79" i="32"/>
  <c r="AZ81" i="32"/>
  <c r="AZ85" i="32"/>
  <c r="AZ87" i="32"/>
  <c r="AZ89" i="32"/>
  <c r="AZ93" i="32"/>
  <c r="AZ95" i="32"/>
  <c r="AZ97" i="32"/>
  <c r="AZ101" i="32"/>
  <c r="AZ102" i="32"/>
  <c r="AZ103" i="32"/>
  <c r="AZ42" i="32"/>
  <c r="BD103" i="32"/>
  <c r="BB102" i="32"/>
  <c r="BD99" i="32"/>
  <c r="BD97" i="32"/>
  <c r="BD96" i="32"/>
  <c r="BB96" i="32"/>
  <c r="BD95" i="32"/>
  <c r="BB94" i="32"/>
  <c r="BD92" i="32"/>
  <c r="BD91" i="32"/>
  <c r="BD89" i="32"/>
  <c r="BD88" i="32"/>
  <c r="BD87" i="32"/>
  <c r="BB87" i="32"/>
  <c r="BB86" i="32"/>
  <c r="BD85" i="32"/>
  <c r="BB84" i="32"/>
  <c r="BD83" i="32"/>
  <c r="BD81" i="32"/>
  <c r="BD80" i="32"/>
  <c r="BD79" i="32"/>
  <c r="BB79" i="32"/>
  <c r="BD78" i="32"/>
  <c r="BB78" i="32"/>
  <c r="BD77" i="32"/>
  <c r="BD76" i="32"/>
  <c r="BD75" i="32"/>
  <c r="BB75" i="32"/>
  <c r="BD73" i="32"/>
  <c r="BB73" i="32"/>
  <c r="BD72" i="32"/>
  <c r="BB72" i="32"/>
  <c r="BD71" i="32"/>
  <c r="BB71" i="32"/>
  <c r="BB70" i="32"/>
  <c r="BD69" i="32"/>
  <c r="BD68" i="32"/>
  <c r="BB68" i="32"/>
  <c r="BD67" i="32"/>
  <c r="BD65" i="32"/>
  <c r="BD64" i="32"/>
  <c r="BB64" i="32"/>
  <c r="BD63" i="32"/>
  <c r="BB63" i="32"/>
  <c r="BB62" i="32"/>
  <c r="BD61" i="32"/>
  <c r="BD60" i="32"/>
  <c r="BB60" i="32"/>
  <c r="BD59" i="32"/>
  <c r="BD57" i="32"/>
  <c r="BD56" i="32"/>
  <c r="BB56" i="32"/>
  <c r="BD55" i="32"/>
  <c r="BB55" i="32"/>
  <c r="BB54" i="32"/>
  <c r="BD53" i="32"/>
  <c r="BD52" i="32"/>
  <c r="BB52" i="32"/>
  <c r="BD51" i="32"/>
  <c r="BB51" i="32"/>
  <c r="BB50" i="32"/>
  <c r="BD49" i="32"/>
  <c r="BD48" i="32"/>
  <c r="BD47" i="32"/>
  <c r="BB47" i="32"/>
  <c r="BB46" i="32"/>
  <c r="BD45" i="32"/>
  <c r="BD44" i="32"/>
  <c r="BD43" i="32"/>
  <c r="BB43" i="32"/>
  <c r="BD42" i="32"/>
  <c r="BB42" i="32"/>
  <c r="C11" i="37"/>
  <c r="C6" i="38"/>
  <c r="D4" i="38" s="1"/>
  <c r="D28" i="38"/>
  <c r="F38" i="38"/>
  <c r="L38" i="38"/>
  <c r="F39" i="38"/>
  <c r="L39" i="38"/>
  <c r="F40" i="38"/>
  <c r="L40" i="38"/>
  <c r="F41" i="38"/>
  <c r="L41" i="38"/>
  <c r="F42" i="38"/>
  <c r="L42" i="38"/>
  <c r="F43" i="38"/>
  <c r="L43" i="38"/>
  <c r="F44" i="38"/>
  <c r="L44" i="38"/>
  <c r="F45" i="38"/>
  <c r="L45" i="38"/>
  <c r="F46" i="38"/>
  <c r="L46" i="38"/>
  <c r="F47" i="38"/>
  <c r="L47" i="38"/>
  <c r="F48" i="38"/>
  <c r="L48" i="38"/>
  <c r="F49" i="38"/>
  <c r="L49" i="38"/>
  <c r="F50" i="38"/>
  <c r="F51" i="38"/>
  <c r="F52" i="38"/>
  <c r="F53" i="38"/>
  <c r="K17" i="34"/>
  <c r="K4" i="34" s="1"/>
  <c r="L12" i="34" s="1"/>
  <c r="L16" i="34" l="1"/>
  <c r="L11" i="34"/>
  <c r="L7" i="34"/>
  <c r="L9" i="34"/>
  <c r="L8" i="34"/>
  <c r="M11" i="34"/>
  <c r="M14" i="34"/>
  <c r="M12" i="34"/>
  <c r="AY45" i="10"/>
  <c r="AV46" i="10"/>
  <c r="L10" i="34"/>
  <c r="O10" i="34" s="1"/>
  <c r="M13" i="34"/>
  <c r="O7" i="34"/>
  <c r="L15" i="34"/>
  <c r="L17" i="34" s="1"/>
  <c r="M10" i="34"/>
  <c r="L14" i="34"/>
  <c r="M7" i="34"/>
  <c r="M9" i="34"/>
  <c r="C11" i="40"/>
  <c r="M16" i="34"/>
  <c r="M8" i="34"/>
  <c r="L13" i="34"/>
  <c r="O11" i="34" s="1"/>
  <c r="M15" i="34"/>
  <c r="AY8" i="32"/>
  <c r="B10" i="19" s="1"/>
  <c r="C36" i="40"/>
  <c r="AZ8" i="32"/>
  <c r="C10" i="19" s="1"/>
  <c r="BA8" i="32"/>
  <c r="D10" i="19" s="1"/>
  <c r="O8" i="34" l="1"/>
  <c r="AY46" i="10"/>
  <c r="AV47" i="10"/>
  <c r="L17" i="40"/>
  <c r="I30" i="38"/>
  <c r="Q17" i="40"/>
  <c r="I56" i="38"/>
  <c r="G11" i="38"/>
  <c r="B17" i="40"/>
  <c r="O17" i="34"/>
  <c r="P8" i="34" s="1"/>
  <c r="C38" i="40"/>
  <c r="E38" i="40" s="1"/>
  <c r="G15" i="38"/>
  <c r="H15" i="38" s="1"/>
  <c r="P10" i="34"/>
  <c r="P11" i="34"/>
  <c r="D65" i="40"/>
  <c r="E65" i="40" s="1"/>
  <c r="M17" i="34"/>
  <c r="AY47" i="10" l="1"/>
  <c r="AV48" i="10"/>
  <c r="P7" i="34"/>
  <c r="E63" i="38"/>
  <c r="F63" i="38" s="1"/>
  <c r="E61" i="38"/>
  <c r="F61" i="38" s="1"/>
  <c r="E60" i="38"/>
  <c r="F60" i="38" s="1"/>
  <c r="K62" i="38"/>
  <c r="L62" i="38" s="1"/>
  <c r="E62" i="38"/>
  <c r="F62" i="38" s="1"/>
  <c r="K63" i="38"/>
  <c r="L63" i="38" s="1"/>
  <c r="K61" i="38"/>
  <c r="L61" i="38" s="1"/>
  <c r="K60" i="38"/>
  <c r="L60" i="38" s="1"/>
  <c r="C56" i="38"/>
  <c r="G17" i="40"/>
  <c r="C10" i="40" s="1"/>
  <c r="K36" i="38"/>
  <c r="L36" i="38" s="1"/>
  <c r="K35" i="38"/>
  <c r="L35" i="38" s="1"/>
  <c r="E36" i="38"/>
  <c r="F36" i="38" s="1"/>
  <c r="E34" i="38"/>
  <c r="F34" i="38" s="1"/>
  <c r="E37" i="38"/>
  <c r="F37" i="38" s="1"/>
  <c r="E35" i="38"/>
  <c r="K34" i="38"/>
  <c r="L34" i="38" s="1"/>
  <c r="K37" i="38"/>
  <c r="L37" i="38" s="1"/>
  <c r="F12" i="38"/>
  <c r="F17" i="38"/>
  <c r="F16" i="38"/>
  <c r="P17" i="34"/>
  <c r="H18" i="38"/>
  <c r="F18" i="38" s="1"/>
  <c r="H11" i="38"/>
  <c r="C30" i="38"/>
  <c r="F13" i="38"/>
  <c r="AP45" i="32"/>
  <c r="AQ45" i="32" s="1"/>
  <c r="AP46" i="32"/>
  <c r="AP47" i="32"/>
  <c r="AP48" i="32"/>
  <c r="AP49" i="32"/>
  <c r="AP50" i="32"/>
  <c r="AP51" i="32"/>
  <c r="AP52" i="32"/>
  <c r="AP53" i="32"/>
  <c r="AP54" i="32"/>
  <c r="AP55" i="32"/>
  <c r="AP56" i="32"/>
  <c r="AP57" i="32"/>
  <c r="AP58" i="32"/>
  <c r="AP59" i="32"/>
  <c r="AP60" i="32"/>
  <c r="AP61" i="32"/>
  <c r="AP62" i="32"/>
  <c r="AP63" i="32"/>
  <c r="AP64" i="32"/>
  <c r="AP65" i="32"/>
  <c r="AP66" i="32"/>
  <c r="AP67" i="32"/>
  <c r="AP68" i="32"/>
  <c r="AP69" i="32"/>
  <c r="AP70" i="32"/>
  <c r="AP71" i="32"/>
  <c r="AP72" i="32"/>
  <c r="AP73" i="32"/>
  <c r="AP74" i="32"/>
  <c r="AP75" i="32"/>
  <c r="AP76" i="32"/>
  <c r="AP77" i="32"/>
  <c r="AP78" i="32"/>
  <c r="AP79" i="32"/>
  <c r="AP80" i="32"/>
  <c r="AP81" i="32"/>
  <c r="AP82" i="32"/>
  <c r="AP83" i="32"/>
  <c r="AQ50" i="32"/>
  <c r="AQ47" i="32"/>
  <c r="C57" i="40" l="1"/>
  <c r="F63" i="40"/>
  <c r="G63" i="40" s="1"/>
  <c r="F62" i="40"/>
  <c r="F64" i="40"/>
  <c r="G64" i="40" s="1"/>
  <c r="F65" i="40"/>
  <c r="AV49" i="10"/>
  <c r="AY48" i="10"/>
  <c r="H14" i="38"/>
  <c r="AQ53" i="32"/>
  <c r="AY49" i="10" l="1"/>
  <c r="AV50" i="10"/>
  <c r="AY50" i="10" s="1"/>
  <c r="B80" i="40"/>
  <c r="G62" i="40"/>
  <c r="B83" i="40" s="1"/>
  <c r="H19" i="38"/>
  <c r="H22" i="38" s="1"/>
  <c r="F14" i="38"/>
  <c r="AQ35" i="32"/>
  <c r="AQ41" i="32"/>
  <c r="AQ43" i="32"/>
  <c r="AQ46" i="32"/>
  <c r="AQ51" i="32"/>
  <c r="AQ56" i="32"/>
  <c r="AQ57" i="32"/>
  <c r="AQ58" i="32"/>
  <c r="AQ59" i="32"/>
  <c r="AQ61" i="32"/>
  <c r="AQ67" i="32"/>
  <c r="AQ69" i="32"/>
  <c r="AQ73" i="32"/>
  <c r="AQ81" i="32"/>
  <c r="AQ82" i="32"/>
  <c r="AQ83" i="32"/>
  <c r="AQ36" i="32"/>
  <c r="AQ48" i="32"/>
  <c r="AQ52" i="32"/>
  <c r="AQ64" i="32"/>
  <c r="AQ68" i="32"/>
  <c r="AQ72" i="32"/>
  <c r="AQ74" i="32"/>
  <c r="AQ80" i="32"/>
  <c r="AQ40" i="32"/>
  <c r="AQ79" i="32"/>
  <c r="AQ78" i="32"/>
  <c r="AQ77" i="32"/>
  <c r="AQ76" i="32"/>
  <c r="AQ75" i="32"/>
  <c r="AQ71" i="32"/>
  <c r="AQ70" i="32"/>
  <c r="AQ65" i="32"/>
  <c r="AQ63" i="32"/>
  <c r="AQ62" i="32"/>
  <c r="AQ60" i="32"/>
  <c r="AQ55" i="32"/>
  <c r="AQ54" i="32"/>
  <c r="AQ49" i="32"/>
  <c r="AQ44" i="32"/>
  <c r="AQ42" i="32"/>
  <c r="AQ39" i="32"/>
  <c r="AQ38" i="32"/>
  <c r="D64" i="37"/>
  <c r="E64" i="37" s="1"/>
  <c r="D62" i="37"/>
  <c r="E62" i="37" s="1"/>
  <c r="C53" i="37"/>
  <c r="C46" i="37" s="1"/>
  <c r="R40" i="37"/>
  <c r="T40" i="37" s="1"/>
  <c r="C31" i="37"/>
  <c r="R26" i="37"/>
  <c r="M26" i="37"/>
  <c r="H26" i="37"/>
  <c r="C26" i="37"/>
  <c r="R23" i="37"/>
  <c r="C23" i="37"/>
  <c r="R24" i="37"/>
  <c r="E59" i="38" l="1"/>
  <c r="F59" i="38" s="1"/>
  <c r="F75" i="38" s="1"/>
  <c r="K59" i="38"/>
  <c r="L59" i="38" s="1"/>
  <c r="L73" i="38" s="1"/>
  <c r="AP14" i="10"/>
  <c r="G83" i="41" s="1"/>
  <c r="G85" i="41" s="1"/>
  <c r="H87" i="41" s="1"/>
  <c r="K33" i="38"/>
  <c r="L33" i="38" s="1"/>
  <c r="L50" i="38" s="1"/>
  <c r="E33" i="38"/>
  <c r="F33" i="38" s="1"/>
  <c r="H24" i="38"/>
  <c r="C36" i="37"/>
  <c r="C47" i="37"/>
  <c r="C55" i="37" s="1"/>
  <c r="R25" i="37"/>
  <c r="R34" i="37" s="1"/>
  <c r="B5" i="19"/>
  <c r="H89" i="41" l="1"/>
  <c r="E41" i="34"/>
  <c r="I40" i="34"/>
  <c r="J40" i="34" s="1"/>
  <c r="F35" i="38"/>
  <c r="F54" i="38" s="1"/>
  <c r="D5" i="19"/>
  <c r="M24" i="40" s="1"/>
  <c r="M25" i="40" s="1"/>
  <c r="M35" i="40" s="1"/>
  <c r="M37" i="40" s="1"/>
  <c r="O37" i="40" s="1"/>
  <c r="D65" i="37"/>
  <c r="E65" i="37" s="1"/>
  <c r="C56" i="37"/>
  <c r="R35" i="37"/>
  <c r="R37" i="37" s="1"/>
  <c r="T37" i="37" s="1"/>
  <c r="F5" i="19"/>
  <c r="D4" i="44" l="1"/>
  <c r="D77" i="38"/>
  <c r="K40" i="34"/>
  <c r="C5" i="19"/>
  <c r="E5" i="19"/>
  <c r="M34" i="40"/>
  <c r="C22" i="40"/>
  <c r="C24" i="40" s="1"/>
  <c r="C25" i="40" s="1"/>
  <c r="C35" i="40" s="1"/>
  <c r="C37" i="40" s="1"/>
  <c r="E37" i="40" s="1"/>
  <c r="C6" i="35"/>
  <c r="D4" i="35" s="1"/>
  <c r="D29" i="35"/>
  <c r="F44" i="35" l="1"/>
  <c r="F82" i="35"/>
  <c r="F74" i="35"/>
  <c r="F39" i="35"/>
  <c r="F81" i="35"/>
  <c r="F73" i="35"/>
  <c r="F40" i="35"/>
  <c r="F80" i="35"/>
  <c r="F72" i="35"/>
  <c r="F79" i="35"/>
  <c r="F71" i="35"/>
  <c r="F78" i="35"/>
  <c r="F70" i="35"/>
  <c r="F75" i="35"/>
  <c r="L40" i="35"/>
  <c r="F77" i="35"/>
  <c r="F69" i="35"/>
  <c r="F76" i="35"/>
  <c r="L38" i="35"/>
  <c r="F83" i="35"/>
  <c r="L39" i="35"/>
  <c r="L37" i="35"/>
  <c r="F62" i="35"/>
  <c r="F38" i="35"/>
  <c r="F43" i="35"/>
  <c r="L48" i="35"/>
  <c r="F50" i="35"/>
  <c r="F34" i="35"/>
  <c r="L45" i="35"/>
  <c r="L44" i="35"/>
  <c r="L34" i="35"/>
  <c r="F36" i="35"/>
  <c r="F56" i="35"/>
  <c r="F55" i="35"/>
  <c r="L50" i="35"/>
  <c r="L49" i="35"/>
  <c r="L43" i="35"/>
  <c r="L47" i="35"/>
  <c r="F42" i="35"/>
  <c r="L36" i="35"/>
  <c r="L52" i="35"/>
  <c r="L51" i="35"/>
  <c r="L46" i="35"/>
  <c r="L41" i="35"/>
  <c r="F54" i="35"/>
  <c r="L42" i="35"/>
  <c r="F47" i="35"/>
  <c r="F51" i="35"/>
  <c r="F46" i="35"/>
  <c r="C34" i="40"/>
  <c r="C23" i="41"/>
  <c r="C25" i="41" s="1"/>
  <c r="F31" i="34"/>
  <c r="G17" i="35" s="1"/>
  <c r="B17" i="37"/>
  <c r="F53" i="35"/>
  <c r="F49" i="35"/>
  <c r="F45" i="35"/>
  <c r="F41" i="35"/>
  <c r="F37" i="35"/>
  <c r="F52" i="35"/>
  <c r="F48" i="35"/>
  <c r="F18" i="35" l="1"/>
  <c r="C59" i="35"/>
  <c r="J59" i="35" s="1"/>
  <c r="K15" i="35"/>
  <c r="F17" i="35"/>
  <c r="C26" i="41"/>
  <c r="C36" i="41" s="1"/>
  <c r="C38" i="41" s="1"/>
  <c r="E38" i="41" s="1"/>
  <c r="H13" i="35"/>
  <c r="B32" i="34"/>
  <c r="C38" i="37"/>
  <c r="E38" i="37" s="1"/>
  <c r="L17" i="37"/>
  <c r="D28" i="34" l="1"/>
  <c r="D29" i="34"/>
  <c r="D30" i="34"/>
  <c r="D31" i="34"/>
  <c r="D25" i="34"/>
  <c r="D27" i="34"/>
  <c r="D26" i="34"/>
  <c r="F19" i="35"/>
  <c r="C35" i="41"/>
  <c r="G17" i="37"/>
  <c r="B21" i="34"/>
  <c r="D32" i="34" l="1"/>
  <c r="H19" i="35"/>
  <c r="C10" i="37"/>
  <c r="H16" i="35" l="1"/>
  <c r="H20" i="35" s="1"/>
  <c r="F64" i="37"/>
  <c r="G64" i="37" s="1"/>
  <c r="F63" i="37"/>
  <c r="F62" i="37"/>
  <c r="G62" i="37" s="1"/>
  <c r="C57" i="37"/>
  <c r="F65" i="37"/>
  <c r="E37" i="31"/>
  <c r="F19" i="31"/>
  <c r="F14" i="31"/>
  <c r="K39" i="31" s="1"/>
  <c r="H18" i="31"/>
  <c r="F17" i="31"/>
  <c r="F16" i="31"/>
  <c r="K34" i="31" s="1"/>
  <c r="H13" i="31"/>
  <c r="F12" i="31"/>
  <c r="F11" i="31"/>
  <c r="E34" i="31" s="1"/>
  <c r="C41" i="32"/>
  <c r="C40" i="32"/>
  <c r="C39" i="32"/>
  <c r="C38" i="32"/>
  <c r="C37" i="32"/>
  <c r="C36" i="32"/>
  <c r="C35" i="32"/>
  <c r="C34" i="32"/>
  <c r="C33" i="32"/>
  <c r="C32" i="32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H22" i="35" l="1"/>
  <c r="H25" i="35" s="1"/>
  <c r="I39" i="34" s="1"/>
  <c r="E35" i="35"/>
  <c r="E38" i="31"/>
  <c r="E39" i="31"/>
  <c r="K37" i="31"/>
  <c r="K38" i="31"/>
  <c r="G63" i="37"/>
  <c r="B83" i="37" s="1"/>
  <c r="B80" i="37"/>
  <c r="B7" i="32"/>
  <c r="E63" i="35" l="1"/>
  <c r="F84" i="35" s="1"/>
  <c r="K35" i="35"/>
  <c r="L35" i="35" s="1"/>
  <c r="L53" i="35" s="1"/>
  <c r="F35" i="35"/>
  <c r="F57" i="35" s="1"/>
  <c r="D3" i="44" s="1"/>
  <c r="B15" i="34"/>
  <c r="D13" i="34" l="1"/>
  <c r="D14" i="34"/>
  <c r="D12" i="34"/>
  <c r="D8" i="34"/>
  <c r="D9" i="34"/>
  <c r="D10" i="34"/>
  <c r="D11" i="34"/>
  <c r="K39" i="34"/>
  <c r="J39" i="34"/>
  <c r="B5" i="34"/>
  <c r="F49" i="31"/>
  <c r="D29" i="31"/>
  <c r="F52" i="31" s="1"/>
  <c r="B20" i="31"/>
  <c r="E47" i="34" l="1"/>
  <c r="E46" i="34"/>
  <c r="E48" i="34"/>
  <c r="E45" i="34"/>
  <c r="E51" i="34"/>
  <c r="E50" i="34"/>
  <c r="E49" i="34"/>
  <c r="D88" i="34"/>
  <c r="D93" i="34"/>
  <c r="D87" i="34"/>
  <c r="D84" i="34"/>
  <c r="D83" i="34"/>
  <c r="D89" i="34"/>
  <c r="D90" i="34"/>
  <c r="D86" i="34"/>
  <c r="D91" i="34"/>
  <c r="D92" i="34"/>
  <c r="D85" i="34"/>
  <c r="F48" i="31"/>
  <c r="L38" i="31"/>
  <c r="L46" i="31"/>
  <c r="F41" i="31"/>
  <c r="L39" i="31"/>
  <c r="L47" i="31"/>
  <c r="F38" i="31"/>
  <c r="L40" i="31"/>
  <c r="L48" i="31"/>
  <c r="F34" i="31"/>
  <c r="L49" i="31"/>
  <c r="L37" i="31"/>
  <c r="F47" i="31"/>
  <c r="F55" i="31"/>
  <c r="F37" i="31"/>
  <c r="F53" i="31"/>
  <c r="F44" i="31"/>
  <c r="F36" i="31"/>
  <c r="L42" i="31"/>
  <c r="L50" i="31"/>
  <c r="F40" i="31"/>
  <c r="F46" i="31"/>
  <c r="F45" i="31"/>
  <c r="F43" i="31"/>
  <c r="L34" i="31"/>
  <c r="L43" i="31"/>
  <c r="L51" i="31"/>
  <c r="L45" i="31"/>
  <c r="F39" i="31"/>
  <c r="F54" i="31"/>
  <c r="L41" i="31"/>
  <c r="F51" i="31"/>
  <c r="F50" i="31"/>
  <c r="F42" i="31"/>
  <c r="L36" i="31"/>
  <c r="L44" i="31"/>
  <c r="C11" i="14"/>
  <c r="C11" i="34"/>
  <c r="C12" i="34"/>
  <c r="C14" i="34"/>
  <c r="C8" i="34"/>
  <c r="C9" i="34"/>
  <c r="C13" i="34"/>
  <c r="F13" i="34" s="1"/>
  <c r="C10" i="34"/>
  <c r="D15" i="34"/>
  <c r="E71" i="34" l="1"/>
  <c r="C15" i="34"/>
  <c r="D94" i="34"/>
  <c r="C22" i="14"/>
  <c r="C22" i="37"/>
  <c r="C24" i="37" s="1"/>
  <c r="F10" i="34"/>
  <c r="G16" i="31" s="1"/>
  <c r="G17" i="14"/>
  <c r="F8" i="34"/>
  <c r="B4" i="34" s="1"/>
  <c r="C25" i="37" l="1"/>
  <c r="C35" i="37" s="1"/>
  <c r="C37" i="37" s="1"/>
  <c r="E37" i="37" s="1"/>
  <c r="F15" i="34"/>
  <c r="G10" i="34" s="1"/>
  <c r="G8" i="34"/>
  <c r="G15" i="34" s="1"/>
  <c r="G11" i="31"/>
  <c r="B17" i="14"/>
  <c r="H16" i="31"/>
  <c r="H17" i="31"/>
  <c r="I31" i="31"/>
  <c r="H19" i="31"/>
  <c r="F18" i="31"/>
  <c r="K35" i="31" s="1"/>
  <c r="L35" i="31" s="1"/>
  <c r="L52" i="31" s="1"/>
  <c r="C34" i="37" l="1"/>
  <c r="H20" i="31"/>
  <c r="F20" i="31" s="1"/>
  <c r="H11" i="31"/>
  <c r="H14" i="31"/>
  <c r="H12" i="31"/>
  <c r="C31" i="31"/>
  <c r="F13" i="31"/>
  <c r="E35" i="31" s="1"/>
  <c r="F35" i="31" s="1"/>
  <c r="F56" i="31" s="1"/>
  <c r="B15" i="31"/>
  <c r="AL13" i="32"/>
  <c r="AJ14" i="32"/>
  <c r="AJ16" i="32"/>
  <c r="AL16" i="32" s="1"/>
  <c r="AJ17" i="32"/>
  <c r="AL17" i="32" s="1"/>
  <c r="AJ18" i="32"/>
  <c r="AL18" i="32" s="1"/>
  <c r="AJ19" i="32"/>
  <c r="AL19" i="32" s="1"/>
  <c r="AJ20" i="32"/>
  <c r="AJ21" i="32"/>
  <c r="AL21" i="32" s="1"/>
  <c r="AJ22" i="32"/>
  <c r="AJ23" i="32"/>
  <c r="AL23" i="32" s="1"/>
  <c r="AJ24" i="32"/>
  <c r="AL24" i="32" s="1"/>
  <c r="AJ25" i="32"/>
  <c r="AL25" i="32" s="1"/>
  <c r="AJ26" i="32"/>
  <c r="AL26" i="32" s="1"/>
  <c r="AJ27" i="32"/>
  <c r="AL27" i="32" s="1"/>
  <c r="AJ28" i="32"/>
  <c r="AL28" i="32" s="1"/>
  <c r="AJ29" i="32"/>
  <c r="AL29" i="32" s="1"/>
  <c r="AJ30" i="32"/>
  <c r="AL30" i="32" s="1"/>
  <c r="AJ31" i="32"/>
  <c r="AL31" i="32" s="1"/>
  <c r="AJ32" i="32"/>
  <c r="AL32" i="32" s="1"/>
  <c r="AJ33" i="32"/>
  <c r="AL33" i="32" s="1"/>
  <c r="AJ34" i="32"/>
  <c r="AL34" i="32" s="1"/>
  <c r="AJ12" i="32"/>
  <c r="AL12" i="32" s="1"/>
  <c r="AL20" i="32"/>
  <c r="AL14" i="32"/>
  <c r="AL15" i="32"/>
  <c r="AL22" i="32"/>
  <c r="AL35" i="32" l="1"/>
  <c r="AG7" i="32" s="1"/>
  <c r="AI7" i="32" s="1"/>
  <c r="C59" i="31"/>
  <c r="D6" i="44" s="1"/>
  <c r="H15" i="31"/>
  <c r="AH13" i="32"/>
  <c r="AH14" i="32"/>
  <c r="AH15" i="32"/>
  <c r="AH16" i="32"/>
  <c r="AH17" i="32"/>
  <c r="AH18" i="32"/>
  <c r="AH19" i="32"/>
  <c r="AH20" i="32"/>
  <c r="AH21" i="32"/>
  <c r="AH22" i="32"/>
  <c r="AH23" i="32"/>
  <c r="AH24" i="32"/>
  <c r="AH25" i="32"/>
  <c r="AH26" i="32"/>
  <c r="AH27" i="32"/>
  <c r="AH28" i="32"/>
  <c r="AH29" i="32"/>
  <c r="AH30" i="32"/>
  <c r="AH31" i="32"/>
  <c r="AH32" i="32"/>
  <c r="AH33" i="32"/>
  <c r="AH34" i="32"/>
  <c r="AH12" i="32"/>
  <c r="C14" i="19" l="1"/>
  <c r="H41" i="41" s="1"/>
  <c r="J41" i="41" s="1"/>
  <c r="F15" i="31"/>
  <c r="H21" i="31"/>
  <c r="H23" i="31" s="1"/>
  <c r="H25" i="31" l="1"/>
  <c r="I38" i="34" s="1"/>
  <c r="K38" i="34" s="1"/>
  <c r="T4" i="32"/>
  <c r="K4" i="32"/>
  <c r="J38" i="34" l="1"/>
  <c r="J42" i="34" s="1"/>
  <c r="I42" i="34"/>
  <c r="K42" i="34" s="1"/>
  <c r="N52" i="32"/>
  <c r="N116" i="32"/>
  <c r="N180" i="32"/>
  <c r="N105" i="32"/>
  <c r="N69" i="32"/>
  <c r="N133" i="32"/>
  <c r="N197" i="32"/>
  <c r="N161" i="32"/>
  <c r="N78" i="32"/>
  <c r="N142" i="32"/>
  <c r="N206" i="32"/>
  <c r="N179" i="32"/>
  <c r="N111" i="32"/>
  <c r="N175" i="32"/>
  <c r="N153" i="32"/>
  <c r="N96" i="32"/>
  <c r="N160" i="32"/>
  <c r="N224" i="32"/>
  <c r="N82" i="32"/>
  <c r="N146" i="32"/>
  <c r="N210" i="32"/>
  <c r="N91" i="32"/>
  <c r="N195" i="32"/>
  <c r="N60" i="32"/>
  <c r="N124" i="32"/>
  <c r="N188" i="32"/>
  <c r="N137" i="32"/>
  <c r="N77" i="32"/>
  <c r="N141" i="32"/>
  <c r="N205" i="32"/>
  <c r="N185" i="32"/>
  <c r="N86" i="32"/>
  <c r="N150" i="32"/>
  <c r="N214" i="32"/>
  <c r="N55" i="32"/>
  <c r="N119" i="32"/>
  <c r="N183" i="32"/>
  <c r="N193" i="32"/>
  <c r="N104" i="32"/>
  <c r="N168" i="32"/>
  <c r="N121" i="32"/>
  <c r="N90" i="32"/>
  <c r="N154" i="32"/>
  <c r="N218" i="32"/>
  <c r="N99" i="32"/>
  <c r="N203" i="32"/>
  <c r="N68" i="32"/>
  <c r="N132" i="32"/>
  <c r="N196" i="32"/>
  <c r="N169" i="32"/>
  <c r="N85" i="32"/>
  <c r="N149" i="32"/>
  <c r="N213" i="32"/>
  <c r="N225" i="32"/>
  <c r="N94" i="32"/>
  <c r="N158" i="32"/>
  <c r="N222" i="32"/>
  <c r="N63" i="32"/>
  <c r="N127" i="32"/>
  <c r="N191" i="32"/>
  <c r="N171" i="32"/>
  <c r="N112" i="32"/>
  <c r="N176" i="32"/>
  <c r="N201" i="32"/>
  <c r="N98" i="32"/>
  <c r="N162" i="32"/>
  <c r="N226" i="32"/>
  <c r="N107" i="32"/>
  <c r="N211" i="32"/>
  <c r="N76" i="32"/>
  <c r="N140" i="32"/>
  <c r="N204" i="32"/>
  <c r="N209" i="32"/>
  <c r="N93" i="32"/>
  <c r="N157" i="32"/>
  <c r="N221" i="32"/>
  <c r="N163" i="32"/>
  <c r="N102" i="32"/>
  <c r="N166" i="32"/>
  <c r="N65" i="32"/>
  <c r="N71" i="32"/>
  <c r="N135" i="32"/>
  <c r="N199" i="32"/>
  <c r="N56" i="32"/>
  <c r="N120" i="32"/>
  <c r="N184" i="32"/>
  <c r="N187" i="32"/>
  <c r="N106" i="32"/>
  <c r="N170" i="32"/>
  <c r="N51" i="32"/>
  <c r="N115" i="32"/>
  <c r="N84" i="32"/>
  <c r="N148" i="32"/>
  <c r="N212" i="32"/>
  <c r="N155" i="32"/>
  <c r="N101" i="32"/>
  <c r="N165" i="32"/>
  <c r="N57" i="32"/>
  <c r="N227" i="32"/>
  <c r="N110" i="32"/>
  <c r="N174" i="32"/>
  <c r="N89" i="32"/>
  <c r="N79" i="32"/>
  <c r="N143" i="32"/>
  <c r="N207" i="32"/>
  <c r="N64" i="32"/>
  <c r="N128" i="32"/>
  <c r="N192" i="32"/>
  <c r="N50" i="32"/>
  <c r="N114" i="32"/>
  <c r="N178" i="32"/>
  <c r="N59" i="32"/>
  <c r="N123" i="32"/>
  <c r="N92" i="32"/>
  <c r="N156" i="32"/>
  <c r="N220" i="32"/>
  <c r="N219" i="32"/>
  <c r="N109" i="32"/>
  <c r="N173" i="32"/>
  <c r="N97" i="32"/>
  <c r="N54" i="32"/>
  <c r="N118" i="32"/>
  <c r="N182" i="32"/>
  <c r="N129" i="32"/>
  <c r="N87" i="32"/>
  <c r="N151" i="32"/>
  <c r="N215" i="32"/>
  <c r="N72" i="32"/>
  <c r="N136" i="32"/>
  <c r="N200" i="32"/>
  <c r="N58" i="32"/>
  <c r="N122" i="32"/>
  <c r="N186" i="32"/>
  <c r="N67" i="32"/>
  <c r="N131" i="32"/>
  <c r="N100" i="32"/>
  <c r="N164" i="32"/>
  <c r="N228" i="32"/>
  <c r="N53" i="32"/>
  <c r="N117" i="32"/>
  <c r="N181" i="32"/>
  <c r="N113" i="32"/>
  <c r="N62" i="32"/>
  <c r="N126" i="32"/>
  <c r="N190" i="32"/>
  <c r="N177" i="32"/>
  <c r="N95" i="32"/>
  <c r="N159" i="32"/>
  <c r="N223" i="32"/>
  <c r="N80" i="32"/>
  <c r="N144" i="32"/>
  <c r="N208" i="32"/>
  <c r="N66" i="32"/>
  <c r="N130" i="32"/>
  <c r="N194" i="32"/>
  <c r="N75" i="32"/>
  <c r="N139" i="32"/>
  <c r="N108" i="32"/>
  <c r="N172" i="32"/>
  <c r="N73" i="32"/>
  <c r="N61" i="32"/>
  <c r="N125" i="32"/>
  <c r="N189" i="32"/>
  <c r="N145" i="32"/>
  <c r="N70" i="32"/>
  <c r="N134" i="32"/>
  <c r="N198" i="32"/>
  <c r="N217" i="32"/>
  <c r="N103" i="32"/>
  <c r="N167" i="32"/>
  <c r="N81" i="32"/>
  <c r="N88" i="32"/>
  <c r="N152" i="32"/>
  <c r="N216" i="32"/>
  <c r="N74" i="32"/>
  <c r="N138" i="32"/>
  <c r="N202" i="32"/>
  <c r="N83" i="32"/>
  <c r="N147" i="32"/>
  <c r="P132" i="32"/>
  <c r="L137" i="32"/>
  <c r="L195" i="32"/>
  <c r="L53" i="32"/>
  <c r="L159" i="32"/>
  <c r="P185" i="32"/>
  <c r="P199" i="32"/>
  <c r="P231" i="32"/>
  <c r="L177" i="32"/>
  <c r="L213" i="32"/>
  <c r="L52" i="32"/>
  <c r="L54" i="32"/>
  <c r="P208" i="32"/>
  <c r="P135" i="32"/>
  <c r="L166" i="32"/>
  <c r="P176" i="32"/>
  <c r="L142" i="32"/>
  <c r="P153" i="32"/>
  <c r="L172" i="32"/>
  <c r="L126" i="32"/>
  <c r="L184" i="32"/>
  <c r="P167" i="32"/>
  <c r="P217" i="32"/>
  <c r="P144" i="32"/>
  <c r="L165" i="32"/>
  <c r="L146" i="32"/>
  <c r="L125" i="32"/>
  <c r="L218" i="32"/>
  <c r="L206" i="32"/>
  <c r="P221" i="32"/>
  <c r="P203" i="32"/>
  <c r="P171" i="32"/>
  <c r="P157" i="32"/>
  <c r="P139" i="32"/>
  <c r="L176" i="32"/>
  <c r="L170" i="32"/>
  <c r="L164" i="32"/>
  <c r="L158" i="32"/>
  <c r="L151" i="32"/>
  <c r="L145" i="32"/>
  <c r="L136" i="32"/>
  <c r="L130" i="32"/>
  <c r="L211" i="32"/>
  <c r="L200" i="32"/>
  <c r="L182" i="32"/>
  <c r="P225" i="32"/>
  <c r="P216" i="32"/>
  <c r="P207" i="32"/>
  <c r="P193" i="32"/>
  <c r="P184" i="32"/>
  <c r="P175" i="32"/>
  <c r="P161" i="32"/>
  <c r="P152" i="32"/>
  <c r="P143" i="32"/>
  <c r="P129" i="32"/>
  <c r="L171" i="32"/>
  <c r="L152" i="32"/>
  <c r="L141" i="32"/>
  <c r="L119" i="32"/>
  <c r="L201" i="32"/>
  <c r="P235" i="32"/>
  <c r="P212" i="32"/>
  <c r="P189" i="32"/>
  <c r="P180" i="32"/>
  <c r="P148" i="32"/>
  <c r="L49" i="32"/>
  <c r="L169" i="32"/>
  <c r="L163" i="32"/>
  <c r="L157" i="32"/>
  <c r="L150" i="32"/>
  <c r="L140" i="32"/>
  <c r="L118" i="32"/>
  <c r="L217" i="32"/>
  <c r="L193" i="32"/>
  <c r="L187" i="32"/>
  <c r="P229" i="32"/>
  <c r="P220" i="32"/>
  <c r="P211" i="32"/>
  <c r="P197" i="32"/>
  <c r="P188" i="32"/>
  <c r="P179" i="32"/>
  <c r="P165" i="32"/>
  <c r="P156" i="32"/>
  <c r="P147" i="32"/>
  <c r="P133" i="32"/>
  <c r="L175" i="32"/>
  <c r="L162" i="32"/>
  <c r="L135" i="32"/>
  <c r="P233" i="32"/>
  <c r="P201" i="32"/>
  <c r="P192" i="32"/>
  <c r="P169" i="32"/>
  <c r="P160" i="32"/>
  <c r="P137" i="32"/>
  <c r="L161" i="32"/>
  <c r="L155" i="32"/>
  <c r="L148" i="32"/>
  <c r="L139" i="32"/>
  <c r="L116" i="32"/>
  <c r="L209" i="32"/>
  <c r="L203" i="32"/>
  <c r="L191" i="32"/>
  <c r="L186" i="32"/>
  <c r="P237" i="32"/>
  <c r="P228" i="32"/>
  <c r="P219" i="32"/>
  <c r="P205" i="32"/>
  <c r="P196" i="32"/>
  <c r="P187" i="32"/>
  <c r="P173" i="32"/>
  <c r="P164" i="32"/>
  <c r="P155" i="32"/>
  <c r="P141" i="32"/>
  <c r="L117" i="32"/>
  <c r="L131" i="32"/>
  <c r="L123" i="32"/>
  <c r="L132" i="32"/>
  <c r="L115" i="32"/>
  <c r="L124" i="32"/>
  <c r="L133" i="32"/>
  <c r="P130" i="32"/>
  <c r="P134" i="32"/>
  <c r="P138" i="32"/>
  <c r="P142" i="32"/>
  <c r="P146" i="32"/>
  <c r="P150" i="32"/>
  <c r="P154" i="32"/>
  <c r="P158" i="32"/>
  <c r="P162" i="32"/>
  <c r="P166" i="32"/>
  <c r="P170" i="32"/>
  <c r="P174" i="32"/>
  <c r="P178" i="32"/>
  <c r="P182" i="32"/>
  <c r="P186" i="32"/>
  <c r="P190" i="32"/>
  <c r="P194" i="32"/>
  <c r="P198" i="32"/>
  <c r="P202" i="32"/>
  <c r="P206" i="32"/>
  <c r="P210" i="32"/>
  <c r="P214" i="32"/>
  <c r="P218" i="32"/>
  <c r="P222" i="32"/>
  <c r="P226" i="32"/>
  <c r="P230" i="32"/>
  <c r="P234" i="32"/>
  <c r="P238" i="32"/>
  <c r="L183" i="32"/>
  <c r="L194" i="32"/>
  <c r="L199" i="32"/>
  <c r="L210" i="32"/>
  <c r="L215" i="32"/>
  <c r="L120" i="32"/>
  <c r="L129" i="32"/>
  <c r="L168" i="32"/>
  <c r="L156" i="32"/>
  <c r="L144" i="32"/>
  <c r="L128" i="32"/>
  <c r="L198" i="32"/>
  <c r="P224" i="32"/>
  <c r="P215" i="32"/>
  <c r="P183" i="32"/>
  <c r="P151" i="32"/>
  <c r="L50" i="32"/>
  <c r="L179" i="32"/>
  <c r="L174" i="32"/>
  <c r="L167" i="32"/>
  <c r="L160" i="32"/>
  <c r="L154" i="32"/>
  <c r="L143" i="32"/>
  <c r="L134" i="32"/>
  <c r="L127" i="32"/>
  <c r="L121" i="32"/>
  <c r="L214" i="32"/>
  <c r="L197" i="32"/>
  <c r="P232" i="32"/>
  <c r="P223" i="32"/>
  <c r="P209" i="32"/>
  <c r="P200" i="32"/>
  <c r="P191" i="32"/>
  <c r="P177" i="32"/>
  <c r="P168" i="32"/>
  <c r="P159" i="32"/>
  <c r="P145" i="32"/>
  <c r="P136" i="32"/>
  <c r="L149" i="32"/>
  <c r="L216" i="32"/>
  <c r="L181" i="32"/>
  <c r="L51" i="32"/>
  <c r="L178" i="32"/>
  <c r="L173" i="32"/>
  <c r="L153" i="32"/>
  <c r="L147" i="32"/>
  <c r="L138" i="32"/>
  <c r="L207" i="32"/>
  <c r="L202" i="32"/>
  <c r="L190" i="32"/>
  <c r="L185" i="32"/>
  <c r="P236" i="32"/>
  <c r="P227" i="32"/>
  <c r="P213" i="32"/>
  <c r="P204" i="32"/>
  <c r="P195" i="32"/>
  <c r="P181" i="32"/>
  <c r="P172" i="32"/>
  <c r="P163" i="32"/>
  <c r="P149" i="32"/>
  <c r="P140" i="32"/>
  <c r="P131" i="32"/>
  <c r="L205" i="32"/>
  <c r="L189" i="32"/>
  <c r="L204" i="32"/>
  <c r="L188" i="32"/>
  <c r="L114" i="32"/>
  <c r="L208" i="32"/>
  <c r="L192" i="32"/>
  <c r="L122" i="32"/>
  <c r="L212" i="32"/>
  <c r="L196" i="32"/>
  <c r="L180" i="32"/>
  <c r="P52" i="32"/>
  <c r="L58" i="32"/>
  <c r="P60" i="32"/>
  <c r="L66" i="32"/>
  <c r="P68" i="32"/>
  <c r="L74" i="32"/>
  <c r="P76" i="32"/>
  <c r="L82" i="32"/>
  <c r="P84" i="32"/>
  <c r="L90" i="32"/>
  <c r="P92" i="32"/>
  <c r="L98" i="32"/>
  <c r="P100" i="32"/>
  <c r="L106" i="32"/>
  <c r="P108" i="32"/>
  <c r="P55" i="32"/>
  <c r="L61" i="32"/>
  <c r="P63" i="32"/>
  <c r="L69" i="32"/>
  <c r="P71" i="32"/>
  <c r="L77" i="32"/>
  <c r="P79" i="32"/>
  <c r="L85" i="32"/>
  <c r="P87" i="32"/>
  <c r="L93" i="32"/>
  <c r="P95" i="32"/>
  <c r="L101" i="32"/>
  <c r="P103" i="32"/>
  <c r="L109" i="32"/>
  <c r="P111" i="32"/>
  <c r="P114" i="32"/>
  <c r="P118" i="32"/>
  <c r="P122" i="32"/>
  <c r="P126" i="32"/>
  <c r="P50" i="32"/>
  <c r="L56" i="32"/>
  <c r="P58" i="32"/>
  <c r="L64" i="32"/>
  <c r="P66" i="32"/>
  <c r="L72" i="32"/>
  <c r="P74" i="32"/>
  <c r="L80" i="32"/>
  <c r="P82" i="32"/>
  <c r="L88" i="32"/>
  <c r="P90" i="32"/>
  <c r="L96" i="32"/>
  <c r="P98" i="32"/>
  <c r="L104" i="32"/>
  <c r="P106" i="32"/>
  <c r="L112" i="32"/>
  <c r="P53" i="32"/>
  <c r="L59" i="32"/>
  <c r="P61" i="32"/>
  <c r="L67" i="32"/>
  <c r="P69" i="32"/>
  <c r="L75" i="32"/>
  <c r="P77" i="32"/>
  <c r="L83" i="32"/>
  <c r="P85" i="32"/>
  <c r="L91" i="32"/>
  <c r="P93" i="32"/>
  <c r="L99" i="32"/>
  <c r="P101" i="32"/>
  <c r="L107" i="32"/>
  <c r="P109" i="32"/>
  <c r="P115" i="32"/>
  <c r="P119" i="32"/>
  <c r="P123" i="32"/>
  <c r="P127" i="32"/>
  <c r="P56" i="32"/>
  <c r="L62" i="32"/>
  <c r="P64" i="32"/>
  <c r="L70" i="32"/>
  <c r="P72" i="32"/>
  <c r="L78" i="32"/>
  <c r="P80" i="32"/>
  <c r="L86" i="32"/>
  <c r="P88" i="32"/>
  <c r="L94" i="32"/>
  <c r="P96" i="32"/>
  <c r="L102" i="32"/>
  <c r="P104" i="32"/>
  <c r="L110" i="32"/>
  <c r="P112" i="32"/>
  <c r="P51" i="32"/>
  <c r="L57" i="32"/>
  <c r="P59" i="32"/>
  <c r="L65" i="32"/>
  <c r="P67" i="32"/>
  <c r="L73" i="32"/>
  <c r="P75" i="32"/>
  <c r="L81" i="32"/>
  <c r="P83" i="32"/>
  <c r="L89" i="32"/>
  <c r="P91" i="32"/>
  <c r="L97" i="32"/>
  <c r="P99" i="32"/>
  <c r="L105" i="32"/>
  <c r="P107" i="32"/>
  <c r="L113" i="32"/>
  <c r="P116" i="32"/>
  <c r="P120" i="32"/>
  <c r="P124" i="32"/>
  <c r="P128" i="32"/>
  <c r="N49" i="32"/>
  <c r="P54" i="32"/>
  <c r="L60" i="32"/>
  <c r="P62" i="32"/>
  <c r="L68" i="32"/>
  <c r="P70" i="32"/>
  <c r="L76" i="32"/>
  <c r="P78" i="32"/>
  <c r="L84" i="32"/>
  <c r="P86" i="32"/>
  <c r="L92" i="32"/>
  <c r="P94" i="32"/>
  <c r="L100" i="32"/>
  <c r="P102" i="32"/>
  <c r="L108" i="32"/>
  <c r="P110" i="32"/>
  <c r="P49" i="32"/>
  <c r="L55" i="32"/>
  <c r="P57" i="32"/>
  <c r="L63" i="32"/>
  <c r="P65" i="32"/>
  <c r="L71" i="32"/>
  <c r="P73" i="32"/>
  <c r="L79" i="32"/>
  <c r="P81" i="32"/>
  <c r="L87" i="32"/>
  <c r="P89" i="32"/>
  <c r="L95" i="32"/>
  <c r="P97" i="32"/>
  <c r="L103" i="32"/>
  <c r="P105" i="32"/>
  <c r="L111" i="32"/>
  <c r="P113" i="32"/>
  <c r="P117" i="32"/>
  <c r="P121" i="32"/>
  <c r="P125" i="32"/>
  <c r="K7" i="32" l="1"/>
  <c r="B9" i="19" s="1"/>
  <c r="M7" i="32"/>
  <c r="D9" i="19" s="1"/>
  <c r="L7" i="32"/>
  <c r="C9" i="19" s="1"/>
  <c r="H40" i="40" l="1"/>
  <c r="J40" i="40" s="1"/>
  <c r="M40" i="37"/>
  <c r="C40" i="40"/>
  <c r="E40" i="40" s="1"/>
  <c r="C40" i="14"/>
  <c r="E40" i="14" s="1"/>
  <c r="C41" i="41"/>
  <c r="E41" i="41" s="1"/>
  <c r="B83" i="41" s="1"/>
  <c r="B85" i="41" s="1"/>
  <c r="C40" i="37"/>
  <c r="E40" i="37" s="1"/>
  <c r="F41" i="32"/>
  <c r="G41" i="32" s="1"/>
  <c r="F40" i="32"/>
  <c r="G40" i="32" s="1"/>
  <c r="F39" i="32"/>
  <c r="G39" i="32" s="1"/>
  <c r="F38" i="32"/>
  <c r="G38" i="32" s="1"/>
  <c r="F37" i="32"/>
  <c r="G37" i="32" s="1"/>
  <c r="F36" i="32"/>
  <c r="G36" i="32" s="1"/>
  <c r="F35" i="32"/>
  <c r="G35" i="32" s="1"/>
  <c r="F34" i="32"/>
  <c r="G34" i="32" s="1"/>
  <c r="F33" i="32"/>
  <c r="G33" i="32" s="1"/>
  <c r="F32" i="32"/>
  <c r="G32" i="32" s="1"/>
  <c r="F31" i="32"/>
  <c r="G31" i="32" s="1"/>
  <c r="F30" i="32"/>
  <c r="G30" i="32" s="1"/>
  <c r="F29" i="32"/>
  <c r="G29" i="32" s="1"/>
  <c r="F28" i="32"/>
  <c r="G28" i="32" s="1"/>
  <c r="F27" i="32"/>
  <c r="G27" i="32" s="1"/>
  <c r="F26" i="32"/>
  <c r="G26" i="32" s="1"/>
  <c r="F25" i="32"/>
  <c r="G25" i="32" s="1"/>
  <c r="F24" i="32"/>
  <c r="G24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F16" i="32"/>
  <c r="G16" i="32" s="1"/>
  <c r="F15" i="32"/>
  <c r="G15" i="32" s="1"/>
  <c r="F14" i="32"/>
  <c r="G14" i="32" s="1"/>
  <c r="F13" i="32"/>
  <c r="G13" i="32" s="1"/>
  <c r="F12" i="32"/>
  <c r="G12" i="32" s="1"/>
  <c r="F7" i="32" l="1"/>
  <c r="G66" i="41" s="1"/>
  <c r="G65" i="37" l="1"/>
  <c r="C26" i="14" l="1"/>
  <c r="C6" i="31" l="1"/>
  <c r="D4" i="31" s="1"/>
  <c r="B21" i="19" l="1"/>
  <c r="M23" i="40"/>
  <c r="M36" i="40" s="1"/>
  <c r="M38" i="40" s="1"/>
  <c r="O38" i="40" s="1"/>
  <c r="H26" i="14" l="1"/>
  <c r="E45" i="10" l="1"/>
  <c r="E44" i="10"/>
  <c r="E43" i="10"/>
  <c r="E42" i="10"/>
  <c r="E41" i="10"/>
  <c r="E40" i="10"/>
  <c r="E39" i="10"/>
  <c r="E38" i="10"/>
  <c r="E37" i="10"/>
  <c r="E36" i="10"/>
  <c r="E35" i="10"/>
  <c r="E33" i="10"/>
  <c r="E32" i="10"/>
  <c r="E31" i="10"/>
  <c r="E30" i="10"/>
  <c r="E29" i="10"/>
  <c r="E28" i="10"/>
  <c r="E27" i="10"/>
  <c r="E26" i="10"/>
  <c r="E25" i="10"/>
  <c r="E24" i="10"/>
  <c r="E23" i="10"/>
  <c r="E13" i="10"/>
  <c r="E14" i="10"/>
  <c r="E15" i="10"/>
  <c r="E16" i="10"/>
  <c r="E17" i="10"/>
  <c r="E18" i="10"/>
  <c r="E19" i="10"/>
  <c r="E20" i="10"/>
  <c r="E21" i="10"/>
  <c r="E12" i="10"/>
  <c r="E11" i="10"/>
  <c r="H23" i="14" l="1"/>
  <c r="H23" i="37" l="1"/>
  <c r="C23" i="14"/>
  <c r="D6" i="10"/>
  <c r="D5" i="10"/>
  <c r="D4" i="10"/>
  <c r="B4" i="10"/>
  <c r="J3" i="19" l="1"/>
  <c r="K3" i="19"/>
  <c r="L3" i="19"/>
  <c r="C6" i="19"/>
  <c r="R22" i="40" s="1"/>
  <c r="R24" i="40" s="1"/>
  <c r="B6" i="19"/>
  <c r="H23" i="40" l="1"/>
  <c r="H36" i="40" s="1"/>
  <c r="H38" i="40" s="1"/>
  <c r="J38" i="40" s="1"/>
  <c r="M23" i="37"/>
  <c r="R25" i="40"/>
  <c r="R34" i="40" s="1"/>
  <c r="R35" i="40" l="1"/>
  <c r="R37" i="40" s="1"/>
  <c r="T37" i="40" s="1"/>
  <c r="B6" i="10"/>
  <c r="D3" i="19" s="1"/>
  <c r="B5" i="10"/>
  <c r="C3" i="19" s="1"/>
  <c r="H22" i="40" s="1"/>
  <c r="H24" i="40" s="1"/>
  <c r="B3" i="19"/>
  <c r="M22" i="37" s="1"/>
  <c r="M24" i="37" s="1"/>
  <c r="H25" i="40" l="1"/>
  <c r="H34" i="40" s="1"/>
  <c r="M25" i="37"/>
  <c r="M35" i="37" s="1"/>
  <c r="M37" i="37" s="1"/>
  <c r="O37" i="37" s="1"/>
  <c r="H35" i="40" l="1"/>
  <c r="H37" i="40" s="1"/>
  <c r="J37" i="40" s="1"/>
  <c r="M34" i="37"/>
  <c r="C10" i="14"/>
  <c r="B79" i="40" l="1"/>
  <c r="B81" i="40" s="1"/>
  <c r="F46" i="14"/>
  <c r="G46" i="14" s="1"/>
  <c r="F45" i="10" l="1"/>
  <c r="H45" i="10" s="1"/>
  <c r="F44" i="10"/>
  <c r="H44" i="10" s="1"/>
  <c r="F43" i="10"/>
  <c r="H43" i="10" s="1"/>
  <c r="F42" i="10"/>
  <c r="H42" i="10" s="1"/>
  <c r="F41" i="10"/>
  <c r="H41" i="10" s="1"/>
  <c r="F40" i="10"/>
  <c r="H40" i="10" s="1"/>
  <c r="F39" i="10"/>
  <c r="H39" i="10" s="1"/>
  <c r="F38" i="10"/>
  <c r="H38" i="10" s="1"/>
  <c r="F37" i="10"/>
  <c r="H37" i="10" s="1"/>
  <c r="F36" i="10"/>
  <c r="H36" i="10" s="1"/>
  <c r="F35" i="10"/>
  <c r="H35" i="10" s="1"/>
  <c r="F33" i="10"/>
  <c r="H33" i="10" s="1"/>
  <c r="F32" i="10"/>
  <c r="H32" i="10" s="1"/>
  <c r="F31" i="10"/>
  <c r="H31" i="10" s="1"/>
  <c r="F30" i="10"/>
  <c r="H30" i="10" s="1"/>
  <c r="F29" i="10"/>
  <c r="H29" i="10" s="1"/>
  <c r="F28" i="10"/>
  <c r="H28" i="10" s="1"/>
  <c r="F27" i="10"/>
  <c r="H27" i="10" s="1"/>
  <c r="F26" i="10"/>
  <c r="H26" i="10" s="1"/>
  <c r="F25" i="10"/>
  <c r="H25" i="10" s="1"/>
  <c r="F24" i="10"/>
  <c r="H24" i="10" s="1"/>
  <c r="O23" i="10"/>
  <c r="M23" i="10" s="1"/>
  <c r="F23" i="10"/>
  <c r="H23" i="10" s="1"/>
  <c r="F21" i="10"/>
  <c r="H21" i="10" s="1"/>
  <c r="F20" i="10"/>
  <c r="H20" i="10" s="1"/>
  <c r="F19" i="10"/>
  <c r="H19" i="10" s="1"/>
  <c r="F18" i="10"/>
  <c r="H18" i="10" s="1"/>
  <c r="F17" i="10"/>
  <c r="H17" i="10" s="1"/>
  <c r="F16" i="10"/>
  <c r="H16" i="10" s="1"/>
  <c r="F15" i="10"/>
  <c r="H15" i="10" s="1"/>
  <c r="F14" i="10"/>
  <c r="H14" i="10" s="1"/>
  <c r="O13" i="10"/>
  <c r="M13" i="10" s="1"/>
  <c r="F13" i="10"/>
  <c r="H13" i="10" s="1"/>
  <c r="F12" i="10"/>
  <c r="H12" i="10" s="1"/>
  <c r="F11" i="10"/>
  <c r="H11" i="10" s="1"/>
  <c r="B34" i="19"/>
  <c r="B33" i="19"/>
  <c r="A18" i="19"/>
  <c r="B64" i="14"/>
  <c r="T3" i="32" l="1"/>
  <c r="H32" i="41"/>
  <c r="H25" i="41" s="1"/>
  <c r="M36" i="37"/>
  <c r="M38" i="37" s="1"/>
  <c r="O38" i="37" s="1"/>
  <c r="R31" i="37"/>
  <c r="R36" i="37" s="1"/>
  <c r="R38" i="37" s="1"/>
  <c r="T38" i="37" s="1"/>
  <c r="H36" i="14"/>
  <c r="H38" i="14" s="1"/>
  <c r="J38" i="14" s="1"/>
  <c r="C31" i="14"/>
  <c r="N13" i="10"/>
  <c r="O14" i="10"/>
  <c r="M14" i="10" s="1"/>
  <c r="N23" i="10"/>
  <c r="O24" i="10"/>
  <c r="M24" i="10" s="1"/>
  <c r="H24" i="37" l="1"/>
  <c r="H36" i="37"/>
  <c r="H38" i="37" s="1"/>
  <c r="J38" i="37" s="1"/>
  <c r="G82" i="37" s="1"/>
  <c r="G84" i="37" s="1"/>
  <c r="H86" i="37" s="1"/>
  <c r="H26" i="41"/>
  <c r="H35" i="41" s="1"/>
  <c r="U12" i="32"/>
  <c r="AA57" i="32"/>
  <c r="AA26" i="32"/>
  <c r="AA19" i="32"/>
  <c r="AA28" i="32"/>
  <c r="AA37" i="32"/>
  <c r="AA46" i="32"/>
  <c r="U15" i="32"/>
  <c r="Y32" i="32"/>
  <c r="W56" i="32"/>
  <c r="W15" i="32"/>
  <c r="W20" i="32"/>
  <c r="Y21" i="32"/>
  <c r="W30" i="32"/>
  <c r="W43" i="32"/>
  <c r="U16" i="32"/>
  <c r="U55" i="32"/>
  <c r="U41" i="32"/>
  <c r="Y31" i="32"/>
  <c r="W23" i="32"/>
  <c r="U58" i="32"/>
  <c r="W40" i="32"/>
  <c r="U24" i="32"/>
  <c r="Y14" i="32"/>
  <c r="W13" i="32"/>
  <c r="Y12" i="32"/>
  <c r="AA60" i="32"/>
  <c r="Y36" i="32"/>
  <c r="W25" i="32"/>
  <c r="U37" i="32"/>
  <c r="Y15" i="32"/>
  <c r="Y24" i="32"/>
  <c r="Y60" i="32"/>
  <c r="AA59" i="32"/>
  <c r="W48" i="32"/>
  <c r="U51" i="32"/>
  <c r="W59" i="32"/>
  <c r="Y46" i="32"/>
  <c r="AA23" i="32"/>
  <c r="AA34" i="32"/>
  <c r="AA27" i="32"/>
  <c r="AA36" i="32"/>
  <c r="AA45" i="32"/>
  <c r="AA54" i="32"/>
  <c r="Y48" i="32"/>
  <c r="Y25" i="32"/>
  <c r="W42" i="32"/>
  <c r="W49" i="32"/>
  <c r="W60" i="32"/>
  <c r="W24" i="32"/>
  <c r="W52" i="32"/>
  <c r="W35" i="32"/>
  <c r="U18" i="32"/>
  <c r="U49" i="32"/>
  <c r="Y35" i="32"/>
  <c r="W32" i="32"/>
  <c r="U13" i="32"/>
  <c r="Y56" i="32"/>
  <c r="W57" i="32"/>
  <c r="W50" i="32"/>
  <c r="W12" i="32"/>
  <c r="AA58" i="32"/>
  <c r="AA47" i="32"/>
  <c r="W39" i="32"/>
  <c r="W45" i="32"/>
  <c r="U43" i="32"/>
  <c r="AA33" i="32"/>
  <c r="AA40" i="32"/>
  <c r="AA12" i="32"/>
  <c r="Y53" i="32"/>
  <c r="Y29" i="32"/>
  <c r="U34" i="32"/>
  <c r="AA55" i="32"/>
  <c r="AA42" i="32"/>
  <c r="AA35" i="32"/>
  <c r="AA44" i="32"/>
  <c r="AA53" i="32"/>
  <c r="AA15" i="32"/>
  <c r="U54" i="32"/>
  <c r="U30" i="32"/>
  <c r="U52" i="32"/>
  <c r="U36" i="32"/>
  <c r="Y13" i="32"/>
  <c r="Y18" i="32"/>
  <c r="W38" i="32"/>
  <c r="W37" i="32"/>
  <c r="Y61" i="32"/>
  <c r="W61" i="32"/>
  <c r="W44" i="32"/>
  <c r="W27" i="32"/>
  <c r="U57" i="32"/>
  <c r="Y39" i="32"/>
  <c r="W41" i="32"/>
  <c r="U21" i="32"/>
  <c r="Y42" i="32"/>
  <c r="W51" i="32"/>
  <c r="AA32" i="32"/>
  <c r="AA14" i="32"/>
  <c r="W16" i="32"/>
  <c r="U14" i="32"/>
  <c r="Y38" i="32"/>
  <c r="U23" i="32"/>
  <c r="Y47" i="32"/>
  <c r="W46" i="32"/>
  <c r="AA13" i="32"/>
  <c r="Y19" i="32"/>
  <c r="AA17" i="32"/>
  <c r="AA24" i="32"/>
  <c r="AA50" i="32"/>
  <c r="AA43" i="32"/>
  <c r="AA52" i="32"/>
  <c r="AA61" i="32"/>
  <c r="AA31" i="32"/>
  <c r="U46" i="32"/>
  <c r="U38" i="32"/>
  <c r="Y50" i="32"/>
  <c r="W54" i="32"/>
  <c r="W22" i="32"/>
  <c r="Y58" i="32"/>
  <c r="W31" i="32"/>
  <c r="Y52" i="32"/>
  <c r="U29" i="32"/>
  <c r="W53" i="32"/>
  <c r="W36" i="32"/>
  <c r="U20" i="32"/>
  <c r="Y43" i="32"/>
  <c r="W55" i="32"/>
  <c r="U59" i="32"/>
  <c r="Y33" i="32"/>
  <c r="W28" i="32"/>
  <c r="W14" i="32"/>
  <c r="AA25" i="32"/>
  <c r="AA51" i="32"/>
  <c r="Y54" i="32"/>
  <c r="Y57" i="32"/>
  <c r="Y49" i="32"/>
  <c r="U26" i="32"/>
  <c r="AA22" i="32"/>
  <c r="Y41" i="32"/>
  <c r="Y40" i="32"/>
  <c r="W34" i="32"/>
  <c r="AA41" i="32"/>
  <c r="AA56" i="32"/>
  <c r="AA16" i="32"/>
  <c r="AA39" i="32"/>
  <c r="AA21" i="32"/>
  <c r="AA30" i="32"/>
  <c r="Y20" i="32"/>
  <c r="W33" i="32"/>
  <c r="U17" i="32"/>
  <c r="Y22" i="32"/>
  <c r="U35" i="32"/>
  <c r="Y26" i="32"/>
  <c r="U48" i="32"/>
  <c r="Y44" i="32"/>
  <c r="U44" i="32"/>
  <c r="U53" i="32"/>
  <c r="U39" i="32"/>
  <c r="U25" i="32"/>
  <c r="Y23" i="32"/>
  <c r="Y55" i="32"/>
  <c r="U42" i="32"/>
  <c r="W18" i="32"/>
  <c r="U56" i="32"/>
  <c r="Y37" i="32"/>
  <c r="W58" i="32"/>
  <c r="AA49" i="32"/>
  <c r="AA18" i="32"/>
  <c r="AA20" i="32"/>
  <c r="AA29" i="32"/>
  <c r="Y34" i="32"/>
  <c r="Y16" i="32"/>
  <c r="W21" i="32"/>
  <c r="W29" i="32"/>
  <c r="U61" i="32"/>
  <c r="U33" i="32"/>
  <c r="Y27" i="32"/>
  <c r="U50" i="32"/>
  <c r="W19" i="32"/>
  <c r="U60" i="32"/>
  <c r="U31" i="32"/>
  <c r="U27" i="32"/>
  <c r="U19" i="32"/>
  <c r="W17" i="32"/>
  <c r="AA48" i="32"/>
  <c r="AA38" i="32"/>
  <c r="U22" i="32"/>
  <c r="Y17" i="32"/>
  <c r="U32" i="32"/>
  <c r="Y30" i="32"/>
  <c r="U28" i="32"/>
  <c r="U47" i="32"/>
  <c r="Y59" i="32"/>
  <c r="W47" i="32"/>
  <c r="U40" i="32"/>
  <c r="Y28" i="32"/>
  <c r="W26" i="32"/>
  <c r="Y45" i="32"/>
  <c r="U45" i="32"/>
  <c r="Y51" i="32"/>
  <c r="C36" i="14"/>
  <c r="C38" i="14" s="1"/>
  <c r="E38" i="14" s="1"/>
  <c r="G63" i="14" s="1"/>
  <c r="C24" i="14"/>
  <c r="N14" i="10"/>
  <c r="N4" i="10" s="1"/>
  <c r="J6" i="19" s="1"/>
  <c r="O15" i="10"/>
  <c r="M15" i="10" s="1"/>
  <c r="N24" i="10"/>
  <c r="N5" i="10" s="1"/>
  <c r="K6" i="19" s="1"/>
  <c r="R23" i="40" s="1"/>
  <c r="R36" i="40" s="1"/>
  <c r="R38" i="40" s="1"/>
  <c r="T38" i="40" s="1"/>
  <c r="G82" i="40" s="1"/>
  <c r="G84" i="40" s="1"/>
  <c r="H86" i="40" s="1"/>
  <c r="O25" i="10"/>
  <c r="M25" i="10" s="1"/>
  <c r="H36" i="41" l="1"/>
  <c r="H37" i="41" s="1"/>
  <c r="J38" i="41" s="1"/>
  <c r="B80" i="41" s="1"/>
  <c r="B82" i="41" s="1"/>
  <c r="C89" i="41" s="1"/>
  <c r="C91" i="41" s="1"/>
  <c r="D41" i="34" s="1"/>
  <c r="G41" i="34" s="1"/>
  <c r="E39" i="34"/>
  <c r="H88" i="37"/>
  <c r="V7" i="32"/>
  <c r="D11" i="19" s="1"/>
  <c r="D12" i="19" s="1"/>
  <c r="M40" i="40" s="1"/>
  <c r="O40" i="40" s="1"/>
  <c r="W7" i="32"/>
  <c r="E11" i="19" s="1"/>
  <c r="H40" i="14" s="1"/>
  <c r="U7" i="32"/>
  <c r="C11" i="19" s="1"/>
  <c r="T7" i="32"/>
  <c r="B11" i="19" s="1"/>
  <c r="B12" i="19" s="1"/>
  <c r="H25" i="37"/>
  <c r="H35" i="37" s="1"/>
  <c r="H37" i="37" s="1"/>
  <c r="J37" i="37" s="1"/>
  <c r="B79" i="37" s="1"/>
  <c r="B81" i="37" s="1"/>
  <c r="H88" i="40"/>
  <c r="E40" i="34"/>
  <c r="B61" i="14"/>
  <c r="H24" i="14"/>
  <c r="H25" i="14" s="1"/>
  <c r="H34" i="14" s="1"/>
  <c r="G65" i="14"/>
  <c r="C25" i="14"/>
  <c r="C34" i="14" s="1"/>
  <c r="N25" i="10"/>
  <c r="O26" i="10"/>
  <c r="M26" i="10" s="1"/>
  <c r="O16" i="10"/>
  <c r="M16" i="10" s="1"/>
  <c r="N15" i="10"/>
  <c r="E12" i="19" l="1"/>
  <c r="J40" i="14"/>
  <c r="B63" i="14" s="1"/>
  <c r="B65" i="14" s="1"/>
  <c r="H40" i="37"/>
  <c r="J40" i="37" s="1"/>
  <c r="C12" i="19"/>
  <c r="R40" i="40"/>
  <c r="T40" i="40" s="1"/>
  <c r="B82" i="40" s="1"/>
  <c r="B84" i="40" s="1"/>
  <c r="C88" i="40" s="1"/>
  <c r="C90" i="40" s="1"/>
  <c r="F91" i="40" s="1"/>
  <c r="C95" i="41"/>
  <c r="G94" i="41"/>
  <c r="C92" i="41"/>
  <c r="H34" i="37"/>
  <c r="H41" i="34"/>
  <c r="L41" i="34"/>
  <c r="F21" i="45"/>
  <c r="F22" i="45" s="1"/>
  <c r="E42" i="34"/>
  <c r="H35" i="14"/>
  <c r="H37" i="14" s="1"/>
  <c r="J37" i="14" s="1"/>
  <c r="C35" i="14"/>
  <c r="C37" i="14" s="1"/>
  <c r="O27" i="10"/>
  <c r="M27" i="10" s="1"/>
  <c r="N26" i="10"/>
  <c r="N16" i="10"/>
  <c r="O17" i="10"/>
  <c r="M17" i="10" s="1"/>
  <c r="C91" i="40" l="1"/>
  <c r="C93" i="40"/>
  <c r="D40" i="34"/>
  <c r="G40" i="34" s="1"/>
  <c r="E21" i="45" s="1"/>
  <c r="E22" i="45" s="1"/>
  <c r="E37" i="14"/>
  <c r="B60" i="14" s="1"/>
  <c r="N17" i="10"/>
  <c r="O18" i="10"/>
  <c r="M18" i="10" s="1"/>
  <c r="O28" i="10"/>
  <c r="M28" i="10" s="1"/>
  <c r="N27" i="10"/>
  <c r="H40" i="34" l="1"/>
  <c r="L40" i="34"/>
  <c r="B62" i="14"/>
  <c r="N28" i="10"/>
  <c r="O29" i="10"/>
  <c r="M29" i="10" s="1"/>
  <c r="O19" i="10"/>
  <c r="M19" i="10" s="1"/>
  <c r="N18" i="10"/>
  <c r="C69" i="14" l="1"/>
  <c r="C71" i="14" s="1"/>
  <c r="C73" i="14" s="1"/>
  <c r="O20" i="10"/>
  <c r="M20" i="10" s="1"/>
  <c r="N19" i="10"/>
  <c r="N29" i="10"/>
  <c r="O30" i="10"/>
  <c r="M30" i="10" s="1"/>
  <c r="D38" i="34" l="1"/>
  <c r="N30" i="10"/>
  <c r="O31" i="10"/>
  <c r="M31" i="10" s="1"/>
  <c r="O21" i="10"/>
  <c r="M21" i="10" s="1"/>
  <c r="N20" i="10"/>
  <c r="G38" i="34" l="1"/>
  <c r="N21" i="10"/>
  <c r="N31" i="10"/>
  <c r="C21" i="45" l="1"/>
  <c r="C22" i="45" s="1"/>
  <c r="L38" i="34"/>
  <c r="H38" i="34"/>
  <c r="H67" i="14" l="1"/>
  <c r="AQ34" i="32"/>
  <c r="AQ66" i="32" l="1"/>
  <c r="AP8" i="32" s="1"/>
  <c r="AQ37" i="32"/>
  <c r="O40" i="37" l="1"/>
  <c r="B82" i="37" s="1"/>
  <c r="B84" i="37" s="1"/>
  <c r="C88" i="37" s="1"/>
  <c r="C90" i="37" s="1"/>
  <c r="D39" i="34" l="1"/>
  <c r="D42" i="34" s="1"/>
  <c r="F92" i="37"/>
  <c r="C94" i="37"/>
  <c r="C92" i="37"/>
  <c r="G39" i="34" l="1"/>
  <c r="L39" i="34" s="1"/>
  <c r="D21" i="45"/>
  <c r="D22" i="45" s="1"/>
  <c r="H39" i="34"/>
  <c r="G42" i="34" l="1"/>
  <c r="H42" i="34" l="1"/>
  <c r="L42" i="34"/>
  <c r="C32" i="34" l="1"/>
  <c r="F32" i="34" l="1"/>
  <c r="G26" i="34" s="1"/>
  <c r="G31" i="34" l="1"/>
  <c r="G25" i="34"/>
  <c r="G30" i="34"/>
  <c r="G32" i="34" l="1"/>
</calcChain>
</file>

<file path=xl/sharedStrings.xml><?xml version="1.0" encoding="utf-8"?>
<sst xmlns="http://schemas.openxmlformats.org/spreadsheetml/2006/main" count="2016" uniqueCount="536">
  <si>
    <t>Essence</t>
  </si>
  <si>
    <t>Plantation</t>
  </si>
  <si>
    <t>Eclaircie 2</t>
  </si>
  <si>
    <t>Eclaircie 3</t>
  </si>
  <si>
    <t>Colonne1</t>
  </si>
  <si>
    <t>Chataignier</t>
  </si>
  <si>
    <t>C.Fertilité</t>
  </si>
  <si>
    <t>Age</t>
  </si>
  <si>
    <t>Vt</t>
  </si>
  <si>
    <t>Ve</t>
  </si>
  <si>
    <t>ACV</t>
  </si>
  <si>
    <t>PVT</t>
  </si>
  <si>
    <t>C.F</t>
  </si>
  <si>
    <t>PTV</t>
  </si>
  <si>
    <t>Accroissement moyen (m3/ha/an)</t>
  </si>
  <si>
    <t xml:space="preserve">Prix moyen m3 bois à l'age de la coupe </t>
  </si>
  <si>
    <t>Taux actualisation</t>
  </si>
  <si>
    <t xml:space="preserve">Volume commercialisable à l'age de la coupe </t>
  </si>
  <si>
    <t>CALCUL DE LA VAN :</t>
  </si>
  <si>
    <t>Chêne</t>
  </si>
  <si>
    <t>Pin Laricio</t>
  </si>
  <si>
    <t>Pin Maritime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</si>
  <si>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</si>
  <si>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</si>
  <si>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</si>
  <si>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</si>
  <si>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</si>
  <si>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</si>
  <si>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</si>
  <si>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</si>
  <si>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</si>
  <si>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</si>
  <si>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</si>
  <si>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</si>
  <si>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</si>
  <si>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</si>
  <si>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infradensité de l'essence</t>
  </si>
  <si>
    <t>Surface :</t>
  </si>
  <si>
    <t>ha</t>
  </si>
  <si>
    <t>Variables</t>
  </si>
  <si>
    <t>V</t>
  </si>
  <si>
    <t>Sprojet (30)</t>
  </si>
  <si>
    <t>Poursuite culture agricole</t>
  </si>
  <si>
    <t>Poursuite prairie ou pature</t>
  </si>
  <si>
    <t>AM</t>
  </si>
  <si>
    <t>P</t>
  </si>
  <si>
    <t>r</t>
  </si>
  <si>
    <t>Vf</t>
  </si>
  <si>
    <t>tCO2</t>
  </si>
  <si>
    <t>TABLE DE PRODUCTION - (DECOURT 1972) OUEST DU MASSIF CENTRAL</t>
  </si>
  <si>
    <t xml:space="preserve">DOUGLAS </t>
  </si>
  <si>
    <t xml:space="preserve">Classe de fertilité </t>
  </si>
  <si>
    <t>V(30)</t>
  </si>
  <si>
    <t>Bilan des essais forestiers consacrés au chataignier (Castanea sativa) en Bretagne CRPF</t>
  </si>
  <si>
    <t>CHENE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</si>
  <si>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</si>
  <si>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</si>
  <si>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</si>
  <si>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</si>
  <si>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</si>
  <si>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</si>
  <si>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</si>
  <si>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</si>
  <si>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</si>
  <si>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</si>
  <si>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</si>
  <si>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</si>
  <si>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</si>
  <si>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</si>
  <si>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</si>
  <si>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</si>
  <si>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Classe de fertilité</t>
  </si>
  <si>
    <t>technique et forêt "Première approche de la production potentielle du cèdre de l'atlas" J.TOTH</t>
  </si>
  <si>
    <t>Rialsesse "moyen"</t>
  </si>
  <si>
    <t>Ventoux "moyen"</t>
  </si>
  <si>
    <t xml:space="preserve">Douglas </t>
  </si>
  <si>
    <t>infradensité de l'essence (TMS/m3)</t>
  </si>
  <si>
    <t xml:space="preserve">Vignes et vergers </t>
  </si>
  <si>
    <t>S sol (TC/ha)</t>
  </si>
  <si>
    <t>Le projet de boisement se situe sur des parcelles qui, l’année précédant la présente demande de certification, étaient :</t>
  </si>
  <si>
    <t>Embrousaillement/friche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</si>
  <si>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</si>
  <si>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</si>
  <si>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</si>
  <si>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</si>
  <si>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</si>
  <si>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</si>
  <si>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</si>
  <si>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Sref accrus (T CO2/ha)</t>
  </si>
  <si>
    <t>Sref accrus TCO2</t>
  </si>
  <si>
    <t>Sref  (30)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</si>
  <si>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</si>
  <si>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</si>
  <si>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</si>
  <si>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</si>
  <si>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</si>
  <si>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</si>
  <si>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</si>
  <si>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</si>
  <si>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</si>
  <si>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</si>
  <si>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</si>
  <si>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</si>
  <si>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CR</t>
  </si>
  <si>
    <t>C.F 2</t>
  </si>
  <si>
    <t>C.F 3</t>
  </si>
  <si>
    <t>VAN</t>
  </si>
  <si>
    <t>VAN Boisement</t>
  </si>
  <si>
    <t>S projet</t>
  </si>
  <si>
    <t>REA forêt</t>
  </si>
  <si>
    <t xml:space="preserve">S ref </t>
  </si>
  <si>
    <t>Prix (40€/TCO2)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</si>
  <si>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</si>
  <si>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</si>
  <si>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</si>
  <si>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</si>
  <si>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</si>
  <si>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</si>
  <si>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</si>
  <si>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</si>
  <si>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</si>
  <si>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</si>
  <si>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</si>
  <si>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</si>
  <si>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</si>
  <si>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</si>
  <si>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</si>
  <si>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</si>
  <si>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</si>
  <si>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</si>
  <si>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</si>
  <si>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</si>
  <si>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</si>
  <si>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</si>
  <si>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</si>
  <si>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 xml:space="preserve">Chêne - ONF chenaie Atlantique </t>
  </si>
  <si>
    <t>Densité</t>
  </si>
  <si>
    <t>Rabais pour absence d'analyse économique pour l'additionnalié (0 ou - 5 %)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</si>
  <si>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</si>
  <si>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</si>
  <si>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</si>
  <si>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</si>
  <si>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</si>
  <si>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</si>
  <si>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</si>
  <si>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</si>
  <si>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</si>
  <si>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</si>
  <si>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BO - Bois d'Œuvre</t>
  </si>
  <si>
    <t>BI - Bois d'Industrie</t>
  </si>
  <si>
    <t>BE - Bois Energie</t>
  </si>
  <si>
    <t>Classes de Fertifilité Existantes (Voir table)</t>
  </si>
  <si>
    <t>Classe</t>
  </si>
  <si>
    <t>Sref accrus (30) - Croissance du peuplement existant</t>
  </si>
  <si>
    <t>VAN Accru - Peuplement existant</t>
  </si>
  <si>
    <t xml:space="preserve">     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</si>
  <si>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</si>
  <si>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</si>
  <si>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</si>
  <si>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</si>
  <si>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</si>
  <si>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</si>
  <si>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</si>
  <si>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</si>
  <si>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</si>
  <si>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</si>
  <si>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</si>
  <si>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</si>
  <si>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</si>
  <si>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</si>
  <si>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</si>
  <si>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</si>
  <si>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de bois sur pied (en m3)</t>
  </si>
  <si>
    <t>Volume éclaircie en bois d'industrie ( en m3)</t>
  </si>
  <si>
    <t>S produit Ess 1 (TCO2)</t>
  </si>
  <si>
    <t>TCO2</t>
  </si>
  <si>
    <t>S produits (T CO2/ha)</t>
  </si>
  <si>
    <t>REA - Méthode Boisement</t>
  </si>
  <si>
    <t>Il n'y a pas de produits issus d'éclaircies dans le scénario de référence</t>
  </si>
  <si>
    <t>S produit Ess 2 (TCO2)</t>
  </si>
  <si>
    <t>S produit Ess 2 (T CO2/ha)</t>
  </si>
  <si>
    <t>S produit Ess 3 (TCO2)</t>
  </si>
  <si>
    <t>S produit Ess 3 (T CO2/ha)</t>
  </si>
  <si>
    <t>S produit Ess 4 (T CO2/ha)</t>
  </si>
  <si>
    <t>S produit Ess 4(TCO2)</t>
  </si>
  <si>
    <t>REA produit</t>
  </si>
  <si>
    <t xml:space="preserve">REA Produits </t>
  </si>
  <si>
    <t>Robinier</t>
  </si>
  <si>
    <t>Stock de carbone dans les sols (en tC)</t>
  </si>
  <si>
    <t>Chêne pubescent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</si>
  <si>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</si>
  <si>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</si>
  <si>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</si>
  <si>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H0 (m)</t>
  </si>
  <si>
    <t>D0 (cm)</t>
  </si>
  <si>
    <t>G/ha (m²/ha)</t>
  </si>
  <si>
    <t>V/ha (m3/ha)</t>
  </si>
  <si>
    <t>REA produit générables</t>
  </si>
  <si>
    <t xml:space="preserve"> Robinier - Assimilé au Chataignier - Bilan des essais forestiers consacrés au chataignier en Bretagne CRPF</t>
  </si>
  <si>
    <t>tC/ha</t>
  </si>
  <si>
    <t>TC02/projet</t>
  </si>
  <si>
    <t>Sref accrus (T C / ha)</t>
  </si>
  <si>
    <t>Année</t>
  </si>
  <si>
    <t>Recettes</t>
  </si>
  <si>
    <t>Dépenses</t>
  </si>
  <si>
    <t xml:space="preserve">Plantation </t>
  </si>
  <si>
    <t>Entretien année N+1</t>
  </si>
  <si>
    <t>Entretien année N+2</t>
  </si>
  <si>
    <t>Entretien année N+3</t>
  </si>
  <si>
    <t xml:space="preserve">Eclaircie 1 </t>
  </si>
  <si>
    <t>Subvention</t>
  </si>
  <si>
    <t>Ve eclaircie</t>
  </si>
  <si>
    <t>PVT (m3)</t>
  </si>
  <si>
    <t>Ve éclaircie</t>
  </si>
  <si>
    <t>Accrus</t>
  </si>
  <si>
    <t>inf.</t>
  </si>
  <si>
    <t>Stock MLT ref</t>
  </si>
  <si>
    <t>Accroissement accrus 1M3/ha/an</t>
  </si>
  <si>
    <t xml:space="preserve">Age </t>
  </si>
  <si>
    <t>Volume (m3)</t>
  </si>
  <si>
    <t>S (TCO2)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</si>
  <si>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</si>
  <si>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</si>
  <si>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</si>
  <si>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</si>
  <si>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</si>
  <si>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</si>
  <si>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</si>
  <si>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</si>
  <si>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</si>
  <si>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</si>
  <si>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</si>
  <si>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</si>
  <si>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</si>
  <si>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</si>
  <si>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</si>
  <si>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</si>
  <si>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</si>
  <si>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</si>
  <si>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Stock moyen long terme VERRA (TC02)</t>
  </si>
  <si>
    <t>SMLT projet</t>
  </si>
  <si>
    <t xml:space="preserve">SMLT ref </t>
  </si>
  <si>
    <t>SMTL (verra)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</si>
  <si>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</si>
  <si>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>SMLT ref</t>
  </si>
  <si>
    <t xml:space="preserve">Stock moyen long terme </t>
  </si>
  <si>
    <t>TC02</t>
  </si>
  <si>
    <t>Peuplier</t>
  </si>
  <si>
    <t>Volume total</t>
  </si>
  <si>
    <t>Circonférence (cm)</t>
  </si>
  <si>
    <t>Diamètre</t>
  </si>
  <si>
    <t>H (m)</t>
  </si>
  <si>
    <t>Vunitaire</t>
  </si>
  <si>
    <t>Vpeuplement</t>
  </si>
  <si>
    <t>Somme</t>
  </si>
  <si>
    <t>Somme stock</t>
  </si>
  <si>
    <t>ref</t>
  </si>
  <si>
    <t>REA foret</t>
  </si>
  <si>
    <t>Surface</t>
  </si>
  <si>
    <t>Nature des actions (type de travaux)</t>
  </si>
  <si>
    <t>Précision action (essence)</t>
  </si>
  <si>
    <t xml:space="preserve">Prix unitaire €HT/ha </t>
  </si>
  <si>
    <t>Surface demandée (ha)</t>
  </si>
  <si>
    <t>Montant prévisionnel HT par action (€)</t>
  </si>
  <si>
    <t>Prestataire à l'origine du devis</t>
  </si>
  <si>
    <t>N plants</t>
  </si>
  <si>
    <t>TOTAL (€)</t>
  </si>
  <si>
    <t>MONTANT TOTAL DES INVESTISSEMENTS MATERIELS A TITRE PRINCIPAL</t>
  </si>
  <si>
    <t>MONTANT PREVISIONNEL DES DEPENSES IMMATERIELLES (Frais de maîtrise d'œuvre)</t>
  </si>
  <si>
    <t>MONTANT PREVISIONNEL TOTAL</t>
  </si>
  <si>
    <t>Ess 2</t>
  </si>
  <si>
    <t xml:space="preserve">ESS1 </t>
  </si>
  <si>
    <t>VAN Projet</t>
  </si>
  <si>
    <t>Montant des travaux - DEVIS</t>
  </si>
  <si>
    <t>ESS1</t>
  </si>
  <si>
    <t>Chêne rouvre</t>
  </si>
  <si>
    <t>Surface totale</t>
  </si>
  <si>
    <t>Nbr plants</t>
  </si>
  <si>
    <t>Noyer</t>
  </si>
  <si>
    <t>Tilleuil</t>
  </si>
  <si>
    <t>Cormier</t>
  </si>
  <si>
    <t>Poirier</t>
  </si>
  <si>
    <t>Néflier</t>
  </si>
  <si>
    <t>plants/ha</t>
  </si>
  <si>
    <t>Répartition</t>
  </si>
  <si>
    <t>Surface (ha)</t>
  </si>
  <si>
    <t>Prairie</t>
  </si>
  <si>
    <t>DE LA RIVIERE</t>
  </si>
  <si>
    <t>Chêne rouvre et pubescent</t>
  </si>
  <si>
    <t>Travaux du sol (rota et sous-soleuse)</t>
  </si>
  <si>
    <t>²</t>
  </si>
  <si>
    <t xml:space="preserve">Mise en place </t>
  </si>
  <si>
    <t>Fourniture plants</t>
  </si>
  <si>
    <t xml:space="preserve">Mélange feuillus divers </t>
  </si>
  <si>
    <t>Traitement Trico (4 fois)</t>
  </si>
  <si>
    <t>TOTAL</t>
  </si>
  <si>
    <t>Maitrise d'œuvre</t>
  </si>
  <si>
    <t>ESS12</t>
  </si>
  <si>
    <t>FEUILLUS DIVERS</t>
  </si>
  <si>
    <t xml:space="preserve">VAN PROJET </t>
  </si>
  <si>
    <t>DE LANGLE</t>
  </si>
  <si>
    <t>Hêtre</t>
  </si>
  <si>
    <t>Chêne rouge</t>
  </si>
  <si>
    <t>Sapin de nordman</t>
  </si>
  <si>
    <t>Tulipier de virginie</t>
  </si>
  <si>
    <t>If</t>
  </si>
  <si>
    <t>m</t>
  </si>
  <si>
    <t>cm</t>
  </si>
  <si>
    <r>
      <t>H</t>
    </r>
    <r>
      <rPr>
        <vertAlign val="sub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 xml:space="preserve"> (30)</t>
    </r>
  </si>
  <si>
    <r>
      <t>C</t>
    </r>
    <r>
      <rPr>
        <vertAlign val="subscript"/>
        <sz val="11"/>
        <color theme="1"/>
        <rFont val="Calibri"/>
        <family val="2"/>
        <scheme val="minor"/>
      </rPr>
      <t xml:space="preserve">1,3 </t>
    </r>
    <r>
      <rPr>
        <sz val="11"/>
        <color theme="1"/>
        <rFont val="Calibri"/>
        <family val="2"/>
        <scheme val="minor"/>
      </rPr>
      <t xml:space="preserve">(30) </t>
    </r>
  </si>
  <si>
    <t>Do (30)</t>
  </si>
  <si>
    <t>m3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</si>
  <si>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</si>
  <si>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V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(30)</t>
    </r>
  </si>
  <si>
    <t>CHATAIGNER</t>
  </si>
  <si>
    <t>Plants/ha</t>
  </si>
  <si>
    <t>Volume bois fort (CNPF 2010, p.7)</t>
  </si>
  <si>
    <t>Sapin de Nordmann</t>
  </si>
  <si>
    <t xml:space="preserve">Sapin de Nordmann - Bilan des introductions et perspectives d'utilisation du Sapin de Nordmann en Bretagne, CRPF 2010 </t>
  </si>
  <si>
    <t>Vbf(m3)</t>
  </si>
  <si>
    <t>CF.1</t>
  </si>
  <si>
    <t xml:space="preserve">Surface projet </t>
  </si>
  <si>
    <t>Sequoia</t>
  </si>
  <si>
    <t>Charme</t>
  </si>
  <si>
    <t>Alisier torminal</t>
  </si>
  <si>
    <t>LETOURNEUX</t>
  </si>
  <si>
    <t>HP</t>
  </si>
  <si>
    <t>CF.4</t>
  </si>
  <si>
    <t>Vcf4</t>
  </si>
  <si>
    <t>S cf4</t>
  </si>
  <si>
    <t>CF4</t>
  </si>
  <si>
    <t>CF.2</t>
  </si>
  <si>
    <t>Densité Chêne</t>
  </si>
  <si>
    <t>Densité Peuplier</t>
  </si>
  <si>
    <t>CONUAU</t>
  </si>
  <si>
    <t>Station 9 : riche et fraiche, IDF/CNPF</t>
  </si>
  <si>
    <t>Densité peuplier</t>
  </si>
  <si>
    <t>Cbi</t>
  </si>
  <si>
    <t>Cbo</t>
  </si>
  <si>
    <t>année n</t>
  </si>
  <si>
    <t>Cprojet - Cref</t>
  </si>
  <si>
    <t>Cref</t>
  </si>
  <si>
    <t xml:space="preserve">C projet </t>
  </si>
  <si>
    <t>REA produits</t>
  </si>
  <si>
    <t xml:space="preserve">TCO2 /ha </t>
  </si>
  <si>
    <t>REA substitution</t>
  </si>
  <si>
    <t xml:space="preserve">REA produit </t>
  </si>
  <si>
    <r>
      <t>V</t>
    </r>
    <r>
      <rPr>
        <vertAlign val="subscript"/>
        <sz val="11"/>
        <color theme="1"/>
        <rFont val="Calibri"/>
        <family val="2"/>
        <scheme val="minor"/>
      </rPr>
      <t>bf</t>
    </r>
    <r>
      <rPr>
        <sz val="11"/>
        <color theme="1"/>
        <rFont val="Calibri"/>
        <family val="2"/>
        <scheme val="minor"/>
      </rPr>
      <t>(23)</t>
    </r>
  </si>
  <si>
    <t>m3/ha</t>
  </si>
  <si>
    <t>REA Substitution</t>
  </si>
  <si>
    <t>REA TOTAL</t>
  </si>
  <si>
    <t>tC02/ha</t>
  </si>
  <si>
    <t>Projet</t>
  </si>
  <si>
    <t>REA (TC02/ha)</t>
  </si>
  <si>
    <t>Nom</t>
  </si>
  <si>
    <t>nbre</t>
  </si>
  <si>
    <t>surface</t>
  </si>
  <si>
    <t>F</t>
  </si>
  <si>
    <t>R</t>
  </si>
  <si>
    <t>Type</t>
  </si>
  <si>
    <t>REA foret (TC02</t>
  </si>
  <si>
    <t>REA produit (TC02)</t>
  </si>
  <si>
    <t>REA total (TC02)</t>
  </si>
  <si>
    <t>REA substitution  (TC02)</t>
  </si>
  <si>
    <t xml:space="preserve">Chêne rouvre </t>
  </si>
  <si>
    <t>Préparation du sol dent MSS</t>
  </si>
  <si>
    <t>Protection chevreuil</t>
  </si>
  <si>
    <t>Plantation tarrière</t>
  </si>
  <si>
    <t>Taille de formation année N+5</t>
  </si>
  <si>
    <t>Elagage peuplier n+ 4</t>
  </si>
  <si>
    <t>Elagage peuplier n+ 7</t>
  </si>
  <si>
    <t xml:space="preserve">VAN </t>
  </si>
  <si>
    <t>Propriétaire</t>
  </si>
  <si>
    <t>Cad</t>
  </si>
  <si>
    <t>De la Riviere</t>
  </si>
  <si>
    <t>A18</t>
  </si>
  <si>
    <t>A1172</t>
  </si>
  <si>
    <t>A39</t>
  </si>
  <si>
    <t>A40</t>
  </si>
  <si>
    <t>A51</t>
  </si>
  <si>
    <t>Cout/ha</t>
  </si>
  <si>
    <t>Surf PARCAD</t>
  </si>
  <si>
    <t xml:space="preserve">Surf Projet </t>
  </si>
  <si>
    <t>De Langle</t>
  </si>
  <si>
    <t>PARCAD</t>
  </si>
  <si>
    <t>A230</t>
  </si>
  <si>
    <t>A241</t>
  </si>
  <si>
    <t>A259</t>
  </si>
  <si>
    <t>A260</t>
  </si>
  <si>
    <t>A262</t>
  </si>
  <si>
    <t>A500</t>
  </si>
  <si>
    <t>A596</t>
  </si>
  <si>
    <t>A798</t>
  </si>
  <si>
    <t>A1721</t>
  </si>
  <si>
    <t>A1723</t>
  </si>
  <si>
    <t>A1725</t>
  </si>
  <si>
    <t>Date des travaux</t>
  </si>
  <si>
    <t>Justificatif du choix des essences</t>
  </si>
  <si>
    <t>Historique de la parcelle (prairie, cultures, vignes, …)</t>
  </si>
  <si>
    <t>Ventilation des essences (%)</t>
  </si>
  <si>
    <t>Nombre de plants</t>
  </si>
  <si>
    <t>Localisation (CP + Commune)</t>
  </si>
  <si>
    <t>Parcelles cadastrales concernées</t>
  </si>
  <si>
    <t>PARCELLE FORESTIERE 3</t>
  </si>
  <si>
    <t>Hiver 21-22</t>
  </si>
  <si>
    <t>sol profond</t>
  </si>
  <si>
    <t>prairie</t>
  </si>
  <si>
    <t>100% Chêne sessile</t>
  </si>
  <si>
    <t>Olivet (53)</t>
  </si>
  <si>
    <t>B270</t>
  </si>
  <si>
    <t>PARCELLE FORESTIERE 2</t>
  </si>
  <si>
    <t>2021 oct</t>
  </si>
  <si>
    <t>sol profond et frais</t>
  </si>
  <si>
    <t>culture agricole</t>
  </si>
  <si>
    <t>culture</t>
  </si>
  <si>
    <t>Objectif : chêne sessile</t>
  </si>
  <si>
    <t>100 % Peuplier</t>
  </si>
  <si>
    <t>La Brulatte (53)</t>
  </si>
  <si>
    <t>St Hilaire du Maine (53)</t>
  </si>
  <si>
    <t>St Cyr le Gravelais (53)</t>
  </si>
  <si>
    <t>A230, A 241,
A259, A260,
A262, A500,
A596, A798,
A1721, A1723,
A1725</t>
  </si>
  <si>
    <t>ZK1</t>
  </si>
  <si>
    <t>ZA5</t>
  </si>
  <si>
    <t>A18, A11
72, A39, A40, A51</t>
  </si>
  <si>
    <t>PARCELLE FORESTIERE 1</t>
  </si>
  <si>
    <t>oui</t>
  </si>
  <si>
    <t>Maintien de bordures boisées à proximité des parcelles à boiser ?</t>
  </si>
  <si>
    <t>plantation feuillue</t>
  </si>
  <si>
    <t>Création de bordures feuillues linéraires (routes, chemins, limites …) ?</t>
  </si>
  <si>
    <t>CO-BENEFICES</t>
  </si>
  <si>
    <t>Projet (TCO2/ha)</t>
  </si>
  <si>
    <t>Projet (TCO2)</t>
  </si>
  <si>
    <t>QUANTIFICATION CARBONE</t>
  </si>
  <si>
    <t>voir tableau</t>
  </si>
  <si>
    <t>voir devis</t>
  </si>
  <si>
    <t>Nombre de plants/essence</t>
  </si>
  <si>
    <t>Chêne sessile</t>
  </si>
  <si>
    <t>Peuplier, Chêne sessile</t>
  </si>
  <si>
    <t>Essence(s)</t>
  </si>
  <si>
    <t>DESCRIPTIF PROJET</t>
  </si>
  <si>
    <t>obtenue</t>
  </si>
  <si>
    <t>en attente</t>
  </si>
  <si>
    <t>Autorisation DREAL (Pas effectuée / en attente/ obtenue)</t>
  </si>
  <si>
    <t>obtenu</t>
  </si>
  <si>
    <t>Devis de boisement (Pas effectué / en attente/ obtenu)</t>
  </si>
  <si>
    <t>non</t>
  </si>
  <si>
    <t>Une autre demande d'aide publique sera-t-elle réalisée ?</t>
  </si>
  <si>
    <t>Assurance forestière (couvrant incendies/tempêtes) ?</t>
  </si>
  <si>
    <t>après plantation</t>
  </si>
  <si>
    <t>Adhérent de Fransylva ?</t>
  </si>
  <si>
    <t>PEFC après plantation</t>
  </si>
  <si>
    <t>PEFC 10-21-4/1350</t>
  </si>
  <si>
    <t>Adhésion PEFC/FSC n°</t>
  </si>
  <si>
    <t>RTG après plantation</t>
  </si>
  <si>
    <t>PSG 53-081-II</t>
  </si>
  <si>
    <t>PSG</t>
  </si>
  <si>
    <t>PSG 53-151-II</t>
  </si>
  <si>
    <t>Document de gestion durable (Type et N°)</t>
  </si>
  <si>
    <t>Date de naissance</t>
  </si>
  <si>
    <t>06 82 34 15 85</t>
  </si>
  <si>
    <t>06 11 11 79 61</t>
  </si>
  <si>
    <t>06 78 52 28 06</t>
  </si>
  <si>
    <t>06 63 94 65 89</t>
  </si>
  <si>
    <t>Téléphone</t>
  </si>
  <si>
    <t>internet@de-langle.com</t>
  </si>
  <si>
    <t>conuau.sylvain@neuf.fr</t>
  </si>
  <si>
    <t>pletourneux@flamdeco.com</t>
  </si>
  <si>
    <t>bdelariviere@hotmail.fr</t>
  </si>
  <si>
    <t>Mail</t>
  </si>
  <si>
    <t>35220 St Jean sur Vilaine</t>
  </si>
  <si>
    <t>53150 Montsurs</t>
  </si>
  <si>
    <t>53240 La Baconnière</t>
  </si>
  <si>
    <t>35133 Fougères</t>
  </si>
  <si>
    <t>CP + Commune</t>
  </si>
  <si>
    <t>La Hamonaye</t>
  </si>
  <si>
    <t>20 rue la Gare</t>
  </si>
  <si>
    <t>La Marquerie</t>
  </si>
  <si>
    <t>La Bayette Rousse</t>
  </si>
  <si>
    <t>Adresse</t>
  </si>
  <si>
    <t>François de Langle</t>
  </si>
  <si>
    <t>Sylvain Conuau</t>
  </si>
  <si>
    <t>Patrick LETOURNEUX</t>
  </si>
  <si>
    <t>Bertrand de La Rivière</t>
  </si>
  <si>
    <t>Nom du propriétaire (ou du gérant)</t>
  </si>
  <si>
    <t>B</t>
  </si>
  <si>
    <t>Type projet (Boisement B /Reboisement R )</t>
  </si>
  <si>
    <t>Nom du projet</t>
  </si>
  <si>
    <t>INFORMATIONS
PROPRIETAIRE</t>
  </si>
  <si>
    <t>Projets carbone</t>
  </si>
  <si>
    <t>Financement 80%</t>
  </si>
  <si>
    <t>Prix (€/TC02)</t>
  </si>
  <si>
    <t>Estimatif projet (€)</t>
  </si>
  <si>
    <t>EQUATION EMMERGE</t>
  </si>
  <si>
    <t>Vt(30)</t>
  </si>
  <si>
    <t>Volume à l'arbre à multiplier par la densité pour obtenir le volume total</t>
  </si>
  <si>
    <t>1ère éclaircie à 15 ans puis rotation de 10ans avec 25%du nombre de tige</t>
  </si>
  <si>
    <t>circonfèrence</t>
  </si>
  <si>
    <t>Diam</t>
  </si>
  <si>
    <t>Hauteur</t>
  </si>
  <si>
    <t>Densité (tige/ha)</t>
  </si>
  <si>
    <t>Volume unitaire (m3/arbre)</t>
  </si>
  <si>
    <t>Volume (m3/ha)</t>
  </si>
  <si>
    <t>CF.5</t>
  </si>
  <si>
    <t>V cf1</t>
  </si>
  <si>
    <t>MONTANT PREVISIONNEL BOISEMENT</t>
  </si>
  <si>
    <t>ENTRETIENS (hors taille de formation)</t>
  </si>
  <si>
    <t>SURFACE TOTALE</t>
  </si>
  <si>
    <t>MONTANT PREVISIONNEL PLANTATION</t>
  </si>
  <si>
    <t>MONTANT PREVISIONNEL CLOTURE</t>
  </si>
  <si>
    <t>MONTANT PREVISIONNEL ENTRETIENS</t>
  </si>
  <si>
    <t>Feuillus divers</t>
  </si>
  <si>
    <t xml:space="preserve">infradensité moyenne des feuillus </t>
  </si>
  <si>
    <t>Feuillus divers assimilés au chataignier</t>
  </si>
  <si>
    <t>Entretien année N+4</t>
  </si>
  <si>
    <t>Taille de formation</t>
  </si>
  <si>
    <t>SAPIN de NORDMANN</t>
  </si>
  <si>
    <t>ESS2</t>
  </si>
  <si>
    <t>ESS3</t>
  </si>
  <si>
    <t>Sapin Nordmann assimilé au douglas</t>
  </si>
  <si>
    <t>TC02/ha</t>
  </si>
  <si>
    <t>MONTANT PREVISIONNEL DES DEPENSES IMMATERIELLES (Etude préalable + Frais de maîtrise d'œuvre)</t>
  </si>
  <si>
    <t>Essences secondaires</t>
  </si>
  <si>
    <t>Travaux du sol (émiétage et sous-soleuse)</t>
  </si>
  <si>
    <t>PROTECTION GIBIER (Pose cloture)</t>
  </si>
  <si>
    <t xml:space="preserve">ENTRETIENS </t>
  </si>
  <si>
    <t xml:space="preserve">MONTANT TOTAL </t>
  </si>
  <si>
    <t>Sequoia et Douglas</t>
  </si>
  <si>
    <t xml:space="preserve">Eclaircie </t>
  </si>
  <si>
    <t xml:space="preserve">TOTAL VAN </t>
  </si>
  <si>
    <t>DOUGLAS ET SEQUOIA</t>
  </si>
  <si>
    <t>VAN PROJET</t>
  </si>
  <si>
    <t>CEDRE</t>
  </si>
  <si>
    <t>Circonférence</t>
  </si>
  <si>
    <t>Peuplier Station 9</t>
  </si>
  <si>
    <t>ENTRETIENS</t>
  </si>
  <si>
    <t>St Jean sur Vilaine (53)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</si>
</sst>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0.0%"/>
    <numFmt numFmtId="166" formatCode="_-* #,##0\ &quot;€&quot;_-;\-* #,##0\ &quot;€&quot;_-;_-* &quot;-&quot;??\ &quot;€&quot;_-;_-@_-"/>
    <numFmt numFmtId="167" formatCode="0.000"/>
    <numFmt numFmtId="168" formatCode="0.0"/>
    <numFmt numFmtId="169" formatCode="_-* #,##0_-;\-* #,##0_-;_-* &quot;-&quot;??_-;_-@_-"/>
    <numFmt numFmtId="170" formatCode="_-* #,##0&quot; M3&quot;;\-* #,##0&quot; M3&quot;;_-* &quot;-&quot;??_-;_-@_-"/>
    <numFmt numFmtId="171" formatCode="#,##0\ &quot;€&quot;;\(#,##0\)\ &quot;€&quot;"/>
    <numFmt numFmtId="172" formatCode="#,##0.00\ &quot;€&quot;"/>
    <numFmt numFmtId="173" formatCode="_-* #,##0.00\ [$€-40C]_-;\-* #,##0.00\ [$€-40C]_-;_-* &quot;-&quot;??\ [$€-40C]_-;_-@_-"/>
    <numFmt numFmtId="174" formatCode="dd/mm/yy"/>
    <numFmt numFmtId="175" formatCode="_-* #,##0.0000&quot; M3&quot;;\-* #,##0.0000&quot; M3&quot;;_-* &quot;-&quot;??_-;_-@_-"/>
    <numFmt numFmtId="176" formatCode="0.0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14"/>
      <color theme="1" tint="0.499984740745262"/>
      <name val="Arial Narrow"/>
      <family val="2"/>
    </font>
    <font>
      <b/>
      <sz val="14"/>
      <color theme="9" tint="0.59999389629810485"/>
      <name val="Arial Narrow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Arial Narrow"/>
      <family val="2"/>
    </font>
    <font>
      <sz val="11"/>
      <color theme="9" tint="0.39997558519241921"/>
      <name val="Arial Narrow"/>
      <family val="2"/>
    </font>
    <font>
      <b/>
      <i/>
      <sz val="11"/>
      <color theme="1"/>
      <name val="Arial Narrow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mbria"/>
      <family val="1"/>
    </font>
    <font>
      <b/>
      <sz val="11"/>
      <color rgb="FF548235"/>
      <name val="Cambria"/>
      <family val="1"/>
    </font>
    <font>
      <u/>
      <sz val="11"/>
      <color rgb="FF0563C1"/>
      <name val="Calibri"/>
      <family val="2"/>
    </font>
    <font>
      <sz val="12"/>
      <color rgb="FF000000"/>
      <name val="Cambria"/>
      <family val="1"/>
    </font>
    <font>
      <b/>
      <sz val="16"/>
      <color rgb="FF000000"/>
      <name val="Cambria"/>
      <family val="1"/>
    </font>
    <font>
      <i/>
      <sz val="12"/>
      <color theme="1"/>
      <name val="Calibri"/>
      <family val="2"/>
      <scheme val="minor"/>
    </font>
    <font>
      <i/>
      <sz val="14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1"/>
      <color theme="5" tint="-0.249977111117893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medium">
        <color indexed="64"/>
      </top>
      <bottom/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6" fillId="0" borderId="0"/>
    <xf numFmtId="0" fontId="39" fillId="0" borderId="0" applyNumberFormat="0" applyFill="0" applyBorder="0" applyAlignment="0" applyProtection="0"/>
  </cellStyleXfs>
  <cellXfs count="392">
    <xf numFmtId="0" fontId="0" fillId="0" borderId="0" xfId="0"/>
    <xf numFmtId="9" fontId="0" fillId="0" borderId="0" xfId="1" applyFont="1"/>
    <xf numFmtId="0" fontId="7" fillId="0" borderId="0" xfId="0" applyFont="1" applyAlignment="1">
      <alignment horizontal="left"/>
    </xf>
    <xf numFmtId="165" fontId="7" fillId="0" borderId="0" xfId="1" applyNumberFormat="1" applyFont="1" applyAlignment="1">
      <alignment horizontal="left"/>
    </xf>
    <xf numFmtId="0" fontId="0" fillId="4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4" borderId="1" xfId="0" applyNumberFormat="1" applyFont="1" applyFill="1" applyBorder="1"/>
    <xf numFmtId="1" fontId="0" fillId="0" borderId="1" xfId="0" applyNumberFormat="1" applyFont="1" applyBorder="1"/>
    <xf numFmtId="1" fontId="6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0" fontId="7" fillId="0" borderId="0" xfId="0" applyFont="1"/>
    <xf numFmtId="0" fontId="0" fillId="0" borderId="3" xfId="0" applyBorder="1"/>
    <xf numFmtId="1" fontId="0" fillId="0" borderId="3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0" fillId="0" borderId="3" xfId="0" applyBorder="1" applyAlignment="1">
      <alignment horizontal="center"/>
    </xf>
    <xf numFmtId="0" fontId="10" fillId="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0" borderId="0" xfId="0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2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12" fillId="0" borderId="0" xfId="0" applyFont="1" applyFill="1"/>
    <xf numFmtId="44" fontId="12" fillId="0" borderId="0" xfId="2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13" fillId="7" borderId="4" xfId="0" applyFont="1" applyFill="1" applyBorder="1"/>
    <xf numFmtId="0" fontId="13" fillId="7" borderId="5" xfId="0" applyFont="1" applyFill="1" applyBorder="1"/>
    <xf numFmtId="0" fontId="13" fillId="7" borderId="6" xfId="0" applyFont="1" applyFill="1" applyBorder="1"/>
    <xf numFmtId="0" fontId="0" fillId="8" borderId="4" xfId="0" applyFont="1" applyFill="1" applyBorder="1"/>
    <xf numFmtId="0" fontId="0" fillId="0" borderId="4" xfId="0" applyFont="1" applyBorder="1"/>
    <xf numFmtId="0" fontId="0" fillId="0" borderId="6" xfId="0" applyFont="1" applyBorder="1"/>
    <xf numFmtId="167" fontId="0" fillId="4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4" fillId="0" borderId="0" xfId="0" applyFont="1" applyFill="1" applyAlignment="1">
      <alignment horizontal="left"/>
    </xf>
    <xf numFmtId="9" fontId="0" fillId="0" borderId="3" xfId="1" applyFont="1" applyBorder="1"/>
    <xf numFmtId="0" fontId="0" fillId="0" borderId="3" xfId="0" applyFill="1" applyBorder="1"/>
    <xf numFmtId="0" fontId="10" fillId="3" borderId="0" xfId="0" applyFont="1" applyFill="1" applyAlignment="1"/>
    <xf numFmtId="168" fontId="0" fillId="0" borderId="0" xfId="0" applyNumberFormat="1"/>
    <xf numFmtId="0" fontId="6" fillId="4" borderId="1" xfId="0" applyFont="1" applyFill="1" applyBorder="1"/>
    <xf numFmtId="1" fontId="6" fillId="4" borderId="1" xfId="0" applyNumberFormat="1" applyFont="1" applyFill="1" applyBorder="1"/>
    <xf numFmtId="0" fontId="15" fillId="0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16" fillId="9" borderId="0" xfId="0" applyFont="1" applyFill="1"/>
    <xf numFmtId="0" fontId="17" fillId="9" borderId="0" xfId="0" applyFont="1" applyFill="1" applyAlignment="1"/>
    <xf numFmtId="0" fontId="0" fillId="3" borderId="0" xfId="0" applyFill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4" fillId="2" borderId="0" xfId="0" applyFont="1" applyFill="1" applyAlignment="1">
      <alignment horizontal="left"/>
    </xf>
    <xf numFmtId="0" fontId="17" fillId="9" borderId="0" xfId="0" applyFont="1" applyFill="1" applyAlignment="1">
      <alignment horizontal="right"/>
    </xf>
    <xf numFmtId="0" fontId="8" fillId="6" borderId="0" xfId="0" applyFont="1" applyFill="1"/>
    <xf numFmtId="2" fontId="19" fillId="6" borderId="0" xfId="0" applyNumberFormat="1" applyFont="1" applyFill="1" applyBorder="1"/>
    <xf numFmtId="169" fontId="0" fillId="0" borderId="0" xfId="3" applyNumberFormat="1" applyFont="1"/>
    <xf numFmtId="0" fontId="8" fillId="12" borderId="3" xfId="0" applyFont="1" applyFill="1" applyBorder="1"/>
    <xf numFmtId="0" fontId="0" fillId="12" borderId="3" xfId="0" applyNumberFormat="1" applyFill="1" applyBorder="1"/>
    <xf numFmtId="170" fontId="0" fillId="8" borderId="6" xfId="0" applyNumberFormat="1" applyFill="1" applyBorder="1"/>
    <xf numFmtId="170" fontId="0" fillId="0" borderId="6" xfId="0" applyNumberFormat="1" applyBorder="1"/>
    <xf numFmtId="0" fontId="0" fillId="0" borderId="0" xfId="0" applyAlignment="1">
      <alignment horizontal="right"/>
    </xf>
    <xf numFmtId="1" fontId="0" fillId="12" borderId="3" xfId="0" applyNumberFormat="1" applyFill="1" applyBorder="1"/>
    <xf numFmtId="0" fontId="0" fillId="12" borderId="3" xfId="0" applyFill="1" applyBorder="1"/>
    <xf numFmtId="171" fontId="0" fillId="0" borderId="3" xfId="2" applyNumberFormat="1" applyFont="1" applyBorder="1"/>
    <xf numFmtId="0" fontId="0" fillId="9" borderId="3" xfId="0" applyFill="1" applyBorder="1"/>
    <xf numFmtId="0" fontId="0" fillId="9" borderId="3" xfId="0" applyFill="1" applyBorder="1" applyAlignment="1">
      <alignment horizontal="right"/>
    </xf>
    <xf numFmtId="1" fontId="0" fillId="0" borderId="0" xfId="0" applyNumberFormat="1" applyFill="1" applyBorder="1"/>
    <xf numFmtId="0" fontId="10" fillId="3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13" borderId="3" xfId="0" applyFill="1" applyBorder="1"/>
    <xf numFmtId="0" fontId="22" fillId="0" borderId="0" xfId="0" applyFont="1"/>
    <xf numFmtId="1" fontId="0" fillId="13" borderId="3" xfId="0" applyNumberFormat="1" applyFill="1" applyBorder="1"/>
    <xf numFmtId="170" fontId="0" fillId="0" borderId="6" xfId="0" applyNumberFormat="1" applyFill="1" applyBorder="1"/>
    <xf numFmtId="0" fontId="0" fillId="0" borderId="0" xfId="0" applyFont="1" applyFill="1" applyBorder="1"/>
    <xf numFmtId="1" fontId="0" fillId="0" borderId="3" xfId="0" applyNumberFormat="1" applyFill="1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/>
    <xf numFmtId="171" fontId="0" fillId="0" borderId="0" xfId="2" applyNumberFormat="1" applyFont="1" applyFill="1" applyBorder="1"/>
    <xf numFmtId="167" fontId="0" fillId="0" borderId="0" xfId="0" applyNumberFormat="1" applyFont="1" applyFill="1" applyBorder="1"/>
    <xf numFmtId="1" fontId="24" fillId="0" borderId="0" xfId="0" applyNumberFormat="1" applyFont="1"/>
    <xf numFmtId="0" fontId="0" fillId="0" borderId="5" xfId="0" applyFont="1" applyBorder="1"/>
    <xf numFmtId="0" fontId="0" fillId="0" borderId="16" xfId="0" applyFont="1" applyFill="1" applyBorder="1"/>
    <xf numFmtId="0" fontId="0" fillId="8" borderId="0" xfId="0" applyFont="1" applyFill="1" applyBorder="1"/>
    <xf numFmtId="1" fontId="0" fillId="0" borderId="0" xfId="0" applyNumberFormat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9" fontId="20" fillId="14" borderId="1" xfId="1" applyFont="1" applyFill="1" applyBorder="1"/>
    <xf numFmtId="9" fontId="20" fillId="12" borderId="1" xfId="1" applyFont="1" applyFill="1" applyBorder="1"/>
    <xf numFmtId="1" fontId="0" fillId="0" borderId="0" xfId="2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171" fontId="0" fillId="0" borderId="0" xfId="0" applyNumberFormat="1" applyFont="1" applyFill="1" applyBorder="1" applyAlignment="1">
      <alignment horizontal="right"/>
    </xf>
    <xf numFmtId="171" fontId="0" fillId="0" borderId="0" xfId="0" applyNumberFormat="1" applyFont="1" applyFill="1" applyBorder="1" applyAlignment="1">
      <alignment horizontal="right" wrapText="1"/>
    </xf>
    <xf numFmtId="171" fontId="0" fillId="0" borderId="3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3" xfId="0" applyFont="1" applyFill="1" applyBorder="1"/>
    <xf numFmtId="1" fontId="0" fillId="0" borderId="3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0" fillId="11" borderId="0" xfId="0" applyFill="1"/>
    <xf numFmtId="0" fontId="0" fillId="15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5" borderId="3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3" xfId="0" applyNumberFormat="1" applyBorder="1" applyAlignment="1">
      <alignment horizontal="left" indent="3"/>
    </xf>
    <xf numFmtId="1" fontId="0" fillId="0" borderId="0" xfId="0" applyNumberFormat="1" applyBorder="1" applyAlignment="1">
      <alignment horizontal="left" indent="3"/>
    </xf>
    <xf numFmtId="0" fontId="0" fillId="17" borderId="0" xfId="0" applyFill="1"/>
    <xf numFmtId="1" fontId="0" fillId="17" borderId="3" xfId="0" applyNumberFormat="1" applyFill="1" applyBorder="1"/>
    <xf numFmtId="0" fontId="8" fillId="0" borderId="3" xfId="0" applyFont="1" applyBorder="1"/>
    <xf numFmtId="0" fontId="0" fillId="0" borderId="7" xfId="0" applyBorder="1"/>
    <xf numFmtId="0" fontId="0" fillId="0" borderId="19" xfId="0" applyBorder="1"/>
    <xf numFmtId="0" fontId="0" fillId="0" borderId="20" xfId="0" applyBorder="1"/>
    <xf numFmtId="1" fontId="0" fillId="0" borderId="21" xfId="0" applyNumberFormat="1" applyBorder="1" applyAlignment="1">
      <alignment horizontal="left" indent="3"/>
    </xf>
    <xf numFmtId="1" fontId="0" fillId="0" borderId="22" xfId="0" applyNumberFormat="1" applyBorder="1" applyAlignment="1">
      <alignment horizontal="left" indent="3"/>
    </xf>
    <xf numFmtId="0" fontId="0" fillId="4" borderId="25" xfId="0" applyFont="1" applyFill="1" applyBorder="1"/>
    <xf numFmtId="1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0" borderId="28" xfId="0" applyFont="1" applyBorder="1"/>
    <xf numFmtId="1" fontId="0" fillId="0" borderId="29" xfId="0" applyNumberFormat="1" applyFont="1" applyBorder="1"/>
    <xf numFmtId="0" fontId="11" fillId="4" borderId="30" xfId="0" applyFont="1" applyFill="1" applyBorder="1"/>
    <xf numFmtId="1" fontId="6" fillId="4" borderId="31" xfId="0" applyNumberFormat="1" applyFont="1" applyFill="1" applyBorder="1"/>
    <xf numFmtId="1" fontId="6" fillId="4" borderId="32" xfId="0" applyNumberFormat="1" applyFont="1" applyFill="1" applyBorder="1"/>
    <xf numFmtId="1" fontId="23" fillId="0" borderId="0" xfId="0" applyNumberFormat="1" applyFont="1" applyFill="1" applyAlignment="1">
      <alignment horizontal="center"/>
    </xf>
    <xf numFmtId="0" fontId="8" fillId="9" borderId="33" xfId="0" applyFont="1" applyFill="1" applyBorder="1"/>
    <xf numFmtId="1" fontId="8" fillId="9" borderId="34" xfId="0" applyNumberFormat="1" applyFont="1" applyFill="1" applyBorder="1" applyAlignment="1">
      <alignment horizontal="center"/>
    </xf>
    <xf numFmtId="167" fontId="8" fillId="9" borderId="34" xfId="0" applyNumberFormat="1" applyFont="1" applyFill="1" applyBorder="1" applyAlignment="1">
      <alignment horizontal="center"/>
    </xf>
    <xf numFmtId="1" fontId="6" fillId="4" borderId="3" xfId="0" applyNumberFormat="1" applyFont="1" applyFill="1" applyBorder="1"/>
    <xf numFmtId="0" fontId="0" fillId="10" borderId="0" xfId="0" applyFill="1"/>
    <xf numFmtId="2" fontId="0" fillId="0" borderId="0" xfId="0" applyNumberFormat="1" applyAlignment="1">
      <alignment horizontal="left" indent="1"/>
    </xf>
    <xf numFmtId="2" fontId="0" fillId="0" borderId="3" xfId="0" applyNumberFormat="1" applyBorder="1"/>
    <xf numFmtId="168" fontId="0" fillId="0" borderId="3" xfId="0" applyNumberFormat="1" applyBorder="1"/>
    <xf numFmtId="0" fontId="28" fillId="0" borderId="3" xfId="0" applyFont="1" applyBorder="1"/>
    <xf numFmtId="1" fontId="8" fillId="0" borderId="3" xfId="0" applyNumberFormat="1" applyFont="1" applyBorder="1"/>
    <xf numFmtId="0" fontId="18" fillId="0" borderId="0" xfId="0" applyFont="1" applyBorder="1" applyAlignment="1">
      <alignment horizontal="center"/>
    </xf>
    <xf numFmtId="171" fontId="7" fillId="0" borderId="0" xfId="0" applyNumberFormat="1" applyFont="1" applyFill="1" applyBorder="1" applyAlignment="1">
      <alignment vertical="center"/>
    </xf>
    <xf numFmtId="0" fontId="3" fillId="9" borderId="35" xfId="0" applyFont="1" applyFill="1" applyBorder="1" applyAlignment="1">
      <alignment horizontal="center" vertical="center" wrapText="1"/>
    </xf>
    <xf numFmtId="173" fontId="3" fillId="0" borderId="3" xfId="0" applyNumberFormat="1" applyFont="1" applyBorder="1" applyAlignment="1">
      <alignment vertical="center" wrapText="1"/>
    </xf>
    <xf numFmtId="173" fontId="3" fillId="0" borderId="3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73" fontId="3" fillId="9" borderId="20" xfId="0" applyNumberFormat="1" applyFont="1" applyFill="1" applyBorder="1" applyAlignment="1">
      <alignment horizontal="center" vertical="center" wrapText="1"/>
    </xf>
    <xf numFmtId="173" fontId="3" fillId="9" borderId="19" xfId="0" applyNumberFormat="1" applyFont="1" applyFill="1" applyBorder="1" applyAlignment="1">
      <alignment horizontal="center" vertical="center" wrapText="1"/>
    </xf>
    <xf numFmtId="173" fontId="3" fillId="0" borderId="4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73" fontId="3" fillId="0" borderId="38" xfId="0" applyNumberFormat="1" applyFont="1" applyBorder="1" applyAlignment="1">
      <alignment horizontal="center" vertical="center" wrapText="1"/>
    </xf>
    <xf numFmtId="173" fontId="3" fillId="9" borderId="3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right"/>
    </xf>
    <xf numFmtId="168" fontId="0" fillId="0" borderId="3" xfId="0" applyNumberFormat="1" applyBorder="1" applyAlignment="1">
      <alignment horizontal="left" indent="1"/>
    </xf>
    <xf numFmtId="168" fontId="8" fillId="12" borderId="3" xfId="0" applyNumberFormat="1" applyFont="1" applyFill="1" applyBorder="1"/>
    <xf numFmtId="168" fontId="14" fillId="2" borderId="3" xfId="0" applyNumberFormat="1" applyFont="1" applyFill="1" applyBorder="1" applyAlignment="1">
      <alignment horizontal="left" indent="5"/>
    </xf>
    <xf numFmtId="1" fontId="5" fillId="0" borderId="0" xfId="0" applyNumberFormat="1" applyFont="1" applyFill="1" applyBorder="1" applyAlignment="1">
      <alignment horizontal="left"/>
    </xf>
    <xf numFmtId="0" fontId="0" fillId="10" borderId="0" xfId="0" applyFont="1" applyFill="1" applyBorder="1" applyAlignment="1">
      <alignment horizontal="right"/>
    </xf>
    <xf numFmtId="0" fontId="5" fillId="10" borderId="0" xfId="0" applyFont="1" applyFill="1" applyBorder="1" applyAlignment="1"/>
    <xf numFmtId="172" fontId="5" fillId="10" borderId="0" xfId="0" applyNumberFormat="1" applyFont="1" applyFill="1" applyBorder="1" applyAlignment="1"/>
    <xf numFmtId="171" fontId="0" fillId="10" borderId="0" xfId="0" applyNumberFormat="1" applyFont="1" applyFill="1" applyBorder="1" applyAlignment="1">
      <alignment horizontal="right"/>
    </xf>
    <xf numFmtId="1" fontId="0" fillId="10" borderId="0" xfId="0" applyNumberFormat="1" applyFont="1" applyFill="1" applyBorder="1" applyAlignment="1">
      <alignment horizontal="right"/>
    </xf>
    <xf numFmtId="0" fontId="0" fillId="10" borderId="3" xfId="0" applyFont="1" applyFill="1" applyBorder="1"/>
    <xf numFmtId="172" fontId="0" fillId="10" borderId="3" xfId="0" applyNumberFormat="1" applyFill="1" applyBorder="1"/>
    <xf numFmtId="171" fontId="0" fillId="10" borderId="3" xfId="0" applyNumberFormat="1" applyFont="1" applyFill="1" applyBorder="1" applyAlignment="1">
      <alignment horizontal="right"/>
    </xf>
    <xf numFmtId="1" fontId="0" fillId="10" borderId="3" xfId="0" applyNumberFormat="1" applyFont="1" applyFill="1" applyBorder="1" applyAlignment="1">
      <alignment horizontal="right"/>
    </xf>
    <xf numFmtId="172" fontId="0" fillId="10" borderId="3" xfId="0" applyNumberFormat="1" applyFont="1" applyFill="1" applyBorder="1" applyAlignment="1">
      <alignment horizontal="right"/>
    </xf>
    <xf numFmtId="0" fontId="0" fillId="10" borderId="3" xfId="0" applyFill="1" applyBorder="1"/>
    <xf numFmtId="172" fontId="0" fillId="10" borderId="3" xfId="0" applyNumberFormat="1" applyFont="1" applyFill="1" applyBorder="1"/>
    <xf numFmtId="172" fontId="3" fillId="10" borderId="3" xfId="0" applyNumberFormat="1" applyFont="1" applyFill="1" applyBorder="1" applyAlignment="1"/>
    <xf numFmtId="172" fontId="0" fillId="0" borderId="0" xfId="0" applyNumberFormat="1" applyFill="1" applyBorder="1"/>
    <xf numFmtId="172" fontId="0" fillId="0" borderId="0" xfId="0" applyNumberFormat="1" applyFont="1" applyFill="1" applyBorder="1" applyAlignment="1">
      <alignment horizontal="right"/>
    </xf>
    <xf numFmtId="172" fontId="5" fillId="0" borderId="0" xfId="0" applyNumberFormat="1" applyFont="1" applyFill="1" applyBorder="1" applyAlignment="1"/>
    <xf numFmtId="172" fontId="0" fillId="0" borderId="3" xfId="0" applyNumberFormat="1" applyFill="1" applyBorder="1"/>
    <xf numFmtId="172" fontId="0" fillId="0" borderId="3" xfId="0" applyNumberFormat="1" applyFont="1" applyFill="1" applyBorder="1" applyAlignment="1">
      <alignment horizontal="right"/>
    </xf>
    <xf numFmtId="2" fontId="8" fillId="0" borderId="0" xfId="0" applyNumberFormat="1" applyFont="1" applyFill="1" applyAlignment="1"/>
    <xf numFmtId="2" fontId="0" fillId="0" borderId="0" xfId="0" applyNumberFormat="1" applyBorder="1"/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9" borderId="3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16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9" fillId="3" borderId="0" xfId="0" applyFont="1" applyFill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9" fontId="0" fillId="0" borderId="0" xfId="1" applyFont="1" applyAlignment="1"/>
    <xf numFmtId="9" fontId="0" fillId="0" borderId="3" xfId="0" applyNumberFormat="1" applyBorder="1"/>
    <xf numFmtId="0" fontId="0" fillId="0" borderId="3" xfId="0" applyBorder="1" applyAlignment="1">
      <alignment vertical="center"/>
    </xf>
    <xf numFmtId="0" fontId="14" fillId="2" borderId="0" xfId="0" applyFont="1" applyFill="1" applyBorder="1" applyAlignment="1">
      <alignment horizontal="center"/>
    </xf>
    <xf numFmtId="168" fontId="14" fillId="2" borderId="0" xfId="0" applyNumberFormat="1" applyFont="1" applyFill="1" applyBorder="1" applyAlignment="1">
      <alignment horizontal="left" indent="5"/>
    </xf>
    <xf numFmtId="0" fontId="14" fillId="2" borderId="3" xfId="0" applyFont="1" applyFill="1" applyBorder="1" applyAlignment="1">
      <alignment horizontal="center"/>
    </xf>
    <xf numFmtId="0" fontId="8" fillId="6" borderId="3" xfId="0" applyFont="1" applyFill="1" applyBorder="1"/>
    <xf numFmtId="2" fontId="19" fillId="6" borderId="3" xfId="0" applyNumberFormat="1" applyFont="1" applyFill="1" applyBorder="1"/>
    <xf numFmtId="0" fontId="0" fillId="8" borderId="48" xfId="0" applyFont="1" applyFill="1" applyBorder="1"/>
    <xf numFmtId="170" fontId="0" fillId="0" borderId="0" xfId="0" applyNumberFormat="1" applyFill="1" applyBorder="1"/>
    <xf numFmtId="0" fontId="7" fillId="0" borderId="0" xfId="0" applyFont="1" applyFill="1" applyBorder="1"/>
    <xf numFmtId="0" fontId="0" fillId="0" borderId="17" xfId="0" applyBorder="1"/>
    <xf numFmtId="0" fontId="0" fillId="0" borderId="18" xfId="0" applyBorder="1"/>
    <xf numFmtId="2" fontId="0" fillId="0" borderId="3" xfId="0" applyNumberFormat="1" applyBorder="1" applyAlignment="1">
      <alignment horizontal="left" indent="3"/>
    </xf>
    <xf numFmtId="2" fontId="0" fillId="0" borderId="0" xfId="0" applyNumberFormat="1" applyBorder="1" applyAlignment="1">
      <alignment horizontal="left" indent="3"/>
    </xf>
    <xf numFmtId="0" fontId="6" fillId="0" borderId="3" xfId="0" applyFont="1" applyBorder="1"/>
    <xf numFmtId="9" fontId="0" fillId="0" borderId="3" xfId="1" applyFont="1" applyBorder="1" applyAlignment="1">
      <alignment horizontal="center" vertical="center"/>
    </xf>
    <xf numFmtId="0" fontId="0" fillId="0" borderId="36" xfId="0" applyBorder="1"/>
    <xf numFmtId="0" fontId="0" fillId="0" borderId="44" xfId="0" applyBorder="1"/>
    <xf numFmtId="1" fontId="0" fillId="17" borderId="11" xfId="0" applyNumberFormat="1" applyFill="1" applyBorder="1"/>
    <xf numFmtId="2" fontId="8" fillId="12" borderId="3" xfId="0" applyNumberFormat="1" applyFont="1" applyFill="1" applyBorder="1"/>
    <xf numFmtId="167" fontId="8" fillId="12" borderId="3" xfId="0" applyNumberFormat="1" applyFont="1" applyFill="1" applyBorder="1"/>
    <xf numFmtId="0" fontId="34" fillId="0" borderId="0" xfId="0" applyFont="1" applyFill="1" applyBorder="1" applyAlignment="1">
      <alignment horizontal="center" vertical="center"/>
    </xf>
    <xf numFmtId="2" fontId="0" fillId="17" borderId="3" xfId="0" applyNumberFormat="1" applyFill="1" applyBorder="1" applyAlignment="1">
      <alignment horizontal="center" vertical="center"/>
    </xf>
    <xf numFmtId="0" fontId="0" fillId="17" borderId="0" xfId="0" applyFill="1" applyBorder="1" applyAlignment="1">
      <alignment horizontal="center" vertical="center"/>
    </xf>
    <xf numFmtId="0" fontId="8" fillId="0" borderId="3" xfId="0" applyFont="1" applyFill="1" applyBorder="1"/>
    <xf numFmtId="172" fontId="4" fillId="0" borderId="33" xfId="0" applyNumberFormat="1" applyFont="1" applyBorder="1" applyAlignment="1">
      <alignment vertical="center" wrapText="1"/>
    </xf>
    <xf numFmtId="172" fontId="4" fillId="0" borderId="34" xfId="0" applyNumberFormat="1" applyFont="1" applyBorder="1" applyAlignment="1">
      <alignment vertical="center" wrapText="1"/>
    </xf>
    <xf numFmtId="173" fontId="0" fillId="0" borderId="0" xfId="0" applyNumberFormat="1" applyBorder="1"/>
    <xf numFmtId="173" fontId="8" fillId="0" borderId="0" xfId="0" applyNumberFormat="1" applyFont="1" applyBorder="1"/>
    <xf numFmtId="44" fontId="35" fillId="0" borderId="3" xfId="2" applyFont="1" applyBorder="1"/>
    <xf numFmtId="2" fontId="6" fillId="0" borderId="3" xfId="0" applyNumberFormat="1" applyFont="1" applyBorder="1"/>
    <xf numFmtId="2" fontId="6" fillId="4" borderId="1" xfId="0" applyNumberFormat="1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6" fillId="0" borderId="0" xfId="4"/>
    <xf numFmtId="0" fontId="37" fillId="0" borderId="49" xfId="4" applyFont="1" applyBorder="1" applyAlignment="1">
      <alignment horizontal="center" vertical="center"/>
    </xf>
    <xf numFmtId="0" fontId="37" fillId="0" borderId="49" xfId="4" applyFont="1" applyBorder="1"/>
    <xf numFmtId="0" fontId="37" fillId="0" borderId="50" xfId="4" applyFont="1" applyBorder="1" applyAlignment="1">
      <alignment horizontal="center" vertical="center"/>
    </xf>
    <xf numFmtId="0" fontId="37" fillId="0" borderId="49" xfId="4" applyFont="1" applyBorder="1" applyAlignment="1">
      <alignment horizontal="center" vertical="center" wrapText="1"/>
    </xf>
    <xf numFmtId="0" fontId="37" fillId="0" borderId="51" xfId="4" applyFont="1" applyBorder="1" applyAlignment="1">
      <alignment horizontal="center" vertical="center"/>
    </xf>
    <xf numFmtId="0" fontId="37" fillId="0" borderId="51" xfId="4" applyFont="1" applyBorder="1"/>
    <xf numFmtId="1" fontId="38" fillId="0" borderId="49" xfId="4" applyNumberFormat="1" applyFont="1" applyBorder="1" applyAlignment="1">
      <alignment horizontal="center" vertical="center"/>
    </xf>
    <xf numFmtId="0" fontId="38" fillId="0" borderId="49" xfId="4" applyFont="1" applyBorder="1"/>
    <xf numFmtId="0" fontId="37" fillId="0" borderId="52" xfId="4" applyFont="1" applyBorder="1" applyAlignment="1">
      <alignment horizontal="center" vertical="center"/>
    </xf>
    <xf numFmtId="0" fontId="37" fillId="0" borderId="52" xfId="4" applyFont="1" applyBorder="1"/>
    <xf numFmtId="0" fontId="37" fillId="0" borderId="51" xfId="4" applyFont="1" applyFill="1" applyBorder="1"/>
    <xf numFmtId="174" fontId="37" fillId="0" borderId="49" xfId="4" applyNumberFormat="1" applyFont="1" applyBorder="1" applyAlignment="1">
      <alignment horizontal="center" vertical="center"/>
    </xf>
    <xf numFmtId="0" fontId="39" fillId="0" borderId="49" xfId="5" applyFont="1" applyBorder="1" applyAlignment="1">
      <alignment horizontal="center" vertical="center"/>
    </xf>
    <xf numFmtId="0" fontId="40" fillId="0" borderId="49" xfId="4" applyFont="1" applyFill="1" applyBorder="1" applyAlignment="1">
      <alignment horizontal="center" vertical="center"/>
    </xf>
    <xf numFmtId="0" fontId="41" fillId="0" borderId="0" xfId="4" applyFont="1"/>
    <xf numFmtId="2" fontId="38" fillId="0" borderId="49" xfId="4" applyNumberFormat="1" applyFont="1" applyBorder="1" applyAlignment="1">
      <alignment horizontal="center" vertical="center"/>
    </xf>
    <xf numFmtId="44" fontId="0" fillId="0" borderId="3" xfId="0" applyNumberFormat="1" applyBorder="1"/>
    <xf numFmtId="175" fontId="0" fillId="0" borderId="6" xfId="0" applyNumberFormat="1" applyFill="1" applyBorder="1"/>
    <xf numFmtId="0" fontId="8" fillId="0" borderId="0" xfId="0" applyFont="1" applyFill="1" applyBorder="1"/>
    <xf numFmtId="0" fontId="8" fillId="0" borderId="0" xfId="0" applyFont="1" applyBorder="1"/>
    <xf numFmtId="1" fontId="23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2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/>
    </xf>
    <xf numFmtId="1" fontId="24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center"/>
    </xf>
    <xf numFmtId="6" fontId="0" fillId="0" borderId="0" xfId="0" applyNumberFormat="1" applyFill="1" applyBorder="1"/>
    <xf numFmtId="0" fontId="13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166" fontId="0" fillId="0" borderId="0" xfId="2" applyNumberFormat="1" applyFont="1" applyFill="1" applyBorder="1"/>
    <xf numFmtId="0" fontId="0" fillId="0" borderId="0" xfId="0" applyFill="1" applyBorder="1" applyAlignment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2" fontId="0" fillId="12" borderId="3" xfId="0" applyNumberFormat="1" applyFill="1" applyBorder="1"/>
    <xf numFmtId="165" fontId="0" fillId="0" borderId="3" xfId="1" applyNumberFormat="1" applyFont="1" applyBorder="1"/>
    <xf numFmtId="171" fontId="0" fillId="0" borderId="0" xfId="0" applyNumberFormat="1" applyFill="1" applyBorder="1"/>
    <xf numFmtId="0" fontId="34" fillId="17" borderId="0" xfId="0" applyFont="1" applyFill="1" applyBorder="1" applyAlignment="1">
      <alignment horizontal="center" vertical="center"/>
    </xf>
    <xf numFmtId="0" fontId="0" fillId="0" borderId="53" xfId="0" applyBorder="1"/>
    <xf numFmtId="0" fontId="37" fillId="0" borderId="49" xfId="4" applyFont="1" applyFill="1" applyBorder="1" applyAlignment="1">
      <alignment horizontal="center" vertical="center"/>
    </xf>
    <xf numFmtId="0" fontId="37" fillId="0" borderId="49" xfId="4" applyFont="1" applyFill="1" applyBorder="1" applyAlignment="1">
      <alignment horizontal="center" vertical="center" wrapText="1"/>
    </xf>
    <xf numFmtId="0" fontId="38" fillId="0" borderId="49" xfId="4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4" borderId="12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168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9" fontId="0" fillId="0" borderId="10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3" xfId="1" applyFont="1" applyBorder="1" applyAlignment="1">
      <alignment horizontal="center"/>
    </xf>
    <xf numFmtId="0" fontId="0" fillId="0" borderId="3" xfId="0" applyBorder="1" applyAlignment="1">
      <alignment horizontal="center"/>
    </xf>
    <xf numFmtId="168" fontId="0" fillId="0" borderId="3" xfId="0" applyNumberFormat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172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2" fontId="3" fillId="0" borderId="38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9" fillId="9" borderId="36" xfId="0" applyFont="1" applyFill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center" wrapText="1"/>
    </xf>
    <xf numFmtId="0" fontId="29" fillId="9" borderId="44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172" fontId="4" fillId="0" borderId="24" xfId="0" applyNumberFormat="1" applyFont="1" applyBorder="1" applyAlignment="1">
      <alignment horizontal="center" vertical="center" wrapText="1"/>
    </xf>
    <xf numFmtId="172" fontId="4" fillId="0" borderId="23" xfId="0" applyNumberFormat="1" applyFont="1" applyBorder="1" applyAlignment="1">
      <alignment horizontal="center" vertical="center" wrapText="1"/>
    </xf>
    <xf numFmtId="0" fontId="30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3" fillId="9" borderId="19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horizontal="center" vertical="center" wrapText="1"/>
    </xf>
    <xf numFmtId="0" fontId="29" fillId="9" borderId="41" xfId="0" applyFont="1" applyFill="1" applyBorder="1" applyAlignment="1">
      <alignment horizontal="center" vertical="center" wrapText="1"/>
    </xf>
    <xf numFmtId="0" fontId="29" fillId="9" borderId="4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4" fillId="17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16" borderId="0" xfId="0" applyFill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2" fontId="0" fillId="0" borderId="0" xfId="0" applyNumberFormat="1"/>
    <xf numFmtId="176" fontId="0" fillId="0" borderId="0" xfId="0" applyNumberFormat="1"/>
    <xf numFmtId="176" fontId="0" fillId="0" borderId="3" xfId="0" applyNumberFormat="1" applyBorder="1"/>
    <xf numFmtId="0" fontId="42" fillId="0" borderId="0" xfId="0" applyFont="1"/>
    <xf numFmtId="0" fontId="3" fillId="0" borderId="0" xfId="0" applyFont="1" applyFill="1" applyBorder="1" applyAlignment="1">
      <alignment horizontal="center" vertical="center" wrapText="1"/>
    </xf>
    <xf numFmtId="173" fontId="0" fillId="0" borderId="0" xfId="0" applyNumberFormat="1" applyFill="1" applyBorder="1"/>
    <xf numFmtId="0" fontId="31" fillId="0" borderId="0" xfId="0" applyFont="1" applyFill="1" applyBorder="1" applyAlignment="1">
      <alignment horizontal="center" vertical="center" wrapText="1"/>
    </xf>
    <xf numFmtId="173" fontId="8" fillId="0" borderId="0" xfId="0" applyNumberFormat="1" applyFont="1" applyFill="1" applyBorder="1"/>
    <xf numFmtId="0" fontId="3" fillId="0" borderId="3" xfId="0" applyNumberFormat="1" applyFont="1" applyBorder="1" applyAlignment="1">
      <alignment vertical="center" wrapText="1"/>
    </xf>
    <xf numFmtId="172" fontId="0" fillId="0" borderId="0" xfId="0" applyNumberFormat="1" applyBorder="1"/>
    <xf numFmtId="0" fontId="43" fillId="0" borderId="0" xfId="0" applyFont="1"/>
    <xf numFmtId="0" fontId="43" fillId="0" borderId="0" xfId="0" applyFont="1" applyFill="1" applyBorder="1"/>
    <xf numFmtId="172" fontId="0" fillId="0" borderId="0" xfId="0" applyNumberFormat="1" applyFill="1"/>
    <xf numFmtId="173" fontId="0" fillId="0" borderId="0" xfId="0" applyNumberFormat="1" applyFill="1"/>
    <xf numFmtId="173" fontId="0" fillId="0" borderId="0" xfId="0" applyNumberFormat="1"/>
    <xf numFmtId="0" fontId="0" fillId="0" borderId="0" xfId="0" applyBorder="1" applyAlignment="1">
      <alignment horizontal="right"/>
    </xf>
    <xf numFmtId="2" fontId="0" fillId="0" borderId="0" xfId="0" applyNumberFormat="1" applyFont="1" applyFill="1" applyAlignment="1"/>
    <xf numFmtId="0" fontId="44" fillId="0" borderId="3" xfId="0" applyFont="1" applyBorder="1"/>
    <xf numFmtId="1" fontId="45" fillId="0" borderId="3" xfId="0" applyNumberFormat="1" applyFont="1" applyFill="1" applyBorder="1" applyAlignment="1">
      <alignment horizontal="left"/>
    </xf>
    <xf numFmtId="0" fontId="0" fillId="17" borderId="0" xfId="0" applyFill="1" applyAlignment="1">
      <alignment horizontal="left"/>
    </xf>
    <xf numFmtId="0" fontId="3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4" fillId="0" borderId="11" xfId="0" applyFont="1" applyBorder="1"/>
    <xf numFmtId="2" fontId="44" fillId="0" borderId="11" xfId="0" applyNumberFormat="1" applyFont="1" applyBorder="1"/>
    <xf numFmtId="1" fontId="44" fillId="0" borderId="11" xfId="0" applyNumberFormat="1" applyFont="1" applyFill="1" applyBorder="1"/>
    <xf numFmtId="166" fontId="44" fillId="0" borderId="11" xfId="2" applyNumberFormat="1" applyFont="1" applyBorder="1" applyAlignment="1">
      <alignment horizontal="left" indent="2"/>
    </xf>
    <xf numFmtId="44" fontId="44" fillId="0" borderId="3" xfId="0" applyNumberFormat="1" applyFont="1" applyBorder="1"/>
    <xf numFmtId="1" fontId="36" fillId="0" borderId="0" xfId="4" applyNumberFormat="1"/>
  </cellXfs>
  <cellStyles count="6">
    <cellStyle name="Lien hypertexte" xfId="5"/>
    <cellStyle name="Milliers" xfId="3" builtinId="3"/>
    <cellStyle name="Monétaire" xfId="2" builtinId="4"/>
    <cellStyle name="Normal" xfId="0" builtinId="0"/>
    <cellStyle name="Normal 2" xfId="4"/>
    <cellStyle name="Pourcentage" xfId="1" builtinId="5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/>
              <a:t>CF.1 Diamètre et Hauteur</a:t>
            </a:r>
            <a:r>
              <a:rPr lang="fr-FR" sz="1050" baseline="0"/>
              <a:t> en fonction de l'age</a:t>
            </a:r>
            <a:endParaRPr lang="fr-FR" sz="1050"/>
          </a:p>
        </c:rich>
      </c:tx>
      <c:layout>
        <c:manualLayout>
          <c:xMode val="edge"/>
          <c:yMode val="edge"/>
          <c:x val="0.123258710308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55138695898307"/>
          <c:y val="0.15187739463601532"/>
          <c:w val="0.82681929464699266"/>
          <c:h val="0.571698192898301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'Inputs - Tables de production'!$U$37</c:f>
              <c:strCache>
                <c:ptCount val="1"/>
                <c:pt idx="0">
                  <c:v>H0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3395766705632384"/>
                  <c:y val="0.12014541285787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production'!$T$38:$T$54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'Inputs - Tables de production'!$U$38:$U$54</c:f>
              <c:numCache>
                <c:formatCode>General</c:formatCode>
                <c:ptCount val="17"/>
                <c:pt idx="0">
                  <c:v>14.2</c:v>
                </c:pt>
                <c:pt idx="1">
                  <c:v>17.399999999999999</c:v>
                </c:pt>
                <c:pt idx="2">
                  <c:v>20.2</c:v>
                </c:pt>
                <c:pt idx="3">
                  <c:v>22.6</c:v>
                </c:pt>
                <c:pt idx="4">
                  <c:v>24.8</c:v>
                </c:pt>
                <c:pt idx="5">
                  <c:v>26.7</c:v>
                </c:pt>
                <c:pt idx="6">
                  <c:v>28.4</c:v>
                </c:pt>
                <c:pt idx="7">
                  <c:v>29.9</c:v>
                </c:pt>
                <c:pt idx="8">
                  <c:v>31.7</c:v>
                </c:pt>
                <c:pt idx="9">
                  <c:v>33.299999999999997</c:v>
                </c:pt>
                <c:pt idx="10">
                  <c:v>34.9</c:v>
                </c:pt>
                <c:pt idx="11">
                  <c:v>36.299999999999997</c:v>
                </c:pt>
                <c:pt idx="12">
                  <c:v>37.799999999999997</c:v>
                </c:pt>
                <c:pt idx="13">
                  <c:v>39.200000000000003</c:v>
                </c:pt>
                <c:pt idx="14">
                  <c:v>40.700000000000003</c:v>
                </c:pt>
                <c:pt idx="15">
                  <c:v>42.1</c:v>
                </c:pt>
                <c:pt idx="16">
                  <c:v>42.9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'Inputs - Tables de production'!$V$37</c:f>
              <c:strCache>
                <c:ptCount val="1"/>
                <c:pt idx="0">
                  <c:v>D0 (cm)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068054728453061"/>
                  <c:y val="-5.23619030379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production'!$T$38:$T$54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'Inputs - Tables de production'!$V$38:$V$54</c:f>
              <c:numCache>
                <c:formatCode>General</c:formatCode>
                <c:ptCount val="17"/>
                <c:pt idx="0">
                  <c:v>16.3</c:v>
                </c:pt>
                <c:pt idx="1">
                  <c:v>20.5</c:v>
                </c:pt>
                <c:pt idx="2">
                  <c:v>24.9</c:v>
                </c:pt>
                <c:pt idx="3">
                  <c:v>29.4</c:v>
                </c:pt>
                <c:pt idx="4">
                  <c:v>33.6</c:v>
                </c:pt>
                <c:pt idx="5">
                  <c:v>37.799999999999997</c:v>
                </c:pt>
                <c:pt idx="6">
                  <c:v>41.7</c:v>
                </c:pt>
                <c:pt idx="7">
                  <c:v>44.9</c:v>
                </c:pt>
                <c:pt idx="8">
                  <c:v>48.6</c:v>
                </c:pt>
                <c:pt idx="9">
                  <c:v>52.2</c:v>
                </c:pt>
                <c:pt idx="10">
                  <c:v>55</c:v>
                </c:pt>
                <c:pt idx="11">
                  <c:v>58</c:v>
                </c:pt>
                <c:pt idx="12">
                  <c:v>62</c:v>
                </c:pt>
                <c:pt idx="13">
                  <c:v>67</c:v>
                </c:pt>
                <c:pt idx="14">
                  <c:v>72</c:v>
                </c:pt>
                <c:pt idx="15">
                  <c:v>77</c:v>
                </c:pt>
                <c:pt idx="16">
                  <c:v>80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36464"/>
        <c:axId val="1376029392"/>
      </c:scatterChart>
      <c:valAx>
        <c:axId val="1376036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29392"/>
        <c:crosses val="autoZero"/>
        <c:crossBetween val="midCat"/>
      </c:valAx>
      <c:valAx>
        <c:axId val="137602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09240704584954"/>
          <c:y val="0.81501658446540326"/>
          <c:w val="0.62041980447266976"/>
          <c:h val="0.1849834155345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/>
              <a:t>CF.2 Diamètre et Hauteur</a:t>
            </a:r>
            <a:r>
              <a:rPr lang="fr-FR" sz="1050" baseline="0"/>
              <a:t> en fonction de l'age</a:t>
            </a:r>
            <a:endParaRPr lang="fr-FR" sz="1050"/>
          </a:p>
        </c:rich>
      </c:tx>
      <c:layout>
        <c:manualLayout>
          <c:xMode val="edge"/>
          <c:yMode val="edge"/>
          <c:x val="0.123258710308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55138695898307"/>
          <c:y val="0.15187739463601532"/>
          <c:w val="0.82681929464699266"/>
          <c:h val="0.571698192898301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'Inputs - Tables de production'!$U$37</c:f>
              <c:strCache>
                <c:ptCount val="1"/>
                <c:pt idx="0">
                  <c:v>H0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3395766705632384"/>
                  <c:y val="0.12014541285787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production'!$T$57:$T$72</c:f>
              <c:numCache>
                <c:formatCode>General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'Inputs - Tables de production'!$U$57:$U$72</c:f>
              <c:numCache>
                <c:formatCode>General</c:formatCode>
                <c:ptCount val="16"/>
                <c:pt idx="0">
                  <c:v>14.2</c:v>
                </c:pt>
                <c:pt idx="1">
                  <c:v>16.600000000000001</c:v>
                </c:pt>
                <c:pt idx="2">
                  <c:v>18.7</c:v>
                </c:pt>
                <c:pt idx="3">
                  <c:v>20.5</c:v>
                </c:pt>
                <c:pt idx="4">
                  <c:v>22.5</c:v>
                </c:pt>
                <c:pt idx="5">
                  <c:v>24</c:v>
                </c:pt>
                <c:pt idx="6">
                  <c:v>25.7</c:v>
                </c:pt>
                <c:pt idx="7">
                  <c:v>27.2</c:v>
                </c:pt>
                <c:pt idx="8">
                  <c:v>28.6</c:v>
                </c:pt>
                <c:pt idx="9">
                  <c:v>30</c:v>
                </c:pt>
                <c:pt idx="10">
                  <c:v>31.4</c:v>
                </c:pt>
                <c:pt idx="11">
                  <c:v>32.700000000000003</c:v>
                </c:pt>
                <c:pt idx="12">
                  <c:v>34</c:v>
                </c:pt>
                <c:pt idx="13">
                  <c:v>35.299999999999997</c:v>
                </c:pt>
                <c:pt idx="14">
                  <c:v>36.6</c:v>
                </c:pt>
                <c:pt idx="15">
                  <c:v>38.299999999999997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'Inputs - Tables de production'!$V$37</c:f>
              <c:strCache>
                <c:ptCount val="1"/>
                <c:pt idx="0">
                  <c:v>D0 (cm)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068054728453061"/>
                  <c:y val="-5.23619030379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production'!$T$57:$T$72</c:f>
              <c:numCache>
                <c:formatCode>General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'Inputs - Tables de production'!$V$57:$V$72</c:f>
              <c:numCache>
                <c:formatCode>General</c:formatCode>
                <c:ptCount val="16"/>
                <c:pt idx="0">
                  <c:v>16.3</c:v>
                </c:pt>
                <c:pt idx="1">
                  <c:v>19.899999999999999</c:v>
                </c:pt>
                <c:pt idx="2">
                  <c:v>23.6</c:v>
                </c:pt>
                <c:pt idx="3">
                  <c:v>27.3</c:v>
                </c:pt>
                <c:pt idx="4">
                  <c:v>30.3</c:v>
                </c:pt>
                <c:pt idx="5">
                  <c:v>34.4</c:v>
                </c:pt>
                <c:pt idx="6">
                  <c:v>38.200000000000003</c:v>
                </c:pt>
                <c:pt idx="7">
                  <c:v>41.9</c:v>
                </c:pt>
                <c:pt idx="8">
                  <c:v>45.7</c:v>
                </c:pt>
                <c:pt idx="9">
                  <c:v>48.7</c:v>
                </c:pt>
                <c:pt idx="10">
                  <c:v>51.3</c:v>
                </c:pt>
                <c:pt idx="11">
                  <c:v>54</c:v>
                </c:pt>
                <c:pt idx="12">
                  <c:v>57.5</c:v>
                </c:pt>
                <c:pt idx="13">
                  <c:v>62</c:v>
                </c:pt>
                <c:pt idx="14">
                  <c:v>66.900000000000006</c:v>
                </c:pt>
                <c:pt idx="15">
                  <c:v>73.400000000000006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44080"/>
        <c:axId val="1376017424"/>
      </c:scatterChart>
      <c:valAx>
        <c:axId val="137604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17424"/>
        <c:crosses val="autoZero"/>
        <c:crossBetween val="midCat"/>
      </c:valAx>
      <c:valAx>
        <c:axId val="137601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4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124497901110699"/>
          <c:y val="0.81501640419947508"/>
          <c:w val="0.3474679850097111"/>
          <c:h val="0.1849834155345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50"/>
              <a:t>CF.1 Diamètre et Hauteur</a:t>
            </a:r>
            <a:r>
              <a:rPr lang="fr-FR" sz="1050" baseline="0"/>
              <a:t> en fonction de l'age</a:t>
            </a:r>
            <a:endParaRPr lang="fr-FR" sz="1050"/>
          </a:p>
        </c:rich>
      </c:tx>
      <c:layout>
        <c:manualLayout>
          <c:xMode val="edge"/>
          <c:yMode val="edge"/>
          <c:x val="0.123258710308270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655138695898307"/>
          <c:y val="0.15187739463601532"/>
          <c:w val="0.82681929464699266"/>
          <c:h val="0.571698192898301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'Inputs - Tables de production'!$U$37</c:f>
              <c:strCache>
                <c:ptCount val="1"/>
                <c:pt idx="0">
                  <c:v>H0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3395766705632384"/>
                  <c:y val="0.12014541285787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production'!$T$75:$T$88</c:f>
              <c:numCache>
                <c:formatCode>General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'Inputs - Tables de production'!$U$75:$U$88</c:f>
              <c:numCache>
                <c:formatCode>General</c:formatCode>
                <c:ptCount val="14"/>
                <c:pt idx="0">
                  <c:v>14</c:v>
                </c:pt>
                <c:pt idx="1">
                  <c:v>15.6</c:v>
                </c:pt>
                <c:pt idx="2">
                  <c:v>17.100000000000001</c:v>
                </c:pt>
                <c:pt idx="3">
                  <c:v>18.7</c:v>
                </c:pt>
                <c:pt idx="4">
                  <c:v>20.2</c:v>
                </c:pt>
                <c:pt idx="5">
                  <c:v>21.6</c:v>
                </c:pt>
                <c:pt idx="6">
                  <c:v>22.9</c:v>
                </c:pt>
                <c:pt idx="7">
                  <c:v>24.1</c:v>
                </c:pt>
                <c:pt idx="8">
                  <c:v>25.6</c:v>
                </c:pt>
                <c:pt idx="9">
                  <c:v>27</c:v>
                </c:pt>
                <c:pt idx="10">
                  <c:v>28.5</c:v>
                </c:pt>
                <c:pt idx="11">
                  <c:v>30.2</c:v>
                </c:pt>
                <c:pt idx="12">
                  <c:v>32</c:v>
                </c:pt>
                <c:pt idx="13">
                  <c:v>33.299999999999997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'Inputs - Tables de production'!$V$37</c:f>
              <c:strCache>
                <c:ptCount val="1"/>
                <c:pt idx="0">
                  <c:v>D0 (cm)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0.1068054728453061"/>
                  <c:y val="-5.23619030379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production'!$T$75:$T$88</c:f>
              <c:numCache>
                <c:formatCode>General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'Inputs - Tables de production'!$V$75:$V$88</c:f>
              <c:numCache>
                <c:formatCode>General</c:formatCode>
                <c:ptCount val="14"/>
                <c:pt idx="0">
                  <c:v>17.399999999999999</c:v>
                </c:pt>
                <c:pt idx="1">
                  <c:v>20</c:v>
                </c:pt>
                <c:pt idx="2">
                  <c:v>22.9</c:v>
                </c:pt>
                <c:pt idx="3">
                  <c:v>26.4</c:v>
                </c:pt>
                <c:pt idx="4">
                  <c:v>29.8</c:v>
                </c:pt>
                <c:pt idx="5">
                  <c:v>33.200000000000003</c:v>
                </c:pt>
                <c:pt idx="6">
                  <c:v>36.299999999999997</c:v>
                </c:pt>
                <c:pt idx="7">
                  <c:v>39.4</c:v>
                </c:pt>
                <c:pt idx="8">
                  <c:v>42.2</c:v>
                </c:pt>
                <c:pt idx="9">
                  <c:v>44.6</c:v>
                </c:pt>
                <c:pt idx="10">
                  <c:v>47.3</c:v>
                </c:pt>
                <c:pt idx="11">
                  <c:v>50.9</c:v>
                </c:pt>
                <c:pt idx="12">
                  <c:v>54.9</c:v>
                </c:pt>
                <c:pt idx="13">
                  <c:v>59.3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41360"/>
        <c:axId val="1376010896"/>
      </c:scatterChart>
      <c:valAx>
        <c:axId val="1376041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10896"/>
        <c:crosses val="autoZero"/>
        <c:crossBetween val="midCat"/>
      </c:valAx>
      <c:valAx>
        <c:axId val="137601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41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09240704584954"/>
          <c:y val="0.81501658446540326"/>
          <c:w val="0.62041980447266976"/>
          <c:h val="0.1849834155345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Peuplier station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intercept val="0"/>
            <c:dispRSqr val="0"/>
            <c:dispEq val="1"/>
            <c:trendlineLbl>
              <c:layout>
                <c:manualLayout>
                  <c:x val="-0.30092672790901137"/>
                  <c:y val="5.305118110236220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'Inputs - Tables de production'!$AM$57:$AM$77</c:f>
              <c:numCache>
                <c:formatCode>General</c:formatCode>
                <c:ptCount val="21"/>
                <c:pt idx="0">
                  <c:v>0.163884673748103</c:v>
                </c:pt>
                <c:pt idx="1">
                  <c:v>1.1729893778452101</c:v>
                </c:pt>
                <c:pt idx="2">
                  <c:v>2.41274658573596</c:v>
                </c:pt>
                <c:pt idx="3">
                  <c:v>3.56600910470409</c:v>
                </c:pt>
                <c:pt idx="4">
                  <c:v>5.0075872534142603</c:v>
                </c:pt>
                <c:pt idx="5">
                  <c:v>6.1608497723823898</c:v>
                </c:pt>
                <c:pt idx="6">
                  <c:v>7.1699544764795098</c:v>
                </c:pt>
                <c:pt idx="7">
                  <c:v>7.9484066767829997</c:v>
                </c:pt>
                <c:pt idx="8">
                  <c:v>9.1305007587253399</c:v>
                </c:pt>
                <c:pt idx="9">
                  <c:v>9.9377845220030299</c:v>
                </c:pt>
                <c:pt idx="10">
                  <c:v>10.8027314112291</c:v>
                </c:pt>
                <c:pt idx="11">
                  <c:v>11.783004552352001</c:v>
                </c:pt>
                <c:pt idx="12">
                  <c:v>12.9074355083459</c:v>
                </c:pt>
                <c:pt idx="13">
                  <c:v>13.974203338391501</c:v>
                </c:pt>
                <c:pt idx="14">
                  <c:v>15.3869499241274</c:v>
                </c:pt>
                <c:pt idx="15">
                  <c:v>16.828528072837599</c:v>
                </c:pt>
                <c:pt idx="16">
                  <c:v>18.500758725341399</c:v>
                </c:pt>
                <c:pt idx="17">
                  <c:v>19.884673748103101</c:v>
                </c:pt>
                <c:pt idx="18">
                  <c:v>21.239757207890701</c:v>
                </c:pt>
                <c:pt idx="19">
                  <c:v>22.306525037936201</c:v>
                </c:pt>
                <c:pt idx="20">
                  <c:v>22.969650986342899</c:v>
                </c:pt>
              </c:numCache>
            </c:numRef>
          </c:xVal>
          <c:yVal>
            <c:numRef>
              <c:f>'Inputs - Tables de production'!$AN$57:$AN$77</c:f>
              <c:numCache>
                <c:formatCode>General</c:formatCode>
                <c:ptCount val="21"/>
                <c:pt idx="0">
                  <c:v>7.9717009461044404</c:v>
                </c:pt>
                <c:pt idx="1">
                  <c:v>11.471366626494801</c:v>
                </c:pt>
                <c:pt idx="2">
                  <c:v>20.990707116002799</c:v>
                </c:pt>
                <c:pt idx="3">
                  <c:v>29.558738153674899</c:v>
                </c:pt>
                <c:pt idx="4">
                  <c:v>44.780650301688397</c:v>
                </c:pt>
                <c:pt idx="5">
                  <c:v>59.681135165217903</c:v>
                </c:pt>
                <c:pt idx="6">
                  <c:v>72.362858893101702</c:v>
                </c:pt>
                <c:pt idx="7">
                  <c:v>81.874512033504004</c:v>
                </c:pt>
                <c:pt idx="8">
                  <c:v>94.242495826009602</c:v>
                </c:pt>
                <c:pt idx="9">
                  <c:v>103.121384043145</c:v>
                </c:pt>
                <c:pt idx="10">
                  <c:v>111.05136510504001</c:v>
                </c:pt>
                <c:pt idx="11">
                  <c:v>118.666645312919</c:v>
                </c:pt>
                <c:pt idx="12">
                  <c:v>127.23419589127199</c:v>
                </c:pt>
                <c:pt idx="13">
                  <c:v>134.21767209452199</c:v>
                </c:pt>
                <c:pt idx="14">
                  <c:v>142.47340457477301</c:v>
                </c:pt>
                <c:pt idx="15">
                  <c:v>147.88001329270699</c:v>
                </c:pt>
                <c:pt idx="16">
                  <c:v>153.60708837648701</c:v>
                </c:pt>
                <c:pt idx="17">
                  <c:v>157.11300002802599</c:v>
                </c:pt>
                <c:pt idx="18">
                  <c:v>160.61843122024601</c:v>
                </c:pt>
                <c:pt idx="19">
                  <c:v>162.85256705410299</c:v>
                </c:pt>
                <c:pt idx="20">
                  <c:v>163.496863001029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5811056"/>
        <c:axId val="1125810512"/>
      </c:scatterChart>
      <c:valAx>
        <c:axId val="1125811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5810512"/>
        <c:crosses val="autoZero"/>
        <c:crossBetween val="midCat"/>
      </c:valAx>
      <c:valAx>
        <c:axId val="112581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5811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CF. 1 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21333954533112828"/>
                  <c:y val="-6.3258119606450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VERRA!$J$12:$J$28</c:f>
              <c:numCache>
                <c:formatCode>General</c:formatCode>
                <c:ptCount val="17"/>
                <c:pt idx="0">
                  <c:v>45</c:v>
                </c:pt>
                <c:pt idx="1">
                  <c:v>53</c:v>
                </c:pt>
                <c:pt idx="2">
                  <c:v>61</c:v>
                </c:pt>
                <c:pt idx="3">
                  <c:v>69</c:v>
                </c:pt>
                <c:pt idx="4">
                  <c:v>77</c:v>
                </c:pt>
                <c:pt idx="5">
                  <c:v>85</c:v>
                </c:pt>
                <c:pt idx="6">
                  <c:v>95</c:v>
                </c:pt>
                <c:pt idx="7">
                  <c:v>105</c:v>
                </c:pt>
                <c:pt idx="8">
                  <c:v>115</c:v>
                </c:pt>
                <c:pt idx="9">
                  <c:v>125</c:v>
                </c:pt>
                <c:pt idx="10">
                  <c:v>135</c:v>
                </c:pt>
                <c:pt idx="11">
                  <c:v>145</c:v>
                </c:pt>
                <c:pt idx="12">
                  <c:v>155</c:v>
                </c:pt>
                <c:pt idx="13">
                  <c:v>165</c:v>
                </c:pt>
                <c:pt idx="14">
                  <c:v>170</c:v>
                </c:pt>
              </c:numCache>
            </c:numRef>
          </c:xVal>
          <c:yVal>
            <c:numRef>
              <c:f>VERRA!$K$12:$K$28</c:f>
              <c:numCache>
                <c:formatCode>0</c:formatCode>
                <c:ptCount val="17"/>
                <c:pt idx="0">
                  <c:v>104</c:v>
                </c:pt>
                <c:pt idx="1">
                  <c:v>131</c:v>
                </c:pt>
                <c:pt idx="2">
                  <c:v>155</c:v>
                </c:pt>
                <c:pt idx="3">
                  <c:v>177</c:v>
                </c:pt>
                <c:pt idx="4">
                  <c:v>194</c:v>
                </c:pt>
                <c:pt idx="5">
                  <c:v>217</c:v>
                </c:pt>
                <c:pt idx="6">
                  <c:v>255</c:v>
                </c:pt>
                <c:pt idx="7">
                  <c:v>280</c:v>
                </c:pt>
                <c:pt idx="8">
                  <c:v>305</c:v>
                </c:pt>
                <c:pt idx="9">
                  <c:v>326</c:v>
                </c:pt>
                <c:pt idx="10">
                  <c:v>343</c:v>
                </c:pt>
                <c:pt idx="11">
                  <c:v>367</c:v>
                </c:pt>
                <c:pt idx="12">
                  <c:v>384</c:v>
                </c:pt>
                <c:pt idx="13">
                  <c:v>407</c:v>
                </c:pt>
                <c:pt idx="14">
                  <c:v>448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VERRA!$N$11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23935280033569473"/>
                  <c:y val="-7.552103012075506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VERRA!$M$12:$M$25</c:f>
              <c:numCache>
                <c:formatCode>0</c:formatCode>
                <c:ptCount val="14"/>
                <c:pt idx="0">
                  <c:v>52</c:v>
                </c:pt>
                <c:pt idx="1">
                  <c:v>60</c:v>
                </c:pt>
                <c:pt idx="2">
                  <c:v>68</c:v>
                </c:pt>
                <c:pt idx="3">
                  <c:v>78</c:v>
                </c:pt>
                <c:pt idx="4">
                  <c:v>88</c:v>
                </c:pt>
                <c:pt idx="5">
                  <c:v>98</c:v>
                </c:pt>
                <c:pt idx="6">
                  <c:v>108</c:v>
                </c:pt>
                <c:pt idx="7">
                  <c:v>118</c:v>
                </c:pt>
                <c:pt idx="8">
                  <c:v>128</c:v>
                </c:pt>
                <c:pt idx="9">
                  <c:v>138</c:v>
                </c:pt>
                <c:pt idx="10">
                  <c:v>148</c:v>
                </c:pt>
                <c:pt idx="11">
                  <c:v>158</c:v>
                </c:pt>
                <c:pt idx="12">
                  <c:v>168</c:v>
                </c:pt>
                <c:pt idx="13">
                  <c:v>180</c:v>
                </c:pt>
              </c:numCache>
            </c:numRef>
          </c:xVal>
          <c:yVal>
            <c:numRef>
              <c:f>VERRA!$N$12:$N$25</c:f>
              <c:numCache>
                <c:formatCode>0</c:formatCode>
                <c:ptCount val="14"/>
                <c:pt idx="0">
                  <c:v>98</c:v>
                </c:pt>
                <c:pt idx="1">
                  <c:v>117</c:v>
                </c:pt>
                <c:pt idx="2">
                  <c:v>135</c:v>
                </c:pt>
                <c:pt idx="3">
                  <c:v>162</c:v>
                </c:pt>
                <c:pt idx="4">
                  <c:v>184</c:v>
                </c:pt>
                <c:pt idx="5">
                  <c:v>207</c:v>
                </c:pt>
                <c:pt idx="6">
                  <c:v>225</c:v>
                </c:pt>
                <c:pt idx="7">
                  <c:v>241</c:v>
                </c:pt>
                <c:pt idx="8">
                  <c:v>258</c:v>
                </c:pt>
                <c:pt idx="9">
                  <c:v>276</c:v>
                </c:pt>
                <c:pt idx="10">
                  <c:v>293</c:v>
                </c:pt>
                <c:pt idx="11">
                  <c:v>310</c:v>
                </c:pt>
                <c:pt idx="12">
                  <c:v>328</c:v>
                </c:pt>
                <c:pt idx="13">
                  <c:v>368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VERRA!$Q$11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24851693695027932"/>
                  <c:y val="-6.776892811623115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VERRA!$P$12:$P$23</c:f>
              <c:numCache>
                <c:formatCode>0</c:formatCode>
                <c:ptCount val="12"/>
                <c:pt idx="0">
                  <c:v>63</c:v>
                </c:pt>
                <c:pt idx="1">
                  <c:v>73</c:v>
                </c:pt>
                <c:pt idx="2">
                  <c:v>83</c:v>
                </c:pt>
                <c:pt idx="3">
                  <c:v>93</c:v>
                </c:pt>
                <c:pt idx="4">
                  <c:v>103</c:v>
                </c:pt>
                <c:pt idx="5">
                  <c:v>113</c:v>
                </c:pt>
                <c:pt idx="6">
                  <c:v>125</c:v>
                </c:pt>
                <c:pt idx="7">
                  <c:v>137</c:v>
                </c:pt>
                <c:pt idx="8">
                  <c:v>149</c:v>
                </c:pt>
                <c:pt idx="9">
                  <c:v>164</c:v>
                </c:pt>
                <c:pt idx="10">
                  <c:v>179</c:v>
                </c:pt>
                <c:pt idx="11">
                  <c:v>190</c:v>
                </c:pt>
              </c:numCache>
            </c:numRef>
          </c:xVal>
          <c:yVal>
            <c:numRef>
              <c:f>VERRA!$Q$12:$Q$23</c:f>
              <c:numCache>
                <c:formatCode>0</c:formatCode>
                <c:ptCount val="12"/>
                <c:pt idx="0">
                  <c:v>92</c:v>
                </c:pt>
                <c:pt idx="1">
                  <c:v>112</c:v>
                </c:pt>
                <c:pt idx="2">
                  <c:v>129</c:v>
                </c:pt>
                <c:pt idx="3">
                  <c:v>145</c:v>
                </c:pt>
                <c:pt idx="4">
                  <c:v>157</c:v>
                </c:pt>
                <c:pt idx="5">
                  <c:v>170</c:v>
                </c:pt>
                <c:pt idx="6">
                  <c:v>187</c:v>
                </c:pt>
                <c:pt idx="7">
                  <c:v>203</c:v>
                </c:pt>
                <c:pt idx="8">
                  <c:v>220</c:v>
                </c:pt>
                <c:pt idx="9">
                  <c:v>244</c:v>
                </c:pt>
                <c:pt idx="10">
                  <c:v>266</c:v>
                </c:pt>
                <c:pt idx="11">
                  <c:v>323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32112"/>
        <c:axId val="1376012528"/>
      </c:scatterChart>
      <c:valAx>
        <c:axId val="137603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12528"/>
        <c:crosses val="autoZero"/>
        <c:crossBetween val="midCat"/>
      </c:valAx>
      <c:valAx>
        <c:axId val="137601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VERRA!$AT$33</c:f>
              <c:strCache>
                <c:ptCount val="1"/>
                <c:pt idx="0">
                  <c:v>Vbf(m3)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VERRA!$AS$34:$AS$41</c:f>
              <c:numCache>
                <c:formatCode>General</c:formatCode>
                <c:ptCount val="8"/>
                <c:pt idx="0">
                  <c:v>0</c:v>
                </c:pt>
                <c:pt idx="1">
                  <c:v>18.9140271493212</c:v>
                </c:pt>
                <c:pt idx="2">
                  <c:v>25.7013574660633</c:v>
                </c:pt>
                <c:pt idx="3">
                  <c:v>29.0950226244343</c:v>
                </c:pt>
                <c:pt idx="4">
                  <c:v>37.307692307692299</c:v>
                </c:pt>
                <c:pt idx="5">
                  <c:v>46.945701357466</c:v>
                </c:pt>
                <c:pt idx="6">
                  <c:v>52.239819004524797</c:v>
                </c:pt>
                <c:pt idx="7">
                  <c:v>54.886877828054303</c:v>
                </c:pt>
              </c:numCache>
            </c:numRef>
          </c:xVal>
          <c:yVal>
            <c:numRef>
              <c:f>VERRA!$AT$34:$AT$41</c:f>
              <c:numCache>
                <c:formatCode>General</c:formatCode>
                <c:ptCount val="8"/>
                <c:pt idx="0">
                  <c:v>0</c:v>
                </c:pt>
                <c:pt idx="1">
                  <c:v>8.8925081433224293E-2</c:v>
                </c:pt>
                <c:pt idx="2">
                  <c:v>0.178827361563517</c:v>
                </c:pt>
                <c:pt idx="3">
                  <c:v>0.28436482084690501</c:v>
                </c:pt>
                <c:pt idx="4">
                  <c:v>0.59315960912052001</c:v>
                </c:pt>
                <c:pt idx="5">
                  <c:v>1.0192182410423398</c:v>
                </c:pt>
                <c:pt idx="6">
                  <c:v>1.24592833876221</c:v>
                </c:pt>
                <c:pt idx="7">
                  <c:v>1.38664495114006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25584"/>
        <c:axId val="1376039728"/>
      </c:scatterChart>
      <c:valAx>
        <c:axId val="137602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9728"/>
        <c:crosses val="autoZero"/>
        <c:crossBetween val="midCat"/>
      </c:valAx>
      <c:valAx>
        <c:axId val="13760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25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36482939632551E-2"/>
          <c:y val="4.1666666666666664E-2"/>
          <c:w val="0.87753018372703417"/>
          <c:h val="0.8416746864975212"/>
        </c:manualLayout>
      </c:layout>
      <c:scatterChart>
        <c:scatterStyle val="smoothMarker"/>
        <c:varyColors val="0"/>
        <c:ser>
          <c:idx val="0"/>
          <c:order val="0"/>
          <c:tx>
            <c:v>CF.1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8.2930664916885388E-2"/>
                  <c:y val="0.2521726450860309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VERRA!$AX$12:$AX$22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VERRA!$AY$12:$AY$22</c:f>
              <c:numCache>
                <c:formatCode>General</c:formatCode>
                <c:ptCount val="11"/>
                <c:pt idx="0">
                  <c:v>189</c:v>
                </c:pt>
                <c:pt idx="1">
                  <c:v>320</c:v>
                </c:pt>
                <c:pt idx="2">
                  <c:v>423</c:v>
                </c:pt>
                <c:pt idx="3">
                  <c:v>493</c:v>
                </c:pt>
                <c:pt idx="4">
                  <c:v>544</c:v>
                </c:pt>
                <c:pt idx="5">
                  <c:v>575</c:v>
                </c:pt>
                <c:pt idx="6">
                  <c:v>595</c:v>
                </c:pt>
                <c:pt idx="7">
                  <c:v>616</c:v>
                </c:pt>
                <c:pt idx="8">
                  <c:v>639</c:v>
                </c:pt>
                <c:pt idx="9">
                  <c:v>659</c:v>
                </c:pt>
                <c:pt idx="10">
                  <c:v>671</c:v>
                </c:pt>
              </c:numCache>
            </c:numRef>
          </c:yVal>
          <c:smooth val="1"/>
        </c:ser>
        <c:ser>
          <c:idx val="1"/>
          <c:order val="1"/>
          <c:tx>
            <c:v>CF.2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6.6263998250218725E-2"/>
                  <c:y val="0.31306794983960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VERRA!$BA$12:$BA$22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VERRA!$BB$12:$BB$22</c:f>
              <c:numCache>
                <c:formatCode>General</c:formatCode>
                <c:ptCount val="11"/>
                <c:pt idx="0">
                  <c:v>126</c:v>
                </c:pt>
                <c:pt idx="1">
                  <c:v>238</c:v>
                </c:pt>
                <c:pt idx="2">
                  <c:v>351</c:v>
                </c:pt>
                <c:pt idx="3">
                  <c:v>436</c:v>
                </c:pt>
                <c:pt idx="4">
                  <c:v>498</c:v>
                </c:pt>
                <c:pt idx="5">
                  <c:v>543</c:v>
                </c:pt>
                <c:pt idx="6">
                  <c:v>572</c:v>
                </c:pt>
                <c:pt idx="7">
                  <c:v>590</c:v>
                </c:pt>
                <c:pt idx="8">
                  <c:v>608</c:v>
                </c:pt>
                <c:pt idx="9">
                  <c:v>626</c:v>
                </c:pt>
                <c:pt idx="10">
                  <c:v>646</c:v>
                </c:pt>
              </c:numCache>
            </c:numRef>
          </c:yVal>
          <c:smooth val="1"/>
        </c:ser>
        <c:ser>
          <c:idx val="2"/>
          <c:order val="2"/>
          <c:tx>
            <c:v>CF.3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7.4597331583552057E-2"/>
                  <c:y val="0.383110600758238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VERRA!$BD$12:$BD$22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VERRA!$BE$12:$BE$22</c:f>
              <c:numCache>
                <c:formatCode>General</c:formatCode>
                <c:ptCount val="11"/>
                <c:pt idx="0">
                  <c:v>77</c:v>
                </c:pt>
                <c:pt idx="1">
                  <c:v>158</c:v>
                </c:pt>
                <c:pt idx="2">
                  <c:v>267</c:v>
                </c:pt>
                <c:pt idx="3">
                  <c:v>366</c:v>
                </c:pt>
                <c:pt idx="4">
                  <c:v>440</c:v>
                </c:pt>
                <c:pt idx="5">
                  <c:v>495</c:v>
                </c:pt>
                <c:pt idx="6">
                  <c:v>538</c:v>
                </c:pt>
                <c:pt idx="7">
                  <c:v>563</c:v>
                </c:pt>
                <c:pt idx="8">
                  <c:v>583</c:v>
                </c:pt>
                <c:pt idx="9">
                  <c:v>597</c:v>
                </c:pt>
                <c:pt idx="10">
                  <c:v>612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044624"/>
        <c:axId val="1376033200"/>
      </c:scatterChart>
      <c:valAx>
        <c:axId val="137604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33200"/>
        <c:crosses val="autoZero"/>
        <c:crossBetween val="midCat"/>
      </c:valAx>
      <c:valAx>
        <c:axId val="137603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6044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$A$63" lockText="1" noThreeD="1"/>
</file>

<file path=xl/ctrlProps/ctrlProp11.xml><?xml version="1.0" encoding="utf-8"?>
<formControlPr xmlns="http://schemas.microsoft.com/office/spreadsheetml/2009/9/main" objectType="CheckBox" fmlaLink="$A$64" lockText="1" noThreeD="1"/>
</file>

<file path=xl/ctrlProps/ctrlProp12.xml><?xml version="1.0" encoding="utf-8"?>
<formControlPr xmlns="http://schemas.microsoft.com/office/spreadsheetml/2009/9/main" objectType="CheckBox" fmlaLink="$A$65" lockText="1" noThreeD="1"/>
</file>

<file path=xl/ctrlProps/ctrlProp13.xml><?xml version="1.0" encoding="utf-8"?>
<formControlPr xmlns="http://schemas.microsoft.com/office/spreadsheetml/2009/9/main" objectType="CheckBox" fmlaLink="$A$63" lockText="1" noThreeD="1"/>
</file>

<file path=xl/ctrlProps/ctrlProp14.xml><?xml version="1.0" encoding="utf-8"?>
<formControlPr xmlns="http://schemas.microsoft.com/office/spreadsheetml/2009/9/main" objectType="CheckBox" checked="Checked" fmlaLink="$A$64" lockText="1" noThreeD="1"/>
</file>

<file path=xl/ctrlProps/ctrlProp15.xml><?xml version="1.0" encoding="utf-8"?>
<formControlPr xmlns="http://schemas.microsoft.com/office/spreadsheetml/2009/9/main" objectType="CheckBox" fmlaLink="$A$65" lockText="1" noThreeD="1"/>
</file>

<file path=xl/ctrlProps/ctrlProp16.xml><?xml version="1.0" encoding="utf-8"?>
<formControlPr xmlns="http://schemas.microsoft.com/office/spreadsheetml/2009/9/main" objectType="CheckBox" fmlaLink="$A$66" lockText="1" noThreeD="1"/>
</file>

<file path=xl/ctrlProps/ctrlProp2.xml><?xml version="1.0" encoding="utf-8"?>
<formControlPr xmlns="http://schemas.microsoft.com/office/spreadsheetml/2009/9/main" objectType="CheckBox" checked="Checked" fmlaLink="$A$46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$A$62" lockText="1" noThreeD="1"/>
</file>

<file path=xl/ctrlProps/ctrlProp6.xml><?xml version="1.0" encoding="utf-8"?>
<formControlPr xmlns="http://schemas.microsoft.com/office/spreadsheetml/2009/9/main" objectType="CheckBox" checked="Checked" fmlaLink="$A$63" lockText="1" noThreeD="1"/>
</file>

<file path=xl/ctrlProps/ctrlProp7.xml><?xml version="1.0" encoding="utf-8"?>
<formControlPr xmlns="http://schemas.microsoft.com/office/spreadsheetml/2009/9/main" objectType="CheckBox" fmlaLink="$A$64" lockText="1" noThreeD="1"/>
</file>

<file path=xl/ctrlProps/ctrlProp8.xml><?xml version="1.0" encoding="utf-8"?>
<formControlPr xmlns="http://schemas.microsoft.com/office/spreadsheetml/2009/9/main" objectType="CheckBox" fmlaLink="$A$65" lockText="1" noThreeD="1"/>
</file>

<file path=xl/ctrlProps/ctrlProp9.xml><?xml version="1.0" encoding="utf-8"?>
<formControlPr xmlns="http://schemas.microsoft.com/office/spreadsheetml/2009/9/main" objectType="CheckBox" checked="Checked" fmlaLink="$A$62" lockText="1" noThreeD="1"/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19050</xdr:rowOff>
        </xdr:from>
        <xdr:to>
          <xdr:col>0</xdr:col>
          <xdr:colOff>971550</xdr:colOff>
          <xdr:row>4</xdr:row>
          <xdr:rowOff>9525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xmlns="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xmlns="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xmlns="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xmlns="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643890</xdr:colOff>
      <xdr:row>28</xdr:row>
      <xdr:rowOff>148590</xdr:rowOff>
    </xdr:from>
    <xdr:to>
      <xdr:col>16</xdr:col>
      <xdr:colOff>171450</xdr:colOff>
      <xdr:row>44</xdr:row>
      <xdr:rowOff>40005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714375</xdr:colOff>
      <xdr:row>14</xdr:row>
      <xdr:rowOff>71437</xdr:rowOff>
    </xdr:from>
    <xdr:to>
      <xdr:col>45</xdr:col>
      <xdr:colOff>714375</xdr:colOff>
      <xdr:row>28</xdr:row>
      <xdr:rowOff>147637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50</xdr:col>
      <xdr:colOff>133350</xdr:colOff>
      <xdr:row>23</xdr:row>
      <xdr:rowOff>52387</xdr:rowOff>
    </xdr:from>
    <xdr:to>
      <xdr:col>56</xdr:col>
      <xdr:colOff>133350</xdr:colOff>
      <xdr:row>37</xdr:row>
      <xdr:rowOff>109537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24</xdr:col>
      <xdr:colOff>595312</xdr:colOff>
      <xdr:row>3</xdr:row>
      <xdr:rowOff>4763</xdr:rowOff>
    </xdr:from>
    <xdr:ext cx="1885714" cy="800000"/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90212" y="4900613"/>
          <a:ext cx="1885714" cy="80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19050</xdr:rowOff>
        </xdr:from>
        <xdr:to>
          <xdr:col>0</xdr:col>
          <xdr:colOff>962025</xdr:colOff>
          <xdr:row>4</xdr:row>
          <xdr:rowOff>9525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xmlns="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xmlns="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53251" name="Check Box 3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xmlns="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53252" name="Check Box 4" hidden="1">
              <a:extLst>
                <a:ext uri="{63B3BB69-23CF-44E3-9099-C40C66FF867C}">
                  <a14:compatExt spid="_x0000_s53252"/>
                </a:ext>
                <a:ext uri="{FF2B5EF4-FFF2-40B4-BE49-F238E27FC236}">
                  <a16:creationId xmlns:a16="http://schemas.microsoft.com/office/drawing/2014/main" xmlns="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19050</xdr:rowOff>
        </xdr:from>
        <xdr:to>
          <xdr:col>0</xdr:col>
          <xdr:colOff>971550</xdr:colOff>
          <xdr:row>4</xdr:row>
          <xdr:rowOff>9525</xdr:rowOff>
        </xdr:to>
        <xdr:sp macro="" textlink="">
          <xdr:nvSpPr>
            <xdr:cNvPr id="56321" name="Check Box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="" xmlns:a16="http://schemas.microsoft.com/office/drawing/2014/main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56322" name="Check Box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="" xmlns:a16="http://schemas.microsoft.com/office/drawing/2014/main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56323" name="Check Box 3" hidden="1">
              <a:extLst>
                <a:ext uri="{63B3BB69-23CF-44E3-9099-C40C66FF867C}">
                  <a14:compatExt spid="_x0000_s56323"/>
                </a:ext>
                <a:ext uri="{FF2B5EF4-FFF2-40B4-BE49-F238E27FC236}">
                  <a16:creationId xmlns="" xmlns:a16="http://schemas.microsoft.com/office/drawing/2014/main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56324" name="Check Box 4" hidden="1">
              <a:extLst>
                <a:ext uri="{63B3BB69-23CF-44E3-9099-C40C66FF867C}">
                  <a14:compatExt spid="_x0000_s56324"/>
                </a:ext>
                <a:ext uri="{FF2B5EF4-FFF2-40B4-BE49-F238E27FC236}">
                  <a16:creationId xmlns="" xmlns:a16="http://schemas.microsoft.com/office/drawing/2014/main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3</xdr:row>
          <xdr:rowOff>19050</xdr:rowOff>
        </xdr:from>
        <xdr:to>
          <xdr:col>0</xdr:col>
          <xdr:colOff>962025</xdr:colOff>
          <xdr:row>4</xdr:row>
          <xdr:rowOff>9525</xdr:rowOff>
        </xdr:to>
        <xdr:sp macro="" textlink="">
          <xdr:nvSpPr>
            <xdr:cNvPr id="57345" name="Check Box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xmlns="" id="{00000000-0008-0000-02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4</xdr:row>
          <xdr:rowOff>38100</xdr:rowOff>
        </xdr:from>
        <xdr:to>
          <xdr:col>0</xdr:col>
          <xdr:colOff>952500</xdr:colOff>
          <xdr:row>5</xdr:row>
          <xdr:rowOff>0</xdr:rowOff>
        </xdr:to>
        <xdr:sp macro="" textlink="">
          <xdr:nvSpPr>
            <xdr:cNvPr id="57346" name="Check Box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xmlns="" id="{00000000-0008-0000-02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9525</xdr:rowOff>
        </xdr:from>
        <xdr:to>
          <xdr:col>0</xdr:col>
          <xdr:colOff>942975</xdr:colOff>
          <xdr:row>5</xdr:row>
          <xdr:rowOff>180975</xdr:rowOff>
        </xdr:to>
        <xdr:sp macro="" textlink="">
          <xdr:nvSpPr>
            <xdr:cNvPr id="57347" name="Check Box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xmlns="" id="{00000000-0008-0000-02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676275</xdr:colOff>
          <xdr:row>5</xdr:row>
          <xdr:rowOff>190500</xdr:rowOff>
        </xdr:from>
        <xdr:to>
          <xdr:col>0</xdr:col>
          <xdr:colOff>942975</xdr:colOff>
          <xdr:row>6</xdr:row>
          <xdr:rowOff>152400</xdr:rowOff>
        </xdr:to>
        <xdr:sp macro="" textlink="">
          <xdr:nvSpPr>
            <xdr:cNvPr id="57348" name="Check Box 4" hidden="1">
              <a:extLst>
                <a:ext uri="{63B3BB69-23CF-44E3-9099-C40C66FF867C}">
                  <a14:compatExt spid="_x0000_s57348"/>
                </a:ext>
                <a:ext uri="{FF2B5EF4-FFF2-40B4-BE49-F238E27FC236}">
                  <a16:creationId xmlns:a16="http://schemas.microsoft.com/office/drawing/2014/main" xmlns="" id="{00000000-0008-0000-02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1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240" y="435610"/>
          <a:ext cx="1968500" cy="46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27</xdr:row>
      <xdr:rowOff>12700</xdr:rowOff>
    </xdr:from>
    <xdr:to>
      <xdr:col>7</xdr:col>
      <xdr:colOff>19050</xdr:colOff>
      <xdr:row>30</xdr:row>
      <xdr:rowOff>165370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6423025"/>
          <a:ext cx="135255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450850"/>
          <a:ext cx="16637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27</xdr:row>
      <xdr:rowOff>12700</xdr:rowOff>
    </xdr:from>
    <xdr:to>
      <xdr:col>7</xdr:col>
      <xdr:colOff>19050</xdr:colOff>
      <xdr:row>30</xdr:row>
      <xdr:rowOff>165370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775200"/>
          <a:ext cx="110490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450850"/>
          <a:ext cx="16637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26</xdr:row>
      <xdr:rowOff>12700</xdr:rowOff>
    </xdr:from>
    <xdr:to>
      <xdr:col>7</xdr:col>
      <xdr:colOff>19050</xdr:colOff>
      <xdr:row>29</xdr:row>
      <xdr:rowOff>165370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4775200"/>
          <a:ext cx="110490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9700" y="469900"/>
          <a:ext cx="19113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438150</xdr:colOff>
      <xdr:row>26</xdr:row>
      <xdr:rowOff>12700</xdr:rowOff>
    </xdr:from>
    <xdr:to>
      <xdr:col>7</xdr:col>
      <xdr:colOff>19050</xdr:colOff>
      <xdr:row>29</xdr:row>
      <xdr:rowOff>165370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623050"/>
          <a:ext cx="1352550" cy="72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547687</xdr:colOff>
      <xdr:row>10</xdr:row>
      <xdr:rowOff>95251</xdr:rowOff>
    </xdr:from>
    <xdr:to>
      <xdr:col>27</xdr:col>
      <xdr:colOff>233362</xdr:colOff>
      <xdr:row>18</xdr:row>
      <xdr:rowOff>138113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559594</xdr:colOff>
      <xdr:row>19</xdr:row>
      <xdr:rowOff>35718</xdr:rowOff>
    </xdr:from>
    <xdr:to>
      <xdr:col>27</xdr:col>
      <xdr:colOff>285750</xdr:colOff>
      <xdr:row>26</xdr:row>
      <xdr:rowOff>107156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511969</xdr:colOff>
      <xdr:row>26</xdr:row>
      <xdr:rowOff>166688</xdr:rowOff>
    </xdr:from>
    <xdr:to>
      <xdr:col>27</xdr:col>
      <xdr:colOff>197644</xdr:colOff>
      <xdr:row>35</xdr:row>
      <xdr:rowOff>66675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18</xdr:col>
      <xdr:colOff>595312</xdr:colOff>
      <xdr:row>11</xdr:row>
      <xdr:rowOff>4763</xdr:rowOff>
    </xdr:from>
    <xdr:to>
      <xdr:col>21</xdr:col>
      <xdr:colOff>4526</xdr:colOff>
      <xdr:row>14</xdr:row>
      <xdr:rowOff>197545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72093" y="2290763"/>
          <a:ext cx="1885714" cy="800000"/>
        </a:xfrm>
        <a:prstGeom prst="rect">
          <a:avLst/>
        </a:prstGeom>
      </xdr:spPr>
    </xdr:pic>
    <xdr:clientData/>
  </xdr:twoCellAnchor>
  <xdr:oneCellAnchor>
    <xdr:from>
      <xdr:col>28</xdr:col>
      <xdr:colOff>381000</xdr:colOff>
      <xdr:row>11</xdr:row>
      <xdr:rowOff>40483</xdr:rowOff>
    </xdr:from>
    <xdr:ext cx="1885714" cy="800000"/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68281" y="2326483"/>
          <a:ext cx="1885714" cy="800000"/>
        </a:xfrm>
        <a:prstGeom prst="rect">
          <a:avLst/>
        </a:prstGeom>
      </xdr:spPr>
    </xdr:pic>
    <xdr:clientData/>
  </xdr:oneCellAnchor>
  <xdr:twoCellAnchor>
    <xdr:from>
      <xdr:col>40</xdr:col>
      <xdr:colOff>500062</xdr:colOff>
      <xdr:row>54</xdr:row>
      <xdr:rowOff>134541</xdr:rowOff>
    </xdr:from>
    <xdr:to>
      <xdr:col>46</xdr:col>
      <xdr:colOff>500062</xdr:colOff>
      <xdr:row>69</xdr:row>
      <xdr:rowOff>20241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ETOURNEUX/Quantification%20carbone%20_LETOURNE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EA"/>
      <sheetName val="VAN "/>
      <sheetName val="Inputs"/>
      <sheetName val="Inputs - Tables de production"/>
      <sheetName val="VERRA"/>
      <sheetName val="Lexique"/>
      <sheetName val="Fiche projet"/>
      <sheetName val="Répartit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id="9" name="Tableau9" displayName="Tableau9" ref="A21:C28" totalsRowShown="0">
  <autoFilter ref="A21:C28"/>
  <tableColumns count="3">
    <tableColumn id="1" name="V"/>
    <tableColumn id="2" name="Variables"/>
    <tableColumn id="3" name="ha" dataDxfId="19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id="28" name="Tableau9171629" displayName="Tableau9171629" ref="K21:M28" totalsRowShown="0">
  <autoFilter ref="K21:M28"/>
  <tableColumns count="3">
    <tableColumn id="1" name="V"/>
    <tableColumn id="2" name="Variables"/>
    <tableColumn id="3" name="ha" dataDxfId="9"/>
  </tableColumns>
  <tableStyleInfo name="TableStyleLight21" showFirstColumn="0" showLastColumn="0" showRowStripes="1" showColumnStripes="0"/>
</table>
</file>

<file path=xl/tables/table11.xml><?xml version="1.0" encoding="utf-8"?>
<table xmlns="http://schemas.openxmlformats.org/spreadsheetml/2006/main" id="29" name="Tableau917161830" displayName="Tableau917161830" ref="P21:R28" totalsRowShown="0">
  <autoFilter ref="P21:R28"/>
  <tableColumns count="3">
    <tableColumn id="1" name="V"/>
    <tableColumn id="2" name="Variables"/>
    <tableColumn id="3" name="ha" dataDxfId="8"/>
  </tableColumns>
  <tableStyleInfo name="TableStyleLight21" showFirstColumn="0" showLastColumn="0" showRowStripes="1" showColumnStripes="0"/>
</table>
</file>

<file path=xl/tables/table12.xml><?xml version="1.0" encoding="utf-8"?>
<table xmlns="http://schemas.openxmlformats.org/spreadsheetml/2006/main" id="26" name="Tableau91227" displayName="Tableau91227" ref="A44:C50" totalsRowShown="0">
  <autoFilter ref="A44:C50"/>
  <tableColumns count="3">
    <tableColumn id="1" name="V"/>
    <tableColumn id="2" name="Variables"/>
    <tableColumn id="3" name="ha" dataDxfId="11"/>
  </tableColumns>
  <tableStyleInfo name="TableStyleLight21" showFirstColumn="0" showLastColumn="0" showRowStripes="1" showColumnStripes="0"/>
</table>
</file>

<file path=xl/tables/table13.xml><?xml version="1.0" encoding="utf-8"?>
<table xmlns="http://schemas.openxmlformats.org/spreadsheetml/2006/main" id="31" name="Tableau932" displayName="Tableau932" ref="A22:C29" totalsRowShown="0">
  <autoFilter ref="A22:C29"/>
  <tableColumns count="3">
    <tableColumn id="1" name="V"/>
    <tableColumn id="2" name="Variables"/>
    <tableColumn id="3" name="ha" dataDxfId="7"/>
  </tableColumns>
  <tableStyleInfo name="TableStyleLight21" showFirstColumn="0" showLastColumn="0" showRowStripes="1" showColumnStripes="0"/>
</table>
</file>

<file path=xl/tables/table14.xml><?xml version="1.0" encoding="utf-8"?>
<table xmlns="http://schemas.openxmlformats.org/spreadsheetml/2006/main" id="32" name="Tableau91233" displayName="Tableau91233" ref="A45:C51" totalsRowShown="0">
  <autoFilter ref="A45:C51"/>
  <tableColumns count="3">
    <tableColumn id="1" name="V"/>
    <tableColumn id="2" name="Variables"/>
    <tableColumn id="3" name="ha" dataDxfId="6"/>
  </tableColumns>
  <tableStyleInfo name="TableStyleLight21" showFirstColumn="0" showLastColumn="0" showRowStripes="1" showColumnStripes="0"/>
</table>
</file>

<file path=xl/tables/table15.xml><?xml version="1.0" encoding="utf-8"?>
<table xmlns="http://schemas.openxmlformats.org/spreadsheetml/2006/main" id="33" name="Tableau91734" displayName="Tableau91734" ref="F22:H29" totalsRowShown="0">
  <autoFilter ref="F22:H29"/>
  <tableColumns count="3">
    <tableColumn id="1" name="V"/>
    <tableColumn id="2" name="Variables"/>
    <tableColumn id="3" name="ha" dataDxfId="5"/>
  </tableColumns>
  <tableStyleInfo name="TableStyleLight21" showFirstColumn="0" showLastColumn="0" showRowStripes="1" showColumnStripes="0"/>
</table>
</file>

<file path=xl/tables/table16.xml><?xml version="1.0" encoding="utf-8"?>
<table xmlns="http://schemas.openxmlformats.org/spreadsheetml/2006/main" id="2" name="infradensite" displayName="infradensite" ref="A16:B28" totalsRowShown="0">
  <autoFilter ref="A16:B28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id="4" name="Coeff_substitution" displayName="Coeff_substitution" ref="A31:B34" totalsRowShown="0">
  <autoFilter ref="A31:B34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id="8" name="Fertilite" displayName="Fertilite" ref="A36:B48" totalsRowShown="0">
  <autoFilter ref="A36:B48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5" name="Rabais" displayName="Rabais" ref="A66:A70" totalsRowShown="0" dataDxfId="4" dataCellStyle="Pourcentage">
  <autoFilter ref="A66:A70"/>
  <tableColumns count="1">
    <tableColumn id="1" name="Rabais" dataDxfId="3" dataCellStyle="Pourcentage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16" name="Tableau917" displayName="Tableau917" ref="F21:H28" totalsRowShown="0">
  <autoFilter ref="F21:H28"/>
  <tableColumns count="3">
    <tableColumn id="1" name="V"/>
    <tableColumn id="2" name="Variables"/>
    <tableColumn id="3" name="ha" dataDxfId="18"/>
  </tableColumns>
  <tableStyleInfo name="TableStyleLight21" showFirstColumn="0" showLastColumn="0" showRowStripes="1" showColumnStripes="0"/>
</table>
</file>

<file path=xl/tables/table20.xml><?xml version="1.0" encoding="utf-8"?>
<table xmlns="http://schemas.openxmlformats.org/spreadsheetml/2006/main" id="7" name="FEB" displayName="FEB" ref="A73:C87" totalsRowShown="0">
  <autoFilter ref="A73:C87"/>
  <tableColumns count="3">
    <tableColumn id="1" name="Facteur expension branche (FEB)" dataDxfId="2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21.xml><?xml version="1.0" encoding="utf-8"?>
<table xmlns="http://schemas.openxmlformats.org/spreadsheetml/2006/main" id="10" name="Class_Fertilite" displayName="Class_Fertilite" ref="A89:A95" totalsRowShown="0" dataDxfId="1" dataCellStyle="Pourcentage">
  <autoFilter ref="A89:A95"/>
  <tableColumns count="1">
    <tableColumn id="1" name="Classe de fertilité" dataDxfId="0" dataCellStyle="Pourcentage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1" name="Tableau92" displayName="Tableau92" ref="A21:C28" totalsRowShown="0">
  <autoFilter ref="A21:C28"/>
  <tableColumns count="3">
    <tableColumn id="1" name="V"/>
    <tableColumn id="2" name="Variables"/>
    <tableColumn id="3" name="ha" dataDxfId="17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6" name="Tableau9127" displayName="Tableau9127" ref="A44:C50" totalsRowShown="0">
  <autoFilter ref="A44:C50"/>
  <tableColumns count="3">
    <tableColumn id="1" name="V"/>
    <tableColumn id="2" name="Variables"/>
    <tableColumn id="3" name="ha" dataDxfId="16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13" name="Tableau91714" displayName="Tableau91714" ref="F21:H28" totalsRowShown="0">
  <autoFilter ref="F21:H28"/>
  <tableColumns count="3">
    <tableColumn id="1" name="V"/>
    <tableColumn id="2" name="Variables"/>
    <tableColumn id="3" name="ha" dataDxfId="15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id="14" name="Tableau9171615" displayName="Tableau9171615" ref="K21:M28" totalsRowShown="0">
  <autoFilter ref="K21:M28"/>
  <tableColumns count="3">
    <tableColumn id="1" name="V"/>
    <tableColumn id="2" name="Variables"/>
    <tableColumn id="3" name="ha" dataDxfId="14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id="18" name="Tableau917161819" displayName="Tableau917161819" ref="P21:R28" totalsRowShown="0">
  <autoFilter ref="P21:R28"/>
  <tableColumns count="3">
    <tableColumn id="1" name="V"/>
    <tableColumn id="2" name="Variables"/>
    <tableColumn id="3" name="ha" dataDxfId="13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id="25" name="Tableau926" displayName="Tableau926" ref="A21:C28" totalsRowShown="0">
  <autoFilter ref="A21:C28"/>
  <tableColumns count="3">
    <tableColumn id="1" name="V"/>
    <tableColumn id="2" name="Variables"/>
    <tableColumn id="3" name="ha" dataDxfId="12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id="27" name="Tableau91728" displayName="Tableau91728" ref="F21:H28" totalsRowShown="0">
  <autoFilter ref="F21:H28"/>
  <tableColumns count="3">
    <tableColumn id="1" name="V"/>
    <tableColumn id="2" name="Variables"/>
    <tableColumn id="3" name="ha" dataDxfId="1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uau.sylvain@neuf.fr" TargetMode="External"/><Relationship Id="rId2" Type="http://schemas.openxmlformats.org/officeDocument/2006/relationships/hyperlink" Target="mailto:pletourneux@flamdeco.com" TargetMode="External"/><Relationship Id="rId1" Type="http://schemas.openxmlformats.org/officeDocument/2006/relationships/hyperlink" Target="mailto:bdelariviere@hotmail.f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12" Type="http://schemas.openxmlformats.org/officeDocument/2006/relationships/table" Target="../tables/table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11" Type="http://schemas.openxmlformats.org/officeDocument/2006/relationships/table" Target="../tables/table6.xml"/><Relationship Id="rId5" Type="http://schemas.openxmlformats.org/officeDocument/2006/relationships/ctrlProp" Target="../ctrlProps/ctrlProp6.xml"/><Relationship Id="rId10" Type="http://schemas.openxmlformats.org/officeDocument/2006/relationships/table" Target="../tables/table5.xml"/><Relationship Id="rId4" Type="http://schemas.openxmlformats.org/officeDocument/2006/relationships/ctrlProp" Target="../ctrlProps/ctrlProp5.xml"/><Relationship Id="rId9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12" Type="http://schemas.openxmlformats.org/officeDocument/2006/relationships/table" Target="../tables/table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11" Type="http://schemas.openxmlformats.org/officeDocument/2006/relationships/table" Target="../tables/table11.xml"/><Relationship Id="rId5" Type="http://schemas.openxmlformats.org/officeDocument/2006/relationships/ctrlProp" Target="../ctrlProps/ctrlProp10.xml"/><Relationship Id="rId10" Type="http://schemas.openxmlformats.org/officeDocument/2006/relationships/table" Target="../tables/table10.xml"/><Relationship Id="rId4" Type="http://schemas.openxmlformats.org/officeDocument/2006/relationships/ctrlProp" Target="../ctrlProps/ctrlProp9.xml"/><Relationship Id="rId9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10" Type="http://schemas.openxmlformats.org/officeDocument/2006/relationships/table" Target="../tables/table15.xml"/><Relationship Id="rId4" Type="http://schemas.openxmlformats.org/officeDocument/2006/relationships/ctrlProp" Target="../ctrlProps/ctrlProp13.xml"/><Relationship Id="rId9" Type="http://schemas.openxmlformats.org/officeDocument/2006/relationships/table" Target="../tables/table1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3" workbookViewId="0">
      <selection activeCell="C26" sqref="C26:F26"/>
    </sheetView>
  </sheetViews>
  <sheetFormatPr baseColWidth="10" defaultRowHeight="15" x14ac:dyDescent="0.25"/>
  <cols>
    <col min="1" max="1" width="30.28515625" style="244" customWidth="1"/>
    <col min="2" max="2" width="68.42578125" style="244" customWidth="1"/>
    <col min="3" max="3" width="23.140625" style="244" customWidth="1"/>
    <col min="4" max="4" width="23.5703125" style="244" customWidth="1"/>
    <col min="5" max="5" width="26.85546875" style="244" bestFit="1" customWidth="1"/>
    <col min="6" max="6" width="22.42578125" style="244" bestFit="1" customWidth="1"/>
    <col min="7" max="1022" width="11.28515625" style="244" customWidth="1"/>
    <col min="1023" max="1023" width="11.42578125" style="244" customWidth="1"/>
    <col min="1024" max="16384" width="11.42578125" style="244"/>
  </cols>
  <sheetData>
    <row r="1" spans="1:6" ht="20.25" x14ac:dyDescent="0.3">
      <c r="A1" s="259" t="s">
        <v>488</v>
      </c>
    </row>
    <row r="3" spans="1:6" ht="15.75" x14ac:dyDescent="0.25">
      <c r="A3" s="288" t="s">
        <v>487</v>
      </c>
      <c r="B3" s="246" t="s">
        <v>486</v>
      </c>
      <c r="C3" s="258">
        <v>1</v>
      </c>
      <c r="D3" s="258">
        <v>2</v>
      </c>
      <c r="E3" s="258">
        <v>3</v>
      </c>
      <c r="F3" s="258">
        <v>4</v>
      </c>
    </row>
    <row r="4" spans="1:6" x14ac:dyDescent="0.25">
      <c r="A4" s="288"/>
      <c r="B4" s="246" t="s">
        <v>485</v>
      </c>
      <c r="C4" s="245" t="s">
        <v>484</v>
      </c>
      <c r="D4" s="245" t="s">
        <v>484</v>
      </c>
      <c r="E4" s="245" t="s">
        <v>484</v>
      </c>
      <c r="F4" s="245" t="s">
        <v>484</v>
      </c>
    </row>
    <row r="5" spans="1:6" x14ac:dyDescent="0.25">
      <c r="A5" s="288"/>
      <c r="B5" s="246" t="s">
        <v>483</v>
      </c>
      <c r="C5" s="245" t="s">
        <v>482</v>
      </c>
      <c r="D5" s="245" t="s">
        <v>479</v>
      </c>
      <c r="E5" s="245" t="s">
        <v>481</v>
      </c>
      <c r="F5" s="245" t="s">
        <v>480</v>
      </c>
    </row>
    <row r="6" spans="1:6" x14ac:dyDescent="0.25">
      <c r="A6" s="288"/>
      <c r="B6" s="246" t="s">
        <v>478</v>
      </c>
      <c r="C6" s="245" t="s">
        <v>477</v>
      </c>
      <c r="D6" s="245" t="s">
        <v>474</v>
      </c>
      <c r="E6" s="245" t="s">
        <v>476</v>
      </c>
      <c r="F6" s="245" t="s">
        <v>475</v>
      </c>
    </row>
    <row r="7" spans="1:6" x14ac:dyDescent="0.25">
      <c r="A7" s="288"/>
      <c r="B7" s="246" t="s">
        <v>473</v>
      </c>
      <c r="C7" s="245" t="s">
        <v>472</v>
      </c>
      <c r="D7" s="245" t="s">
        <v>469</v>
      </c>
      <c r="E7" s="245" t="s">
        <v>471</v>
      </c>
      <c r="F7" s="245" t="s">
        <v>470</v>
      </c>
    </row>
    <row r="8" spans="1:6" x14ac:dyDescent="0.25">
      <c r="A8" s="288"/>
      <c r="B8" s="246" t="s">
        <v>468</v>
      </c>
      <c r="C8" s="245" t="s">
        <v>467</v>
      </c>
      <c r="D8" s="245" t="s">
        <v>464</v>
      </c>
      <c r="E8" s="244" t="s">
        <v>466</v>
      </c>
      <c r="F8" s="257" t="s">
        <v>465</v>
      </c>
    </row>
    <row r="9" spans="1:6" x14ac:dyDescent="0.25">
      <c r="A9" s="288"/>
      <c r="B9" s="246" t="s">
        <v>463</v>
      </c>
      <c r="C9" s="245" t="s">
        <v>462</v>
      </c>
      <c r="D9" s="245" t="s">
        <v>459</v>
      </c>
      <c r="E9" s="245" t="s">
        <v>461</v>
      </c>
      <c r="F9" s="245" t="s">
        <v>460</v>
      </c>
    </row>
    <row r="10" spans="1:6" x14ac:dyDescent="0.25">
      <c r="A10" s="288"/>
      <c r="B10" s="246" t="s">
        <v>458</v>
      </c>
      <c r="C10" s="256">
        <v>17234</v>
      </c>
      <c r="D10" s="256">
        <v>22690</v>
      </c>
      <c r="E10" s="256">
        <v>22165</v>
      </c>
      <c r="F10" s="245"/>
    </row>
    <row r="11" spans="1:6" x14ac:dyDescent="0.25">
      <c r="A11" s="288"/>
      <c r="B11" s="246" t="s">
        <v>457</v>
      </c>
      <c r="C11" s="245" t="s">
        <v>456</v>
      </c>
      <c r="D11" s="245" t="s">
        <v>453</v>
      </c>
      <c r="E11" s="245" t="s">
        <v>455</v>
      </c>
      <c r="F11" s="245" t="s">
        <v>454</v>
      </c>
    </row>
    <row r="12" spans="1:6" x14ac:dyDescent="0.25">
      <c r="A12" s="288"/>
      <c r="B12" s="246" t="s">
        <v>452</v>
      </c>
      <c r="C12" s="245" t="s">
        <v>450</v>
      </c>
      <c r="D12" s="245" t="s">
        <v>450</v>
      </c>
      <c r="E12" s="245" t="s">
        <v>451</v>
      </c>
      <c r="F12" s="245" t="s">
        <v>450</v>
      </c>
    </row>
    <row r="13" spans="1:6" x14ac:dyDescent="0.25">
      <c r="A13" s="288"/>
      <c r="B13" s="246" t="s">
        <v>449</v>
      </c>
      <c r="C13" s="245" t="s">
        <v>425</v>
      </c>
      <c r="D13" s="245" t="s">
        <v>448</v>
      </c>
      <c r="E13" s="245" t="s">
        <v>425</v>
      </c>
      <c r="F13" s="245"/>
    </row>
    <row r="14" spans="1:6" x14ac:dyDescent="0.25">
      <c r="A14" s="288"/>
      <c r="B14" s="246" t="s">
        <v>447</v>
      </c>
      <c r="C14" s="253" t="s">
        <v>445</v>
      </c>
      <c r="D14" s="253" t="s">
        <v>445</v>
      </c>
      <c r="E14" s="253" t="s">
        <v>445</v>
      </c>
      <c r="F14" s="253" t="s">
        <v>445</v>
      </c>
    </row>
    <row r="15" spans="1:6" x14ac:dyDescent="0.25">
      <c r="A15" s="288"/>
      <c r="B15" s="246" t="s">
        <v>446</v>
      </c>
      <c r="C15" s="253" t="s">
        <v>445</v>
      </c>
      <c r="D15" s="253" t="s">
        <v>445</v>
      </c>
      <c r="E15" s="253" t="s">
        <v>445</v>
      </c>
      <c r="F15" s="253" t="s">
        <v>445</v>
      </c>
    </row>
    <row r="16" spans="1:6" x14ac:dyDescent="0.25">
      <c r="A16" s="288"/>
      <c r="B16" s="250" t="s">
        <v>444</v>
      </c>
      <c r="C16" s="253" t="s">
        <v>443</v>
      </c>
      <c r="D16" s="253" t="s">
        <v>441</v>
      </c>
      <c r="E16" s="253" t="s">
        <v>443</v>
      </c>
      <c r="F16" s="253" t="s">
        <v>443</v>
      </c>
    </row>
    <row r="17" spans="1:7" x14ac:dyDescent="0.25">
      <c r="A17" s="288"/>
      <c r="B17" s="255" t="s">
        <v>442</v>
      </c>
      <c r="C17" s="245" t="s">
        <v>440</v>
      </c>
      <c r="D17" s="245" t="s">
        <v>440</v>
      </c>
      <c r="E17" s="245" t="s">
        <v>441</v>
      </c>
      <c r="F17" s="245" t="s">
        <v>440</v>
      </c>
    </row>
    <row r="18" spans="1:7" x14ac:dyDescent="0.25">
      <c r="A18" s="287" t="s">
        <v>439</v>
      </c>
      <c r="B18" s="246" t="s">
        <v>276</v>
      </c>
      <c r="C18" s="245">
        <v>5.6</v>
      </c>
      <c r="D18" s="245">
        <v>9.26</v>
      </c>
      <c r="E18" s="245">
        <v>9.1</v>
      </c>
      <c r="F18" s="245">
        <v>1.62</v>
      </c>
    </row>
    <row r="19" spans="1:7" x14ac:dyDescent="0.25">
      <c r="A19" s="287"/>
      <c r="B19" s="246" t="s">
        <v>438</v>
      </c>
      <c r="C19" s="245" t="s">
        <v>436</v>
      </c>
      <c r="D19" s="245" t="s">
        <v>436</v>
      </c>
      <c r="E19" s="245" t="s">
        <v>436</v>
      </c>
      <c r="F19" s="245" t="s">
        <v>437</v>
      </c>
    </row>
    <row r="20" spans="1:7" x14ac:dyDescent="0.25">
      <c r="A20" s="287"/>
      <c r="B20" s="254" t="s">
        <v>435</v>
      </c>
      <c r="C20" s="253">
        <v>8400</v>
      </c>
      <c r="D20" s="253" t="s">
        <v>433</v>
      </c>
      <c r="E20" s="253" t="s">
        <v>434</v>
      </c>
      <c r="F20" s="253" t="s">
        <v>434</v>
      </c>
    </row>
    <row r="21" spans="1:7" x14ac:dyDescent="0.25">
      <c r="A21" s="289" t="s">
        <v>432</v>
      </c>
      <c r="B21" s="252" t="s">
        <v>431</v>
      </c>
      <c r="C21" s="251">
        <f>Répartition!G38</f>
        <v>987.49737498591469</v>
      </c>
      <c r="D21" s="260">
        <f>Répartition!G39</f>
        <v>1998.327599037508</v>
      </c>
      <c r="E21" s="260">
        <f>Répartition!G40</f>
        <v>2261.1453359712837</v>
      </c>
      <c r="F21" s="260">
        <f>Répartition!G41</f>
        <v>487.2708398114155</v>
      </c>
      <c r="G21" s="391"/>
    </row>
    <row r="22" spans="1:7" x14ac:dyDescent="0.25">
      <c r="A22" s="289"/>
      <c r="B22" s="252" t="s">
        <v>430</v>
      </c>
      <c r="C22" s="251">
        <f>C21/C18</f>
        <v>176.3388169617705</v>
      </c>
      <c r="D22" s="251">
        <f>D21/D18</f>
        <v>215.80211652672872</v>
      </c>
      <c r="E22" s="251">
        <f>E21/E18</f>
        <v>248.47750944739383</v>
      </c>
      <c r="F22" s="251">
        <f>F21/F18</f>
        <v>300.78446901939225</v>
      </c>
    </row>
    <row r="23" spans="1:7" x14ac:dyDescent="0.25">
      <c r="A23" s="287" t="s">
        <v>429</v>
      </c>
      <c r="B23" s="250" t="s">
        <v>428</v>
      </c>
      <c r="C23" s="249" t="s">
        <v>427</v>
      </c>
      <c r="D23" s="249" t="s">
        <v>427</v>
      </c>
      <c r="E23" s="249" t="s">
        <v>427</v>
      </c>
      <c r="F23" s="249" t="s">
        <v>427</v>
      </c>
    </row>
    <row r="24" spans="1:7" x14ac:dyDescent="0.25">
      <c r="A24" s="287"/>
      <c r="B24" s="250" t="s">
        <v>426</v>
      </c>
      <c r="C24" s="249" t="s">
        <v>425</v>
      </c>
      <c r="D24" s="249" t="s">
        <v>425</v>
      </c>
      <c r="E24" s="249" t="s">
        <v>425</v>
      </c>
      <c r="F24" s="249" t="s">
        <v>425</v>
      </c>
    </row>
    <row r="25" spans="1:7" ht="85.5" x14ac:dyDescent="0.25">
      <c r="A25" s="287" t="s">
        <v>424</v>
      </c>
      <c r="B25" s="246" t="s">
        <v>402</v>
      </c>
      <c r="C25" s="248" t="s">
        <v>423</v>
      </c>
      <c r="D25" s="248" t="s">
        <v>420</v>
      </c>
      <c r="E25" s="245" t="s">
        <v>422</v>
      </c>
      <c r="F25" s="245" t="s">
        <v>421</v>
      </c>
    </row>
    <row r="26" spans="1:7" x14ac:dyDescent="0.25">
      <c r="A26" s="287"/>
      <c r="B26" s="246" t="s">
        <v>401</v>
      </c>
      <c r="C26" s="245" t="s">
        <v>419</v>
      </c>
      <c r="D26" s="245" t="s">
        <v>535</v>
      </c>
      <c r="E26" s="245" t="s">
        <v>418</v>
      </c>
      <c r="F26" s="245" t="s">
        <v>417</v>
      </c>
    </row>
    <row r="27" spans="1:7" x14ac:dyDescent="0.25">
      <c r="A27" s="287"/>
      <c r="B27" s="246" t="s">
        <v>400</v>
      </c>
      <c r="C27" s="245">
        <v>8400</v>
      </c>
      <c r="D27" s="245">
        <v>14930</v>
      </c>
      <c r="E27" s="245">
        <v>16380</v>
      </c>
      <c r="F27" s="245">
        <v>223</v>
      </c>
    </row>
    <row r="28" spans="1:7" x14ac:dyDescent="0.25">
      <c r="A28" s="287"/>
      <c r="B28" s="246" t="s">
        <v>258</v>
      </c>
      <c r="C28" s="245">
        <v>5.6</v>
      </c>
      <c r="D28" s="245">
        <v>9.26</v>
      </c>
      <c r="E28" s="245">
        <v>9.1</v>
      </c>
      <c r="F28" s="245">
        <v>1.42</v>
      </c>
    </row>
    <row r="29" spans="1:7" x14ac:dyDescent="0.25">
      <c r="A29" s="287"/>
      <c r="B29" s="246" t="s">
        <v>399</v>
      </c>
      <c r="C29" s="245" t="s">
        <v>415</v>
      </c>
      <c r="D29" s="247" t="s">
        <v>415</v>
      </c>
      <c r="E29" s="245" t="s">
        <v>415</v>
      </c>
      <c r="F29" s="245" t="s">
        <v>416</v>
      </c>
    </row>
    <row r="30" spans="1:7" x14ac:dyDescent="0.25">
      <c r="A30" s="287"/>
      <c r="B30" s="246" t="s">
        <v>398</v>
      </c>
      <c r="C30" s="245" t="s">
        <v>406</v>
      </c>
      <c r="D30" s="245" t="s">
        <v>413</v>
      </c>
      <c r="E30" s="245" t="s">
        <v>414</v>
      </c>
      <c r="F30" s="245" t="s">
        <v>406</v>
      </c>
    </row>
    <row r="31" spans="1:7" x14ac:dyDescent="0.25">
      <c r="A31" s="287"/>
      <c r="B31" s="246" t="s">
        <v>397</v>
      </c>
      <c r="C31" s="245" t="s">
        <v>405</v>
      </c>
      <c r="D31" s="245" t="s">
        <v>405</v>
      </c>
      <c r="E31" s="245" t="s">
        <v>405</v>
      </c>
      <c r="F31" s="245" t="s">
        <v>412</v>
      </c>
    </row>
    <row r="32" spans="1:7" x14ac:dyDescent="0.25">
      <c r="A32" s="287"/>
      <c r="B32" s="246" t="s">
        <v>396</v>
      </c>
      <c r="C32" s="245" t="s">
        <v>404</v>
      </c>
      <c r="D32" s="245" t="s">
        <v>404</v>
      </c>
      <c r="E32" s="245" t="s">
        <v>411</v>
      </c>
      <c r="F32" s="245" t="s">
        <v>404</v>
      </c>
    </row>
    <row r="33" spans="1:6" x14ac:dyDescent="0.25">
      <c r="A33" s="287" t="s">
        <v>410</v>
      </c>
      <c r="B33" s="246" t="s">
        <v>402</v>
      </c>
      <c r="C33" s="245"/>
      <c r="D33" s="245"/>
      <c r="E33" s="245"/>
      <c r="F33" s="245" t="s">
        <v>409</v>
      </c>
    </row>
    <row r="34" spans="1:6" x14ac:dyDescent="0.25">
      <c r="A34" s="287"/>
      <c r="B34" s="246" t="s">
        <v>401</v>
      </c>
      <c r="C34" s="245"/>
      <c r="D34" s="245"/>
      <c r="E34" s="245"/>
      <c r="F34" s="245" t="s">
        <v>408</v>
      </c>
    </row>
    <row r="35" spans="1:6" x14ac:dyDescent="0.25">
      <c r="A35" s="287"/>
      <c r="B35" s="246" t="s">
        <v>400</v>
      </c>
      <c r="C35" s="245"/>
      <c r="D35" s="245"/>
      <c r="E35" s="245"/>
      <c r="F35" s="245">
        <v>320</v>
      </c>
    </row>
    <row r="36" spans="1:6" x14ac:dyDescent="0.25">
      <c r="A36" s="287"/>
      <c r="B36" s="246" t="s">
        <v>258</v>
      </c>
      <c r="C36" s="245"/>
      <c r="D36" s="245"/>
      <c r="E36" s="245"/>
      <c r="F36" s="245">
        <v>0.2</v>
      </c>
    </row>
    <row r="37" spans="1:6" x14ac:dyDescent="0.25">
      <c r="A37" s="287"/>
      <c r="B37" s="246" t="s">
        <v>399</v>
      </c>
      <c r="C37" s="245"/>
      <c r="D37" s="245"/>
      <c r="E37" s="245"/>
      <c r="F37" s="245" t="s">
        <v>407</v>
      </c>
    </row>
    <row r="38" spans="1:6" x14ac:dyDescent="0.25">
      <c r="A38" s="287"/>
      <c r="B38" s="246" t="s">
        <v>398</v>
      </c>
      <c r="C38" s="245"/>
      <c r="D38" s="245"/>
      <c r="E38" s="245"/>
      <c r="F38" s="245" t="s">
        <v>406</v>
      </c>
    </row>
    <row r="39" spans="1:6" x14ac:dyDescent="0.25">
      <c r="A39" s="287"/>
      <c r="B39" s="246" t="s">
        <v>397</v>
      </c>
      <c r="C39" s="245"/>
      <c r="D39" s="245"/>
      <c r="E39" s="245"/>
      <c r="F39" s="245" t="s">
        <v>405</v>
      </c>
    </row>
    <row r="40" spans="1:6" x14ac:dyDescent="0.25">
      <c r="A40" s="287"/>
      <c r="B40" s="246" t="s">
        <v>396</v>
      </c>
      <c r="C40" s="245"/>
      <c r="D40" s="245"/>
      <c r="E40" s="245"/>
      <c r="F40" s="245" t="s">
        <v>404</v>
      </c>
    </row>
    <row r="41" spans="1:6" x14ac:dyDescent="0.25">
      <c r="A41" s="287" t="s">
        <v>403</v>
      </c>
      <c r="B41" s="246" t="s">
        <v>402</v>
      </c>
      <c r="C41" s="245"/>
      <c r="D41" s="245"/>
      <c r="E41" s="245"/>
      <c r="F41" s="245"/>
    </row>
    <row r="42" spans="1:6" x14ac:dyDescent="0.25">
      <c r="A42" s="287"/>
      <c r="B42" s="246" t="s">
        <v>401</v>
      </c>
      <c r="C42" s="245"/>
      <c r="D42" s="245"/>
      <c r="E42" s="245"/>
      <c r="F42" s="245"/>
    </row>
    <row r="43" spans="1:6" x14ac:dyDescent="0.25">
      <c r="A43" s="287"/>
      <c r="B43" s="246" t="s">
        <v>400</v>
      </c>
      <c r="C43" s="245"/>
      <c r="D43" s="245"/>
      <c r="E43" s="245"/>
      <c r="F43" s="245"/>
    </row>
    <row r="44" spans="1:6" x14ac:dyDescent="0.25">
      <c r="A44" s="287"/>
      <c r="B44" s="246" t="s">
        <v>258</v>
      </c>
      <c r="C44" s="245"/>
      <c r="D44" s="245"/>
      <c r="E44" s="245"/>
      <c r="F44" s="245"/>
    </row>
    <row r="45" spans="1:6" x14ac:dyDescent="0.25">
      <c r="A45" s="287"/>
      <c r="B45" s="246" t="s">
        <v>399</v>
      </c>
      <c r="C45" s="245"/>
      <c r="D45" s="245"/>
      <c r="E45" s="245"/>
      <c r="F45" s="245"/>
    </row>
    <row r="46" spans="1:6" x14ac:dyDescent="0.25">
      <c r="A46" s="287"/>
      <c r="B46" s="246" t="s">
        <v>398</v>
      </c>
      <c r="C46" s="245"/>
      <c r="D46" s="245"/>
      <c r="E46" s="245"/>
      <c r="F46" s="245"/>
    </row>
    <row r="47" spans="1:6" x14ac:dyDescent="0.25">
      <c r="A47" s="287"/>
      <c r="B47" s="246" t="s">
        <v>397</v>
      </c>
      <c r="C47" s="245"/>
      <c r="D47" s="245"/>
      <c r="E47" s="245"/>
      <c r="F47" s="245"/>
    </row>
    <row r="48" spans="1:6" x14ac:dyDescent="0.25">
      <c r="A48" s="287"/>
      <c r="B48" s="246" t="s">
        <v>396</v>
      </c>
      <c r="C48" s="245"/>
      <c r="D48" s="245"/>
      <c r="E48" s="245"/>
      <c r="F48" s="245"/>
    </row>
  </sheetData>
  <mergeCells count="7">
    <mergeCell ref="A41:A48"/>
    <mergeCell ref="A3:A17"/>
    <mergeCell ref="A18:A20"/>
    <mergeCell ref="A21:A22"/>
    <mergeCell ref="A23:A24"/>
    <mergeCell ref="A25:A32"/>
    <mergeCell ref="A33:A40"/>
  </mergeCells>
  <hyperlinks>
    <hyperlink ref="C8" r:id="rId1"/>
    <hyperlink ref="E8" r:id="rId2"/>
    <hyperlink ref="F8" r:id="rId3"/>
  </hyperlink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47"/>
  <sheetViews>
    <sheetView showGridLines="0" view="pageBreakPreview" topLeftCell="A37" zoomScaleNormal="100" zoomScaleSheetLayoutView="100" workbookViewId="0">
      <selection activeCell="D63" sqref="D63"/>
    </sheetView>
  </sheetViews>
  <sheetFormatPr baseColWidth="10" defaultRowHeight="15" x14ac:dyDescent="0.25"/>
  <cols>
    <col min="1" max="1" width="5" customWidth="1"/>
    <col min="2" max="2" width="41.28515625" bestFit="1" customWidth="1"/>
    <col min="3" max="3" width="18" bestFit="1" customWidth="1"/>
    <col min="4" max="4" width="19.140625" bestFit="1" customWidth="1"/>
    <col min="5" max="5" width="17.5703125" bestFit="1" customWidth="1"/>
    <col min="6" max="8" width="13.28515625" bestFit="1" customWidth="1"/>
    <col min="9" max="9" width="15.85546875" customWidth="1"/>
    <col min="11" max="11" width="28" customWidth="1"/>
    <col min="12" max="12" width="11.85546875" bestFit="1" customWidth="1"/>
    <col min="15" max="24" width="11.42578125" style="35"/>
  </cols>
  <sheetData>
    <row r="1" spans="1:12" customFormat="1" ht="16.5" x14ac:dyDescent="0.3">
      <c r="A1" s="340" t="s">
        <v>154</v>
      </c>
      <c r="B1" s="340"/>
      <c r="C1" s="340"/>
      <c r="D1" s="340"/>
      <c r="E1" s="340"/>
      <c r="F1" s="340"/>
      <c r="G1" s="340"/>
      <c r="H1" s="340"/>
      <c r="I1" s="340"/>
    </row>
    <row r="2" spans="1:12" customFormat="1" x14ac:dyDescent="0.25"/>
    <row r="3" spans="1:12" customFormat="1" x14ac:dyDescent="0.2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</row>
    <row r="4" spans="1:12" customFormat="1" x14ac:dyDescent="0.2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</row>
    <row r="5" spans="1:12" customFormat="1" x14ac:dyDescent="0.25">
      <c r="A5" t="s">
        <v>46</v>
      </c>
      <c r="B5" s="2" t="s">
        <v>16</v>
      </c>
      <c r="C5" s="3">
        <v>4.4999999999999998E-2</v>
      </c>
      <c r="G5" s="6"/>
      <c r="H5" s="6"/>
      <c r="I5" s="6"/>
    </row>
    <row r="6" spans="1:12" customFormat="1" x14ac:dyDescent="0.25">
      <c r="A6" t="s">
        <v>47</v>
      </c>
      <c r="B6" s="2" t="s">
        <v>17</v>
      </c>
      <c r="C6" s="2">
        <f>100*C3</f>
        <v>200</v>
      </c>
    </row>
    <row r="7" spans="1:12" customFormat="1" x14ac:dyDescent="0.25"/>
    <row r="8" spans="1:12" customFormat="1" ht="16.5" x14ac:dyDescent="0.3">
      <c r="A8" s="340" t="s">
        <v>273</v>
      </c>
      <c r="B8" s="340"/>
      <c r="C8" s="340"/>
      <c r="D8" s="340"/>
      <c r="E8" s="340"/>
      <c r="F8" s="340"/>
      <c r="G8" s="340"/>
      <c r="H8" s="340"/>
      <c r="I8" s="340"/>
    </row>
    <row r="9" spans="1:12" customFormat="1" ht="15.75" thickBot="1" x14ac:dyDescent="0.3"/>
    <row r="10" spans="1:12" customFormat="1" ht="66.75" thickBot="1" x14ac:dyDescent="0.3">
      <c r="A10" s="341" t="s">
        <v>274</v>
      </c>
      <c r="B10" s="342"/>
      <c r="C10" s="342" t="s">
        <v>259</v>
      </c>
      <c r="D10" s="342"/>
      <c r="E10" s="207" t="s">
        <v>260</v>
      </c>
      <c r="F10" s="207" t="s">
        <v>261</v>
      </c>
      <c r="G10" s="207" t="s">
        <v>262</v>
      </c>
      <c r="H10" s="207" t="s">
        <v>263</v>
      </c>
      <c r="I10" s="207" t="s">
        <v>264</v>
      </c>
    </row>
    <row r="11" spans="1:12" customFormat="1" ht="16.5" customHeight="1" x14ac:dyDescent="0.25">
      <c r="A11" s="348" t="s">
        <v>274</v>
      </c>
      <c r="B11" s="349"/>
      <c r="C11" s="324" t="s">
        <v>365</v>
      </c>
      <c r="D11" s="324"/>
      <c r="E11" s="325" t="s">
        <v>364</v>
      </c>
      <c r="F11" s="156">
        <f>1.9*1600</f>
        <v>3040</v>
      </c>
      <c r="G11" s="343">
        <v>0.2</v>
      </c>
      <c r="H11" s="157">
        <f>F11*G11</f>
        <v>608</v>
      </c>
      <c r="I11" s="205"/>
      <c r="J11" s="154"/>
      <c r="L11" s="237"/>
    </row>
    <row r="12" spans="1:12" customFormat="1" ht="16.5" x14ac:dyDescent="0.25">
      <c r="A12" s="350"/>
      <c r="B12" s="321"/>
      <c r="C12" s="330" t="s">
        <v>291</v>
      </c>
      <c r="D12" s="331"/>
      <c r="E12" s="326"/>
      <c r="F12" s="156">
        <f>0.42*1600</f>
        <v>672</v>
      </c>
      <c r="G12" s="344"/>
      <c r="H12" s="157">
        <f>F12*G11</f>
        <v>134.4</v>
      </c>
      <c r="I12" s="205"/>
      <c r="J12" s="154"/>
      <c r="L12" s="237"/>
    </row>
    <row r="13" spans="1:12" customFormat="1" ht="16.5" x14ac:dyDescent="0.25">
      <c r="A13" s="350"/>
      <c r="B13" s="321"/>
      <c r="C13" s="324" t="s">
        <v>292</v>
      </c>
      <c r="D13" s="324"/>
      <c r="E13" s="326"/>
      <c r="F13" s="156">
        <f>1600*0.99</f>
        <v>1584</v>
      </c>
      <c r="G13" s="344"/>
      <c r="H13" s="157">
        <f>F13*G11</f>
        <v>316.8</v>
      </c>
      <c r="I13" s="205"/>
      <c r="L13" s="237"/>
    </row>
    <row r="14" spans="1:12" customFormat="1" ht="17.25" thickBot="1" x14ac:dyDescent="0.3">
      <c r="A14" s="351"/>
      <c r="B14" s="323"/>
      <c r="C14" s="332" t="s">
        <v>366</v>
      </c>
      <c r="D14" s="332"/>
      <c r="E14" s="327"/>
      <c r="F14" s="158">
        <f>1600*3.7</f>
        <v>5920</v>
      </c>
      <c r="G14" s="344"/>
      <c r="H14" s="158">
        <f>F14*G11</f>
        <v>1184</v>
      </c>
      <c r="I14" s="206"/>
      <c r="J14" t="s">
        <v>290</v>
      </c>
      <c r="L14" s="238"/>
    </row>
    <row r="15" spans="1:12" customFormat="1" ht="50.25" thickBot="1" x14ac:dyDescent="0.3">
      <c r="A15" s="159" t="s">
        <v>265</v>
      </c>
      <c r="B15" s="160">
        <v>320</v>
      </c>
      <c r="C15" s="346" t="s">
        <v>266</v>
      </c>
      <c r="D15" s="346"/>
      <c r="E15" s="347"/>
      <c r="F15" s="161">
        <f>H15/G11</f>
        <v>11215.999999999998</v>
      </c>
      <c r="G15" s="345"/>
      <c r="H15" s="162">
        <f>SUM(H11:H14)</f>
        <v>2243.1999999999998</v>
      </c>
      <c r="I15" s="170"/>
    </row>
    <row r="16" spans="1:12" customFormat="1" ht="17.25" customHeight="1" thickBot="1" x14ac:dyDescent="0.3">
      <c r="A16" s="320" t="s">
        <v>270</v>
      </c>
      <c r="B16" s="321"/>
      <c r="C16" s="324" t="s">
        <v>367</v>
      </c>
      <c r="D16" s="324"/>
      <c r="E16" s="325" t="s">
        <v>247</v>
      </c>
      <c r="F16" s="163">
        <f>3.8*B19/G16</f>
        <v>596.76056338028172</v>
      </c>
      <c r="G16" s="328">
        <v>1.42</v>
      </c>
      <c r="H16" s="163">
        <f>F16*G16</f>
        <v>847.4</v>
      </c>
      <c r="I16" s="171"/>
    </row>
    <row r="17" spans="1:24" ht="17.25" customHeight="1" thickBot="1" x14ac:dyDescent="0.3">
      <c r="A17" s="320"/>
      <c r="B17" s="321"/>
      <c r="C17" s="324" t="s">
        <v>292</v>
      </c>
      <c r="D17" s="324"/>
      <c r="E17" s="326"/>
      <c r="F17" s="163">
        <f>H17/G16</f>
        <v>1198.2323943661972</v>
      </c>
      <c r="G17" s="329"/>
      <c r="H17" s="157">
        <v>1701.49</v>
      </c>
      <c r="I17" s="171"/>
      <c r="O17"/>
      <c r="P17"/>
      <c r="Q17"/>
      <c r="R17"/>
      <c r="S17"/>
      <c r="T17"/>
      <c r="U17"/>
      <c r="V17"/>
      <c r="W17"/>
      <c r="X17"/>
    </row>
    <row r="18" spans="1:24" ht="17.25" customHeight="1" thickBot="1" x14ac:dyDescent="0.3">
      <c r="A18" s="322"/>
      <c r="B18" s="323"/>
      <c r="C18" s="332" t="s">
        <v>366</v>
      </c>
      <c r="D18" s="332"/>
      <c r="E18" s="327"/>
      <c r="F18" s="158">
        <f>H18/G16</f>
        <v>125.63380281690142</v>
      </c>
      <c r="G18" s="329"/>
      <c r="H18" s="158">
        <f>178.4</f>
        <v>178.4</v>
      </c>
      <c r="I18" s="171"/>
      <c r="O18"/>
      <c r="P18"/>
      <c r="Q18"/>
      <c r="R18"/>
      <c r="S18"/>
      <c r="T18"/>
      <c r="U18"/>
      <c r="V18"/>
      <c r="W18"/>
      <c r="X18"/>
    </row>
    <row r="19" spans="1:24" ht="49.5" x14ac:dyDescent="0.25">
      <c r="A19" s="164" t="s">
        <v>265</v>
      </c>
      <c r="B19" s="165">
        <v>223</v>
      </c>
      <c r="C19" s="333" t="s">
        <v>266</v>
      </c>
      <c r="D19" s="334"/>
      <c r="E19" s="335"/>
      <c r="F19" s="166">
        <f>H19/G16</f>
        <v>1920.6267605633805</v>
      </c>
      <c r="G19" s="329"/>
      <c r="H19" s="167">
        <f>SUM(H16:H18)</f>
        <v>2727.29</v>
      </c>
      <c r="I19" s="170"/>
      <c r="O19"/>
      <c r="P19"/>
      <c r="Q19"/>
      <c r="R19"/>
      <c r="S19"/>
      <c r="T19"/>
      <c r="U19"/>
      <c r="V19"/>
      <c r="W19"/>
      <c r="X19"/>
    </row>
    <row r="20" spans="1:24" ht="16.5" x14ac:dyDescent="0.25">
      <c r="A20" s="318" t="s">
        <v>267</v>
      </c>
      <c r="B20" s="318"/>
      <c r="C20" s="318"/>
      <c r="D20" s="318"/>
      <c r="E20" s="318"/>
      <c r="F20" s="318"/>
      <c r="G20" s="318"/>
      <c r="H20" s="319">
        <f>H15+H19</f>
        <v>4970.49</v>
      </c>
      <c r="I20" s="319"/>
      <c r="O20"/>
      <c r="P20"/>
      <c r="Q20"/>
      <c r="R20"/>
      <c r="S20"/>
      <c r="T20"/>
      <c r="U20"/>
      <c r="V20"/>
      <c r="W20"/>
      <c r="X20"/>
    </row>
    <row r="21" spans="1:24" ht="17.25" thickBot="1" x14ac:dyDescent="0.3">
      <c r="A21" s="336" t="s">
        <v>268</v>
      </c>
      <c r="B21" s="336"/>
      <c r="C21" s="336"/>
      <c r="D21" s="336"/>
      <c r="E21" s="336"/>
      <c r="F21" s="336"/>
      <c r="G21" s="336"/>
      <c r="H21" s="337">
        <v>540</v>
      </c>
      <c r="I21" s="338"/>
      <c r="J21" s="19"/>
      <c r="K21" s="19"/>
      <c r="L21" s="19"/>
      <c r="O21"/>
      <c r="P21"/>
      <c r="Q21"/>
      <c r="R21"/>
      <c r="S21"/>
      <c r="T21"/>
      <c r="U21"/>
      <c r="V21"/>
      <c r="W21"/>
      <c r="X21"/>
    </row>
    <row r="22" spans="1:24" ht="14.45" customHeight="1" thickBot="1" x14ac:dyDescent="0.3">
      <c r="A22" s="316" t="s">
        <v>507</v>
      </c>
      <c r="B22" s="316"/>
      <c r="C22" s="316"/>
      <c r="D22" s="316"/>
      <c r="E22" s="316"/>
      <c r="F22" s="316"/>
      <c r="G22" s="316"/>
      <c r="H22" s="235">
        <f>H20+H21</f>
        <v>5510.49</v>
      </c>
      <c r="I22" s="236"/>
      <c r="M22" s="52"/>
      <c r="O22"/>
      <c r="P22"/>
      <c r="Q22"/>
      <c r="R22"/>
      <c r="S22"/>
      <c r="T22"/>
      <c r="U22"/>
      <c r="V22"/>
      <c r="W22"/>
      <c r="X22"/>
    </row>
    <row r="23" spans="1:24" ht="14.45" customHeight="1" thickBot="1" x14ac:dyDescent="0.3">
      <c r="A23" s="316" t="s">
        <v>534</v>
      </c>
      <c r="B23" s="316"/>
      <c r="C23" s="316"/>
      <c r="D23" s="316"/>
      <c r="E23" s="316"/>
      <c r="F23" s="316"/>
      <c r="G23" s="316"/>
      <c r="H23" s="235">
        <v>2909.9</v>
      </c>
      <c r="I23" s="236"/>
      <c r="M23" s="52"/>
      <c r="O23"/>
      <c r="P23"/>
      <c r="Q23"/>
      <c r="R23"/>
      <c r="S23"/>
      <c r="T23"/>
      <c r="U23"/>
      <c r="V23"/>
      <c r="W23"/>
      <c r="X23"/>
    </row>
    <row r="24" spans="1:24" ht="14.45" customHeight="1" thickBot="1" x14ac:dyDescent="0.3">
      <c r="A24" s="316" t="s">
        <v>507</v>
      </c>
      <c r="B24" s="316"/>
      <c r="C24" s="316"/>
      <c r="D24" s="316"/>
      <c r="E24" s="316"/>
      <c r="F24" s="316"/>
      <c r="G24" s="316"/>
      <c r="H24" s="235">
        <f>H22+H23</f>
        <v>8420.39</v>
      </c>
      <c r="I24" s="236"/>
      <c r="M24" s="52"/>
      <c r="O24"/>
      <c r="P24"/>
      <c r="Q24"/>
      <c r="R24"/>
      <c r="S24"/>
      <c r="T24"/>
      <c r="U24"/>
      <c r="V24"/>
      <c r="W24"/>
      <c r="X24"/>
    </row>
    <row r="25" spans="1:24" x14ac:dyDescent="0.25">
      <c r="A25" s="35"/>
      <c r="C25" s="107"/>
      <c r="D25" s="35"/>
      <c r="E25" s="35"/>
      <c r="F25" s="35"/>
      <c r="G25" s="35"/>
      <c r="H25" s="35"/>
      <c r="I25" s="35"/>
      <c r="M25" s="52"/>
      <c r="O25"/>
      <c r="P25"/>
      <c r="Q25"/>
      <c r="R25"/>
      <c r="S25"/>
      <c r="T25"/>
      <c r="U25"/>
      <c r="V25"/>
      <c r="W25"/>
      <c r="X25"/>
    </row>
    <row r="26" spans="1:24" ht="16.5" x14ac:dyDescent="0.3">
      <c r="A26" s="339" t="s">
        <v>107</v>
      </c>
      <c r="B26" s="339" t="s">
        <v>272</v>
      </c>
      <c r="C26" s="339"/>
      <c r="D26" s="339"/>
      <c r="E26" s="339"/>
      <c r="F26" s="339"/>
      <c r="G26" s="339"/>
      <c r="H26" s="339"/>
      <c r="I26" s="339"/>
      <c r="O26"/>
      <c r="P26"/>
      <c r="Q26"/>
      <c r="R26"/>
      <c r="S26"/>
      <c r="T26"/>
      <c r="U26"/>
      <c r="V26"/>
      <c r="W26"/>
      <c r="X26"/>
    </row>
    <row r="27" spans="1:24" s="17" customFormat="1" x14ac:dyDescent="0.25">
      <c r="A27" s="35"/>
      <c r="B27" s="108"/>
      <c r="E27" s="109"/>
      <c r="F27" s="109"/>
      <c r="G27" s="109"/>
      <c r="H27" s="109"/>
      <c r="I27" s="35"/>
    </row>
    <row r="28" spans="1:24" s="17" customFormat="1" x14ac:dyDescent="0.25">
      <c r="A28" s="35"/>
      <c r="C28" s="110" t="s">
        <v>16</v>
      </c>
      <c r="D28" s="172">
        <f>0.045</f>
        <v>4.4999999999999998E-2</v>
      </c>
      <c r="H28"/>
      <c r="I28"/>
    </row>
    <row r="29" spans="1:24" s="17" customFormat="1" x14ac:dyDescent="0.25">
      <c r="A29" s="35"/>
      <c r="H29"/>
      <c r="I29"/>
    </row>
    <row r="30" spans="1:24" s="17" customFormat="1" x14ac:dyDescent="0.25">
      <c r="A30" s="35"/>
      <c r="B30" s="17" t="s">
        <v>54</v>
      </c>
      <c r="C30" s="196">
        <f>G11</f>
        <v>0.2</v>
      </c>
      <c r="H30" t="s">
        <v>298</v>
      </c>
      <c r="I30" s="195">
        <f>G16</f>
        <v>1.42</v>
      </c>
    </row>
    <row r="31" spans="1:24" s="17" customFormat="1" x14ac:dyDescent="0.25">
      <c r="A31" s="35"/>
      <c r="H31"/>
      <c r="I31"/>
    </row>
    <row r="32" spans="1:24" s="17" customFormat="1" x14ac:dyDescent="0.25">
      <c r="A32" s="35"/>
      <c r="B32" s="90" t="s">
        <v>271</v>
      </c>
      <c r="C32" s="111" t="s">
        <v>202</v>
      </c>
      <c r="D32" s="111" t="s">
        <v>203</v>
      </c>
      <c r="E32" s="111" t="s">
        <v>204</v>
      </c>
      <c r="F32" s="111" t="s">
        <v>106</v>
      </c>
      <c r="G32" s="109"/>
      <c r="H32" s="90" t="s">
        <v>297</v>
      </c>
      <c r="I32" s="111" t="s">
        <v>202</v>
      </c>
      <c r="J32" s="111" t="s">
        <v>203</v>
      </c>
      <c r="K32" s="111" t="s">
        <v>204</v>
      </c>
      <c r="L32" s="111" t="s">
        <v>106</v>
      </c>
      <c r="N32" s="90"/>
      <c r="O32" s="109"/>
      <c r="P32" s="109"/>
      <c r="Q32" s="109"/>
      <c r="R32" s="109"/>
      <c r="S32" s="35"/>
      <c r="T32" s="90"/>
      <c r="U32" s="109"/>
      <c r="V32" s="109"/>
      <c r="W32" s="109"/>
      <c r="X32" s="109"/>
    </row>
    <row r="33" spans="1:24" s="17" customFormat="1" x14ac:dyDescent="0.25">
      <c r="A33" s="35"/>
      <c r="B33" s="112" t="s">
        <v>296</v>
      </c>
      <c r="C33" s="182">
        <v>1</v>
      </c>
      <c r="D33" s="183">
        <v>0</v>
      </c>
      <c r="E33" s="184">
        <f>H21/1.6</f>
        <v>337.5</v>
      </c>
      <c r="F33" s="185">
        <f t="shared" ref="F33:F54" si="0">(D33-E33)/((1+$D$28)^C33)</f>
        <v>-322.96650717703352</v>
      </c>
      <c r="G33" s="109"/>
      <c r="H33" s="90" t="s">
        <v>296</v>
      </c>
      <c r="I33" s="113">
        <v>1</v>
      </c>
      <c r="J33" s="193">
        <v>0</v>
      </c>
      <c r="K33" s="111">
        <f>H21/1.6</f>
        <v>337.5</v>
      </c>
      <c r="L33" s="114">
        <f t="shared" ref="L33:L39" si="1">(J33-K33)/((1+$D$28)^I33)</f>
        <v>-322.96650717703352</v>
      </c>
      <c r="N33" s="90"/>
      <c r="O33" s="90"/>
      <c r="P33" s="190"/>
      <c r="Q33" s="109"/>
      <c r="R33" s="123"/>
      <c r="S33" s="35"/>
      <c r="T33" s="90"/>
      <c r="U33" s="90"/>
      <c r="V33" s="190"/>
      <c r="W33" s="109"/>
      <c r="X33" s="123"/>
    </row>
    <row r="34" spans="1:24" s="17" customFormat="1" x14ac:dyDescent="0.25">
      <c r="A34" s="35"/>
      <c r="B34" s="112" t="s">
        <v>205</v>
      </c>
      <c r="C34" s="182">
        <v>1</v>
      </c>
      <c r="D34" s="183">
        <v>0</v>
      </c>
      <c r="E34" s="184">
        <f>SUM(F11:F14)</f>
        <v>11216</v>
      </c>
      <c r="F34" s="185">
        <f t="shared" si="0"/>
        <v>-10733.014354066987</v>
      </c>
      <c r="G34" s="109"/>
      <c r="H34" s="112" t="s">
        <v>205</v>
      </c>
      <c r="I34" s="113">
        <v>1</v>
      </c>
      <c r="J34" s="193">
        <v>0</v>
      </c>
      <c r="K34" s="111">
        <f>SUM(F16:F18)</f>
        <v>1920.6267605633805</v>
      </c>
      <c r="L34" s="114">
        <f t="shared" si="1"/>
        <v>-1837.9203450367279</v>
      </c>
      <c r="N34" s="112"/>
      <c r="O34" s="90"/>
      <c r="P34" s="190"/>
      <c r="Q34" s="109"/>
      <c r="R34" s="123"/>
      <c r="S34" s="35"/>
      <c r="T34" s="112"/>
      <c r="U34" s="90"/>
      <c r="V34" s="190"/>
      <c r="W34" s="109"/>
      <c r="X34" s="123"/>
    </row>
    <row r="35" spans="1:24" s="17" customFormat="1" x14ac:dyDescent="0.25">
      <c r="A35" s="35"/>
      <c r="B35" s="112" t="s">
        <v>206</v>
      </c>
      <c r="C35" s="182">
        <v>2</v>
      </c>
      <c r="D35" s="183">
        <v>0</v>
      </c>
      <c r="E35" s="184">
        <f>432/1.6+112/0.2</f>
        <v>830</v>
      </c>
      <c r="F35" s="185">
        <f t="shared" si="0"/>
        <v>-760.05585952702563</v>
      </c>
      <c r="G35" s="109"/>
      <c r="H35" s="112" t="s">
        <v>206</v>
      </c>
      <c r="I35" s="113">
        <v>2</v>
      </c>
      <c r="J35" s="193">
        <v>0</v>
      </c>
      <c r="K35" s="111">
        <f>432/1.6</f>
        <v>270</v>
      </c>
      <c r="L35" s="114">
        <f t="shared" si="1"/>
        <v>-247.24708683409267</v>
      </c>
      <c r="N35" s="112"/>
      <c r="O35" s="90"/>
      <c r="P35" s="190"/>
      <c r="Q35" s="109"/>
      <c r="R35" s="123"/>
      <c r="S35" s="35"/>
      <c r="T35" s="112"/>
      <c r="U35" s="90"/>
      <c r="V35" s="190"/>
      <c r="W35" s="109"/>
      <c r="X35" s="123"/>
    </row>
    <row r="36" spans="1:24" s="17" customFormat="1" ht="15" customHeight="1" x14ac:dyDescent="0.25">
      <c r="A36" s="35"/>
      <c r="B36" s="112" t="s">
        <v>207</v>
      </c>
      <c r="C36" s="182">
        <v>3</v>
      </c>
      <c r="D36" s="183">
        <v>0</v>
      </c>
      <c r="E36" s="184">
        <f>432/1.6</f>
        <v>270</v>
      </c>
      <c r="F36" s="185">
        <f t="shared" si="0"/>
        <v>-236.60008309482552</v>
      </c>
      <c r="G36" s="109"/>
      <c r="H36" s="112" t="s">
        <v>207</v>
      </c>
      <c r="I36" s="113">
        <v>3</v>
      </c>
      <c r="J36" s="193">
        <v>0</v>
      </c>
      <c r="K36" s="111">
        <f>432/1.6</f>
        <v>270</v>
      </c>
      <c r="L36" s="114">
        <f t="shared" si="1"/>
        <v>-236.60008309482552</v>
      </c>
      <c r="N36" s="112"/>
      <c r="O36" s="90"/>
      <c r="P36" s="190"/>
      <c r="Q36" s="109"/>
      <c r="R36" s="123"/>
      <c r="S36" s="35"/>
      <c r="T36" s="112"/>
      <c r="U36" s="90"/>
      <c r="V36" s="190"/>
      <c r="W36" s="109"/>
      <c r="X36" s="123"/>
    </row>
    <row r="37" spans="1:24" s="17" customFormat="1" x14ac:dyDescent="0.25">
      <c r="A37" s="35"/>
      <c r="B37" s="112" t="s">
        <v>208</v>
      </c>
      <c r="C37" s="182">
        <v>4</v>
      </c>
      <c r="D37" s="186">
        <v>0</v>
      </c>
      <c r="E37" s="184">
        <f>432/1.6</f>
        <v>270</v>
      </c>
      <c r="F37" s="185">
        <f t="shared" si="0"/>
        <v>-226.41156277016802</v>
      </c>
      <c r="G37" s="109"/>
      <c r="H37" s="112" t="s">
        <v>208</v>
      </c>
      <c r="I37" s="113">
        <v>4</v>
      </c>
      <c r="J37" s="194">
        <v>0</v>
      </c>
      <c r="K37" s="111">
        <f>432/1.6</f>
        <v>270</v>
      </c>
      <c r="L37" s="114">
        <f t="shared" si="1"/>
        <v>-226.41156277016802</v>
      </c>
      <c r="N37" s="112"/>
      <c r="O37" s="90"/>
      <c r="P37" s="191"/>
      <c r="Q37" s="109"/>
      <c r="R37" s="123"/>
      <c r="S37" s="35"/>
      <c r="T37" s="112"/>
      <c r="U37" s="90"/>
      <c r="V37" s="191"/>
      <c r="W37" s="109"/>
      <c r="X37" s="123"/>
    </row>
    <row r="38" spans="1:24" s="17" customFormat="1" x14ac:dyDescent="0.25">
      <c r="A38" s="35"/>
      <c r="B38" s="112" t="s">
        <v>368</v>
      </c>
      <c r="C38" s="182">
        <v>5</v>
      </c>
      <c r="D38" s="186">
        <v>0</v>
      </c>
      <c r="E38" s="184">
        <f>320/0.2</f>
        <v>1600</v>
      </c>
      <c r="F38" s="185">
        <f t="shared" si="0"/>
        <v>-1283.9216744010946</v>
      </c>
      <c r="G38" s="109"/>
      <c r="H38" s="112" t="s">
        <v>369</v>
      </c>
      <c r="I38" s="113">
        <v>5</v>
      </c>
      <c r="J38" s="194">
        <v>0</v>
      </c>
      <c r="K38" s="111">
        <f>401/1.42</f>
        <v>282.3943661971831</v>
      </c>
      <c r="L38" s="114">
        <f t="shared" si="1"/>
        <v>-226.60765468082698</v>
      </c>
      <c r="N38" s="112"/>
      <c r="O38" s="90"/>
      <c r="P38" s="191"/>
      <c r="Q38" s="109"/>
      <c r="R38" s="123"/>
      <c r="S38" s="35"/>
      <c r="T38" s="112"/>
      <c r="U38" s="90"/>
      <c r="V38" s="191"/>
      <c r="W38" s="109"/>
      <c r="X38" s="123"/>
    </row>
    <row r="39" spans="1:24" s="17" customFormat="1" x14ac:dyDescent="0.25">
      <c r="A39" s="35"/>
      <c r="B39" s="112" t="s">
        <v>209</v>
      </c>
      <c r="C39" s="187">
        <v>36</v>
      </c>
      <c r="D39" s="186">
        <v>0</v>
      </c>
      <c r="E39" s="184">
        <v>150</v>
      </c>
      <c r="F39" s="185">
        <f t="shared" si="0"/>
        <v>-30.754226104204811</v>
      </c>
      <c r="G39" s="109"/>
      <c r="H39" s="112" t="s">
        <v>370</v>
      </c>
      <c r="I39" s="50">
        <v>8</v>
      </c>
      <c r="J39" s="194">
        <v>0</v>
      </c>
      <c r="K39" s="111">
        <f>780.5/1.42</f>
        <v>549.64788732394368</v>
      </c>
      <c r="L39" s="114">
        <f t="shared" si="1"/>
        <v>-386.50421943605181</v>
      </c>
      <c r="N39" s="112"/>
      <c r="O39" s="109"/>
      <c r="P39" s="191"/>
      <c r="Q39" s="109"/>
      <c r="R39" s="123"/>
      <c r="S39" s="35"/>
      <c r="T39" s="112"/>
      <c r="U39" s="109"/>
      <c r="V39" s="191"/>
      <c r="W39" s="109"/>
      <c r="X39" s="123"/>
    </row>
    <row r="40" spans="1:24" s="17" customFormat="1" x14ac:dyDescent="0.25">
      <c r="A40" s="35"/>
      <c r="B40" s="112" t="s">
        <v>2</v>
      </c>
      <c r="C40" s="187">
        <v>44</v>
      </c>
      <c r="D40" s="186">
        <v>0</v>
      </c>
      <c r="E40" s="184">
        <v>150</v>
      </c>
      <c r="F40" s="185">
        <f t="shared" si="0"/>
        <v>-21.625914387914221</v>
      </c>
      <c r="G40" s="109"/>
      <c r="H40" s="112" t="s">
        <v>103</v>
      </c>
      <c r="I40" s="50">
        <v>23</v>
      </c>
      <c r="J40" s="193">
        <f>'Inputs - Tables de production'!AN7*41</f>
        <v>9120.0908185687367</v>
      </c>
      <c r="K40" s="111">
        <v>150</v>
      </c>
      <c r="L40" s="114">
        <f>(J40-K40)/((1+$D$28)^I40)</f>
        <v>3259.2836635785852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ht="16.5" x14ac:dyDescent="0.3">
      <c r="A41" s="35"/>
      <c r="B41" s="112" t="s">
        <v>3</v>
      </c>
      <c r="C41" s="187">
        <v>52</v>
      </c>
      <c r="D41" s="186">
        <v>580</v>
      </c>
      <c r="E41" s="184">
        <v>150</v>
      </c>
      <c r="F41" s="185">
        <f t="shared" si="0"/>
        <v>43.593461216758257</v>
      </c>
      <c r="G41"/>
      <c r="H41" s="112"/>
      <c r="I41" s="115"/>
      <c r="J41" s="192"/>
      <c r="K41" s="109"/>
      <c r="L41" s="123">
        <f>SUM(L33:L40)</f>
        <v>-224.97379545114154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25">
      <c r="A42" s="35"/>
      <c r="B42" s="112" t="s">
        <v>91</v>
      </c>
      <c r="C42" s="187">
        <v>60</v>
      </c>
      <c r="D42" s="186">
        <v>1200</v>
      </c>
      <c r="E42" s="184">
        <v>150</v>
      </c>
      <c r="F42" s="185">
        <f t="shared" si="0"/>
        <v>74.853458694776847</v>
      </c>
      <c r="G42" s="109"/>
      <c r="H42" s="112"/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ht="16.5" x14ac:dyDescent="0.3">
      <c r="A43" s="35"/>
      <c r="B43" s="112" t="s">
        <v>92</v>
      </c>
      <c r="C43" s="187">
        <v>68</v>
      </c>
      <c r="D43" s="186">
        <v>1240</v>
      </c>
      <c r="E43" s="184">
        <v>150</v>
      </c>
      <c r="F43" s="185">
        <f t="shared" si="0"/>
        <v>54.641013669919857</v>
      </c>
      <c r="G43" s="109"/>
      <c r="H43" s="112"/>
      <c r="I43" s="115"/>
      <c r="J43" s="192"/>
      <c r="K43" s="109"/>
      <c r="L43" s="123"/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ht="16.5" x14ac:dyDescent="0.3">
      <c r="A44" s="35"/>
      <c r="B44" s="112" t="s">
        <v>93</v>
      </c>
      <c r="C44" s="187">
        <v>78</v>
      </c>
      <c r="D44" s="186">
        <v>1920</v>
      </c>
      <c r="E44" s="184">
        <v>150</v>
      </c>
      <c r="F44" s="185">
        <f t="shared" si="0"/>
        <v>57.135049962340204</v>
      </c>
      <c r="G44" s="109"/>
      <c r="H44" s="112"/>
      <c r="I44" s="115"/>
      <c r="J44" s="192"/>
      <c r="K44" s="109"/>
      <c r="L44" s="123"/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ht="16.5" x14ac:dyDescent="0.3">
      <c r="A45" s="35"/>
      <c r="B45" s="112" t="s">
        <v>94</v>
      </c>
      <c r="C45" s="187">
        <v>88</v>
      </c>
      <c r="D45" s="186">
        <v>4200</v>
      </c>
      <c r="E45" s="184">
        <v>150</v>
      </c>
      <c r="F45" s="185">
        <f t="shared" si="0"/>
        <v>84.18243116041117</v>
      </c>
      <c r="G45" s="109"/>
      <c r="H45" s="112"/>
      <c r="I45" s="115"/>
      <c r="J45" s="192"/>
      <c r="K45" s="109"/>
      <c r="L45" s="123"/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ht="16.5" x14ac:dyDescent="0.3">
      <c r="A46" s="35"/>
      <c r="B46" s="112" t="s">
        <v>95</v>
      </c>
      <c r="C46" s="187">
        <v>98</v>
      </c>
      <c r="D46" s="186">
        <v>4080</v>
      </c>
      <c r="E46" s="184">
        <v>150</v>
      </c>
      <c r="F46" s="185">
        <f t="shared" si="0"/>
        <v>52.601252645820907</v>
      </c>
      <c r="G46" s="109"/>
      <c r="H46" s="112"/>
      <c r="I46" s="115"/>
      <c r="J46" s="192"/>
      <c r="K46" s="109"/>
      <c r="L46" s="123"/>
      <c r="N46" s="112"/>
      <c r="O46" s="109"/>
      <c r="P46" s="191"/>
      <c r="Q46" s="109"/>
      <c r="R46" s="123"/>
      <c r="S46" s="35"/>
      <c r="T46" s="112"/>
      <c r="U46" s="109"/>
      <c r="V46" s="191"/>
      <c r="W46" s="109"/>
      <c r="X46" s="123"/>
    </row>
    <row r="47" spans="1:24" s="17" customFormat="1" ht="16.5" x14ac:dyDescent="0.3">
      <c r="A47" s="115"/>
      <c r="B47" s="112" t="s">
        <v>96</v>
      </c>
      <c r="C47" s="187">
        <v>108</v>
      </c>
      <c r="D47" s="186">
        <v>4680</v>
      </c>
      <c r="E47" s="184">
        <v>150</v>
      </c>
      <c r="F47" s="185">
        <f t="shared" si="0"/>
        <v>39.042609205367327</v>
      </c>
      <c r="G47" s="109"/>
      <c r="H47" s="112"/>
      <c r="I47" s="115"/>
      <c r="J47" s="192"/>
      <c r="K47" s="109"/>
      <c r="L47" s="123"/>
      <c r="N47" s="112"/>
      <c r="O47" s="109"/>
      <c r="P47" s="191"/>
      <c r="Q47" s="109"/>
      <c r="R47" s="123"/>
      <c r="S47" s="35"/>
      <c r="T47" s="112"/>
      <c r="U47" s="109"/>
      <c r="V47" s="191"/>
      <c r="W47" s="109"/>
      <c r="X47" s="123"/>
    </row>
    <row r="48" spans="1:24" s="17" customFormat="1" ht="16.5" x14ac:dyDescent="0.3">
      <c r="A48" s="115"/>
      <c r="B48" s="112" t="s">
        <v>97</v>
      </c>
      <c r="C48" s="187">
        <v>118</v>
      </c>
      <c r="D48" s="186">
        <v>4800</v>
      </c>
      <c r="E48" s="184">
        <v>150</v>
      </c>
      <c r="F48" s="185">
        <f t="shared" si="0"/>
        <v>25.806593451209523</v>
      </c>
      <c r="G48" s="109"/>
      <c r="H48" s="112"/>
      <c r="I48" s="115"/>
      <c r="J48" s="192"/>
      <c r="K48" s="109"/>
      <c r="L48" s="123"/>
      <c r="N48" s="112"/>
      <c r="O48" s="109"/>
      <c r="P48" s="191"/>
      <c r="Q48" s="109"/>
      <c r="R48" s="123"/>
      <c r="S48" s="35"/>
      <c r="T48" s="112"/>
      <c r="U48" s="109"/>
      <c r="V48" s="191"/>
      <c r="W48" s="109"/>
      <c r="X48" s="123"/>
    </row>
    <row r="49" spans="1:24" s="17" customFormat="1" ht="16.5" x14ac:dyDescent="0.3">
      <c r="A49" s="116"/>
      <c r="B49" s="112" t="s">
        <v>98</v>
      </c>
      <c r="C49" s="187">
        <v>128</v>
      </c>
      <c r="D49" s="188">
        <v>4680</v>
      </c>
      <c r="E49" s="184">
        <v>150</v>
      </c>
      <c r="F49" s="185">
        <f t="shared" si="0"/>
        <v>16.188739130461197</v>
      </c>
      <c r="G49" s="35"/>
      <c r="H49" s="112"/>
      <c r="I49" s="116"/>
      <c r="J49" s="116"/>
      <c r="K49" s="116"/>
      <c r="L49" s="116"/>
      <c r="N49" s="112"/>
      <c r="O49" s="35"/>
      <c r="P49" s="190"/>
      <c r="Q49" s="109"/>
      <c r="R49" s="123"/>
      <c r="S49" s="35"/>
      <c r="T49" s="112"/>
      <c r="U49" s="35"/>
      <c r="V49" s="190"/>
      <c r="W49" s="109"/>
      <c r="X49" s="123"/>
    </row>
    <row r="50" spans="1:24" s="17" customFormat="1" ht="16.5" x14ac:dyDescent="0.3">
      <c r="A50" s="116"/>
      <c r="B50" s="112" t="s">
        <v>99</v>
      </c>
      <c r="C50" s="187">
        <v>138</v>
      </c>
      <c r="D50" s="188">
        <v>4680</v>
      </c>
      <c r="E50" s="184">
        <v>150</v>
      </c>
      <c r="F50" s="185">
        <f t="shared" si="0"/>
        <v>10.424377263266937</v>
      </c>
      <c r="G50" s="35"/>
      <c r="N50" s="112"/>
      <c r="O50" s="35"/>
      <c r="P50" s="190"/>
      <c r="Q50" s="109"/>
      <c r="R50" s="123"/>
      <c r="S50" s="35"/>
      <c r="T50" s="112"/>
      <c r="U50" s="35"/>
      <c r="V50" s="190"/>
      <c r="W50" s="109"/>
      <c r="X50" s="123"/>
    </row>
    <row r="51" spans="1:24" s="17" customFormat="1" ht="16.5" x14ac:dyDescent="0.3">
      <c r="B51" s="112" t="s">
        <v>100</v>
      </c>
      <c r="C51" s="187">
        <v>148</v>
      </c>
      <c r="D51" s="189">
        <v>6560</v>
      </c>
      <c r="E51" s="184">
        <v>150</v>
      </c>
      <c r="F51" s="185">
        <f t="shared" si="0"/>
        <v>9.4983253890567934</v>
      </c>
      <c r="G51" s="115"/>
      <c r="N51" s="112"/>
      <c r="O51" s="115"/>
      <c r="P51" s="192"/>
      <c r="Q51" s="109"/>
      <c r="R51" s="123"/>
      <c r="S51" s="35"/>
      <c r="T51" s="112"/>
      <c r="U51" s="115"/>
      <c r="V51" s="192"/>
      <c r="W51" s="109"/>
      <c r="X51" s="123"/>
    </row>
    <row r="52" spans="1:24" s="17" customFormat="1" ht="16.5" x14ac:dyDescent="0.3">
      <c r="A52" s="115"/>
      <c r="B52" s="112" t="s">
        <v>101</v>
      </c>
      <c r="C52" s="187">
        <v>158</v>
      </c>
      <c r="D52" s="189">
        <v>6560</v>
      </c>
      <c r="E52" s="184">
        <v>150</v>
      </c>
      <c r="F52" s="185">
        <f t="shared" si="0"/>
        <v>6.1162346509424506</v>
      </c>
      <c r="G52" s="115"/>
      <c r="H52" s="112"/>
      <c r="I52" s="115"/>
      <c r="J52" s="192"/>
      <c r="K52" s="109"/>
      <c r="L52" s="123"/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ht="16.5" x14ac:dyDescent="0.3">
      <c r="A53" s="116"/>
      <c r="B53" s="112" t="s">
        <v>102</v>
      </c>
      <c r="C53" s="187">
        <v>168</v>
      </c>
      <c r="D53" s="189">
        <v>6560</v>
      </c>
      <c r="E53" s="184">
        <v>150</v>
      </c>
      <c r="F53" s="185">
        <f t="shared" si="0"/>
        <v>3.9384128015332034</v>
      </c>
      <c r="G53" s="116"/>
      <c r="H53" s="112"/>
      <c r="I53" s="115"/>
      <c r="J53" s="192"/>
      <c r="K53" s="109"/>
      <c r="L53" s="123"/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ht="16.5" x14ac:dyDescent="0.3">
      <c r="A54" s="116"/>
      <c r="B54" s="112" t="s">
        <v>103</v>
      </c>
      <c r="C54" s="187">
        <v>180</v>
      </c>
      <c r="D54" s="189">
        <v>58880</v>
      </c>
      <c r="E54" s="184">
        <v>150</v>
      </c>
      <c r="F54" s="185">
        <f t="shared" si="0"/>
        <v>21.277848892756303</v>
      </c>
      <c r="G54" s="116"/>
      <c r="H54" s="112"/>
      <c r="I54" s="115"/>
      <c r="J54" s="192"/>
      <c r="K54" s="109"/>
      <c r="L54" s="123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ht="16.5" x14ac:dyDescent="0.3">
      <c r="B55" s="177"/>
      <c r="C55" s="178"/>
      <c r="D55" s="179"/>
      <c r="E55" s="180"/>
      <c r="F55" s="181">
        <f>SUM(F33:F54)</f>
        <v>-13116.050373394632</v>
      </c>
      <c r="H55" s="112"/>
      <c r="I55" s="115"/>
      <c r="J55" s="192"/>
      <c r="K55" s="109"/>
      <c r="L55" s="123"/>
      <c r="N55" s="112"/>
      <c r="O55" s="115"/>
      <c r="P55" s="192"/>
      <c r="Q55" s="109"/>
      <c r="R55" s="123"/>
      <c r="S55" s="35"/>
      <c r="T55" s="112"/>
      <c r="U55" s="115"/>
      <c r="V55" s="192"/>
      <c r="W55" s="109"/>
      <c r="X55" s="123"/>
    </row>
    <row r="56" spans="1:24" s="17" customFormat="1" ht="16.5" x14ac:dyDescent="0.3">
      <c r="B56" s="177"/>
      <c r="C56" s="178"/>
      <c r="D56" s="179"/>
      <c r="E56" s="180"/>
      <c r="F56" s="181"/>
      <c r="G56" s="115"/>
      <c r="H56" s="112"/>
      <c r="I56" s="115"/>
      <c r="J56" s="192"/>
      <c r="K56" s="109"/>
      <c r="L56" s="123"/>
      <c r="N56" s="112"/>
      <c r="O56" s="115"/>
      <c r="P56" s="192"/>
      <c r="Q56" s="109"/>
      <c r="R56" s="123"/>
      <c r="S56" s="35"/>
      <c r="T56" s="112"/>
      <c r="U56" s="115"/>
      <c r="V56" s="192"/>
      <c r="W56" s="109"/>
      <c r="X56" s="123"/>
    </row>
    <row r="57" spans="1:24" s="17" customFormat="1" ht="16.5" x14ac:dyDescent="0.3">
      <c r="A57" s="153"/>
      <c r="B57" s="177"/>
      <c r="C57" s="178"/>
      <c r="D57" s="179"/>
      <c r="E57" s="180"/>
      <c r="F57" s="181"/>
      <c r="G57" s="116"/>
      <c r="H57" s="112"/>
      <c r="I57" s="115"/>
      <c r="J57" s="192"/>
      <c r="K57" s="109"/>
      <c r="L57" s="123"/>
      <c r="N57" s="112"/>
      <c r="O57" s="115"/>
      <c r="P57" s="192"/>
      <c r="Q57" s="109"/>
      <c r="R57" s="123"/>
      <c r="S57" s="35"/>
      <c r="T57" s="112"/>
      <c r="U57" s="115"/>
      <c r="V57" s="192"/>
      <c r="W57" s="109"/>
      <c r="X57" s="123"/>
    </row>
    <row r="58" spans="1:24" s="17" customFormat="1" ht="16.5" x14ac:dyDescent="0.3">
      <c r="C58" s="381" t="s">
        <v>299</v>
      </c>
      <c r="D58" s="382">
        <f>C30*F55+I30*L41</f>
        <v>-2942.6728642195476</v>
      </c>
      <c r="E58" s="116"/>
      <c r="F58" s="176"/>
      <c r="G58" s="116"/>
      <c r="H58" s="112"/>
      <c r="I58" s="116"/>
      <c r="J58" s="116"/>
      <c r="K58" s="116"/>
      <c r="L58" s="116"/>
      <c r="N58" s="112"/>
      <c r="O58" s="116"/>
      <c r="P58" s="116"/>
      <c r="Q58" s="116"/>
      <c r="R58" s="116"/>
      <c r="S58" s="35"/>
      <c r="T58" s="112"/>
      <c r="U58" s="116"/>
      <c r="V58" s="116"/>
      <c r="W58" s="116"/>
      <c r="X58" s="116"/>
    </row>
    <row r="59" spans="1:24" s="17" customFormat="1" ht="16.5" x14ac:dyDescent="0.3">
      <c r="B59" s="116"/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s="17" customFormat="1" x14ac:dyDescent="0.25"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25"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25"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25"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25"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7:24" s="17" customFormat="1" x14ac:dyDescent="0.25"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7:24" s="17" customFormat="1" x14ac:dyDescent="0.25"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7:24" s="17" customFormat="1" x14ac:dyDescent="0.25"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7:24" s="17" customFormat="1" x14ac:dyDescent="0.25"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7:24" s="17" customFormat="1" x14ac:dyDescent="0.25"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7:24" s="17" customFormat="1" x14ac:dyDescent="0.25"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7:24" s="17" customFormat="1" x14ac:dyDescent="0.25"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7:24" s="17" customFormat="1" x14ac:dyDescent="0.25"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7:24" s="17" customFormat="1" x14ac:dyDescent="0.25"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7:24" s="17" customFormat="1" x14ac:dyDescent="0.25">
      <c r="G74" s="317"/>
      <c r="H74" s="317"/>
      <c r="I74" s="317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7:24" s="17" customFormat="1" x14ac:dyDescent="0.25"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7:24" s="17" customFormat="1" x14ac:dyDescent="0.25"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7:24" s="17" customFormat="1" x14ac:dyDescent="0.25"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7:24" s="17" customFormat="1" x14ac:dyDescent="0.25"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7:24" s="17" customFormat="1" x14ac:dyDescent="0.25"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7:24" s="17" customFormat="1" x14ac:dyDescent="0.25"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3:24" s="17" customFormat="1" x14ac:dyDescent="0.25"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3:24" s="17" customFormat="1" x14ac:dyDescent="0.25"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3:24" s="17" customFormat="1" x14ac:dyDescent="0.25"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3:24" s="17" customFormat="1" x14ac:dyDescent="0.25"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3:24" s="17" customFormat="1" x14ac:dyDescent="0.2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3:24" s="17" customFormat="1" x14ac:dyDescent="0.2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3:24" s="17" customFormat="1" x14ac:dyDescent="0.2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3:24" s="17" customFormat="1" x14ac:dyDescent="0.2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3:24" s="17" customFormat="1" x14ac:dyDescent="0.25">
      <c r="C89" s="61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3:24" s="17" customFormat="1" x14ac:dyDescent="0.2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3:24" s="17" customFormat="1" x14ac:dyDescent="0.25"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3:24" s="17" customFormat="1" x14ac:dyDescent="0.2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3:24" s="17" customFormat="1" x14ac:dyDescent="0.2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3:24" s="17" customFormat="1" x14ac:dyDescent="0.25">
      <c r="C94" s="62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3:24" s="17" customFormat="1" x14ac:dyDescent="0.2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3:24" s="17" customFormat="1" x14ac:dyDescent="0.25"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25">
      <c r="C97" s="62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25">
      <c r="B98" s="63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25"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2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2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2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2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2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2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2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2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2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2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2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2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2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2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2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2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2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2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2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2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2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2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2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7" customFormat="1" x14ac:dyDescent="0.25">
      <c r="O123" s="35"/>
      <c r="P123" s="35"/>
      <c r="Q123" s="35"/>
      <c r="R123" s="35"/>
      <c r="S123" s="35"/>
      <c r="T123" s="35"/>
      <c r="U123" s="35"/>
      <c r="V123" s="35"/>
      <c r="W123" s="35"/>
      <c r="X123" s="35"/>
    </row>
    <row r="124" spans="1:24" s="17" customFormat="1" x14ac:dyDescent="0.25"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s="17" customFormat="1" x14ac:dyDescent="0.25"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s="17" customFormat="1" x14ac:dyDescent="0.25"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x14ac:dyDescent="0.2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24" x14ac:dyDescent="0.2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2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2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2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2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2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2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2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2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2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2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2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2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2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2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2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2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2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2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25">
      <c r="B147" s="17"/>
    </row>
  </sheetData>
  <mergeCells count="28">
    <mergeCell ref="A1:I1"/>
    <mergeCell ref="A8:I8"/>
    <mergeCell ref="A10:B10"/>
    <mergeCell ref="C10:D10"/>
    <mergeCell ref="A11:B14"/>
    <mergeCell ref="C11:D11"/>
    <mergeCell ref="E11:E14"/>
    <mergeCell ref="G11:G15"/>
    <mergeCell ref="C12:D12"/>
    <mergeCell ref="C13:D13"/>
    <mergeCell ref="C14:D14"/>
    <mergeCell ref="C15:E15"/>
    <mergeCell ref="A16:B18"/>
    <mergeCell ref="C16:D16"/>
    <mergeCell ref="E16:E18"/>
    <mergeCell ref="G74:I74"/>
    <mergeCell ref="A20:G20"/>
    <mergeCell ref="H20:I20"/>
    <mergeCell ref="A21:G21"/>
    <mergeCell ref="H21:I21"/>
    <mergeCell ref="A22:G22"/>
    <mergeCell ref="A26:I26"/>
    <mergeCell ref="G16:G19"/>
    <mergeCell ref="C17:D17"/>
    <mergeCell ref="C18:D18"/>
    <mergeCell ref="C19:E19"/>
    <mergeCell ref="A23:G23"/>
    <mergeCell ref="A24:G24"/>
  </mergeCells>
  <pageMargins left="0.7" right="0.7" top="0.75" bottom="0.75" header="0.3" footer="0.3"/>
  <pageSetup paperSize="9" scale="4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6"/>
  <sheetViews>
    <sheetView workbookViewId="0">
      <selection activeCell="Q35" sqref="Q35"/>
    </sheetView>
  </sheetViews>
  <sheetFormatPr baseColWidth="10" defaultRowHeight="15" x14ac:dyDescent="0.25"/>
  <cols>
    <col min="2" max="2" width="13.5703125" bestFit="1" customWidth="1"/>
  </cols>
  <sheetData>
    <row r="1" spans="1:4" x14ac:dyDescent="0.25">
      <c r="A1" s="15"/>
      <c r="B1" s="15" t="s">
        <v>352</v>
      </c>
      <c r="C1" s="15" t="s">
        <v>258</v>
      </c>
      <c r="D1" s="50" t="s">
        <v>371</v>
      </c>
    </row>
    <row r="2" spans="1:4" x14ac:dyDescent="0.25">
      <c r="A2" s="15">
        <v>1</v>
      </c>
      <c r="B2" s="128" t="s">
        <v>287</v>
      </c>
      <c r="C2" s="15">
        <f>Répartition!C38</f>
        <v>5.6</v>
      </c>
      <c r="D2" s="16">
        <f>'1. VAN DE LA RIVIERE'!C59</f>
        <v>-22369.171883154399</v>
      </c>
    </row>
    <row r="3" spans="1:4" x14ac:dyDescent="0.25">
      <c r="A3" s="15">
        <v>2</v>
      </c>
      <c r="B3" s="128" t="s">
        <v>300</v>
      </c>
      <c r="C3" s="15">
        <f>Répartition!C39</f>
        <v>9.2645999999999997</v>
      </c>
      <c r="D3" s="16">
        <f>'2. VAN DE LANGLE'!J59</f>
        <v>-33042.322618701408</v>
      </c>
    </row>
    <row r="4" spans="1:4" x14ac:dyDescent="0.25">
      <c r="A4" s="15">
        <v>3</v>
      </c>
      <c r="B4" s="128" t="s">
        <v>325</v>
      </c>
      <c r="C4" s="15">
        <f>Répartition!C40</f>
        <v>9.1</v>
      </c>
      <c r="D4" s="16">
        <f>'3. VAN LETOURNEUX'!D77</f>
        <v>-65805.195515138592</v>
      </c>
    </row>
    <row r="5" spans="1:4" x14ac:dyDescent="0.25">
      <c r="A5" s="15">
        <v>4</v>
      </c>
      <c r="B5" s="128" t="s">
        <v>334</v>
      </c>
      <c r="C5" s="15">
        <f>Répartition!C41</f>
        <v>1.62</v>
      </c>
      <c r="D5" s="16">
        <f>'4. VAN CONUAU'!D58</f>
        <v>-2942.6728642195476</v>
      </c>
    </row>
    <row r="6" spans="1:4" x14ac:dyDescent="0.25">
      <c r="A6" s="386" t="s">
        <v>295</v>
      </c>
      <c r="B6" s="386"/>
      <c r="C6" s="386">
        <f>SUM(C2:C5)</f>
        <v>25.584599999999998</v>
      </c>
      <c r="D6" s="15">
        <f>SUM(D2:D5)</f>
        <v>-124159.36288121395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5"/>
  </sheetPr>
  <dimension ref="A1:X143"/>
  <sheetViews>
    <sheetView showGridLines="0" view="pageBreakPreview" zoomScale="60" zoomScaleNormal="100" workbookViewId="0">
      <selection activeCell="R16" sqref="R16"/>
    </sheetView>
  </sheetViews>
  <sheetFormatPr baseColWidth="10" defaultRowHeight="15" x14ac:dyDescent="0.25"/>
  <cols>
    <col min="1" max="1" width="46" customWidth="1"/>
    <col min="2" max="2" width="36.85546875" customWidth="1"/>
    <col min="3" max="3" width="16.140625" customWidth="1"/>
    <col min="4" max="4" width="15.7109375" customWidth="1"/>
    <col min="9" max="9" width="27.85546875" bestFit="1" customWidth="1"/>
    <col min="10" max="10" width="13.5703125" bestFit="1" customWidth="1"/>
    <col min="11" max="11" width="14.140625" bestFit="1" customWidth="1"/>
    <col min="12" max="12" width="15" bestFit="1" customWidth="1"/>
    <col min="13" max="15" width="13.28515625" bestFit="1" customWidth="1"/>
    <col min="16" max="16" width="6.28515625" bestFit="1" customWidth="1"/>
  </cols>
  <sheetData>
    <row r="1" spans="1:23" x14ac:dyDescent="0.25">
      <c r="A1" s="36" t="s">
        <v>52</v>
      </c>
      <c r="B1" s="36">
        <v>1</v>
      </c>
      <c r="C1" s="37">
        <v>2</v>
      </c>
      <c r="D1" s="37">
        <v>3</v>
      </c>
      <c r="E1" s="38">
        <v>4</v>
      </c>
      <c r="F1" s="37">
        <v>5</v>
      </c>
      <c r="G1" s="38">
        <v>6</v>
      </c>
      <c r="I1" s="36" t="s">
        <v>169</v>
      </c>
      <c r="J1" s="36">
        <v>1</v>
      </c>
      <c r="K1" s="37">
        <v>2</v>
      </c>
      <c r="L1" s="37">
        <v>3</v>
      </c>
      <c r="M1" s="38">
        <v>4</v>
      </c>
      <c r="N1" s="37">
        <v>5</v>
      </c>
      <c r="O1" s="38">
        <v>6</v>
      </c>
      <c r="Q1" s="36" t="s">
        <v>170</v>
      </c>
      <c r="R1" s="36">
        <v>1</v>
      </c>
      <c r="S1" s="37">
        <v>2</v>
      </c>
      <c r="T1" s="37">
        <v>3</v>
      </c>
      <c r="U1" s="38">
        <v>4</v>
      </c>
      <c r="V1" s="37">
        <v>5</v>
      </c>
      <c r="W1" s="38">
        <v>6</v>
      </c>
    </row>
    <row r="2" spans="1:23" x14ac:dyDescent="0.25">
      <c r="A2" s="40" t="s">
        <v>135</v>
      </c>
      <c r="B2" s="262">
        <f>'Inputs - Tables de production'!U20</f>
        <v>0.14017253515122555</v>
      </c>
      <c r="C2" s="262">
        <f>'Inputs - Tables de production'!U27</f>
        <v>7.5886499080970324E-2</v>
      </c>
      <c r="D2" s="262">
        <f>'Inputs - Tables de production'!U34</f>
        <v>4.240224011798132E-2</v>
      </c>
      <c r="E2" s="72"/>
      <c r="F2" s="72"/>
      <c r="G2" s="72"/>
      <c r="I2" s="40" t="s">
        <v>135</v>
      </c>
      <c r="J2" s="89">
        <v>0</v>
      </c>
      <c r="K2" s="89">
        <v>0</v>
      </c>
      <c r="L2" s="89">
        <v>0</v>
      </c>
      <c r="M2" s="72"/>
      <c r="N2" s="72"/>
      <c r="O2" s="72"/>
      <c r="Q2" s="40" t="s">
        <v>135</v>
      </c>
      <c r="R2" s="89">
        <v>0</v>
      </c>
      <c r="S2" s="89">
        <v>0</v>
      </c>
      <c r="T2" s="89">
        <v>0</v>
      </c>
      <c r="U2" s="72"/>
      <c r="V2" s="72"/>
      <c r="W2" s="72"/>
    </row>
    <row r="3" spans="1:23" x14ac:dyDescent="0.25">
      <c r="A3" s="39" t="s">
        <v>75</v>
      </c>
      <c r="B3" s="71">
        <f>'Inputs - Tables de production'!B4</f>
        <v>493</v>
      </c>
      <c r="C3" s="71">
        <f>'Inputs - Tables de production'!B5</f>
        <v>436</v>
      </c>
      <c r="D3" s="71">
        <f>'Inputs - Tables de production'!B6</f>
        <v>366</v>
      </c>
      <c r="E3" s="71"/>
      <c r="F3" s="71"/>
      <c r="G3" s="71"/>
      <c r="I3" s="39" t="s">
        <v>75</v>
      </c>
      <c r="J3" s="71">
        <f>'Inputs - Tables de production'!D4</f>
        <v>124</v>
      </c>
      <c r="K3" s="71">
        <f>'Inputs - Tables de production'!D5</f>
        <v>69</v>
      </c>
      <c r="L3" s="71">
        <f>'Inputs - Tables de production'!D6</f>
        <v>25</v>
      </c>
      <c r="M3" s="71"/>
      <c r="N3" s="71"/>
      <c r="O3" s="71"/>
      <c r="Q3" s="39" t="s">
        <v>75</v>
      </c>
      <c r="R3" s="71">
        <v>0</v>
      </c>
      <c r="S3" s="71">
        <v>0</v>
      </c>
      <c r="T3" s="71">
        <v>0</v>
      </c>
      <c r="U3" s="71"/>
      <c r="V3" s="71"/>
      <c r="W3" s="71"/>
    </row>
    <row r="4" spans="1:23" x14ac:dyDescent="0.25">
      <c r="A4" s="39" t="s">
        <v>5</v>
      </c>
      <c r="B4" s="71">
        <f>'Inputs - Tables de production'!AD4</f>
        <v>1251.7283502523328</v>
      </c>
      <c r="C4" s="71">
        <f>'Inputs - Tables de production'!AD5</f>
        <v>864.56569482800774</v>
      </c>
      <c r="D4" s="71">
        <f>'Inputs - Tables de production'!AD6</f>
        <v>571.00466654426452</v>
      </c>
      <c r="E4" s="71">
        <f>'Inputs - Tables de production'!AD7</f>
        <v>350.6411321147188</v>
      </c>
      <c r="F4" s="71">
        <f>'Inputs - Tables de production'!AD8</f>
        <v>195.81855094359599</v>
      </c>
      <c r="G4" s="71"/>
      <c r="I4" s="39" t="s">
        <v>5</v>
      </c>
      <c r="J4" s="71">
        <v>0</v>
      </c>
      <c r="K4" s="71">
        <v>0</v>
      </c>
      <c r="L4" s="71">
        <v>0</v>
      </c>
      <c r="M4" s="71">
        <v>0</v>
      </c>
      <c r="N4" s="71">
        <v>0</v>
      </c>
      <c r="O4" s="71"/>
      <c r="Q4" s="39" t="s">
        <v>5</v>
      </c>
      <c r="R4" s="71">
        <v>0</v>
      </c>
      <c r="S4" s="71">
        <v>0</v>
      </c>
      <c r="T4" s="71">
        <v>0</v>
      </c>
      <c r="U4" s="71">
        <v>0</v>
      </c>
      <c r="V4" s="71">
        <v>0</v>
      </c>
      <c r="W4" s="71"/>
    </row>
    <row r="5" spans="1:23" x14ac:dyDescent="0.25">
      <c r="A5" s="39" t="s">
        <v>187</v>
      </c>
      <c r="B5" s="71">
        <f>B4</f>
        <v>1251.7283502523328</v>
      </c>
      <c r="C5" s="71">
        <f t="shared" ref="C5:F5" si="0">C4</f>
        <v>864.56569482800774</v>
      </c>
      <c r="D5" s="71">
        <f t="shared" si="0"/>
        <v>571.00466654426452</v>
      </c>
      <c r="E5" s="71">
        <f t="shared" si="0"/>
        <v>350.6411321147188</v>
      </c>
      <c r="F5" s="71">
        <f t="shared" si="0"/>
        <v>195.81855094359599</v>
      </c>
      <c r="G5" s="71"/>
      <c r="I5" s="39" t="s">
        <v>187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/>
      <c r="Q5" s="98" t="s">
        <v>187</v>
      </c>
      <c r="R5" s="71">
        <v>0</v>
      </c>
      <c r="S5" s="71">
        <v>0</v>
      </c>
      <c r="T5" s="71">
        <v>0</v>
      </c>
      <c r="U5" s="71">
        <v>0</v>
      </c>
      <c r="V5" s="71">
        <v>0</v>
      </c>
      <c r="W5" s="71"/>
    </row>
    <row r="6" spans="1:23" x14ac:dyDescent="0.25">
      <c r="A6" s="40" t="s">
        <v>65</v>
      </c>
      <c r="B6" s="72">
        <f>'Inputs - Tables de production'!K4</f>
        <v>186</v>
      </c>
      <c r="C6" s="72">
        <f>'Inputs - Tables de production'!K5</f>
        <v>134</v>
      </c>
      <c r="D6" s="72"/>
      <c r="E6" s="72"/>
      <c r="F6" s="72"/>
      <c r="G6" s="72"/>
      <c r="I6" s="40" t="s">
        <v>65</v>
      </c>
      <c r="J6" s="72">
        <f>'Inputs - Tables de production'!N4</f>
        <v>63.611111111111114</v>
      </c>
      <c r="K6" s="72">
        <f>'Inputs - Tables de production'!N5</f>
        <v>45.972222222222229</v>
      </c>
      <c r="L6" s="72"/>
      <c r="M6" s="72"/>
      <c r="N6" s="72"/>
      <c r="O6" s="72"/>
      <c r="Q6" s="40" t="s">
        <v>65</v>
      </c>
      <c r="R6" s="72">
        <v>0</v>
      </c>
      <c r="S6" s="72">
        <v>0</v>
      </c>
      <c r="T6" s="72"/>
      <c r="U6" s="72"/>
      <c r="V6" s="72"/>
      <c r="W6" s="72"/>
    </row>
    <row r="7" spans="1:23" x14ac:dyDescent="0.25">
      <c r="I7" s="19"/>
      <c r="J7" s="19"/>
      <c r="K7" s="19"/>
      <c r="L7" s="19"/>
      <c r="M7" s="19"/>
      <c r="N7" s="19"/>
      <c r="O7" s="19"/>
    </row>
    <row r="8" spans="1:23" x14ac:dyDescent="0.25">
      <c r="A8" s="36" t="s">
        <v>239</v>
      </c>
      <c r="B8" s="36">
        <v>1</v>
      </c>
      <c r="C8" s="37">
        <v>2</v>
      </c>
      <c r="D8" s="37">
        <v>3</v>
      </c>
      <c r="E8" s="38">
        <v>4</v>
      </c>
      <c r="F8" s="37">
        <v>5</v>
      </c>
      <c r="G8" s="38">
        <v>6</v>
      </c>
    </row>
    <row r="9" spans="1:23" x14ac:dyDescent="0.25">
      <c r="A9" s="40" t="s">
        <v>135</v>
      </c>
      <c r="B9" s="89">
        <f>VERRA!K7</f>
        <v>570.78347963233557</v>
      </c>
      <c r="C9" s="89">
        <f>VERRA!L7</f>
        <v>526.56571921055411</v>
      </c>
      <c r="D9" s="89">
        <f>VERRA!M7</f>
        <v>470.30746774963848</v>
      </c>
      <c r="E9" s="72"/>
      <c r="F9" s="72"/>
      <c r="G9" s="72"/>
    </row>
    <row r="10" spans="1:23" x14ac:dyDescent="0.25">
      <c r="A10" s="39" t="s">
        <v>75</v>
      </c>
      <c r="B10" s="71">
        <f>VERRA!AY8</f>
        <v>881.13199720573789</v>
      </c>
      <c r="C10" s="71">
        <f>VERRA!AZ8</f>
        <v>816.23770609402436</v>
      </c>
      <c r="D10" s="71">
        <f>VERRA!BA8</f>
        <v>760.38218494053297</v>
      </c>
      <c r="E10" s="71"/>
      <c r="F10" s="71"/>
      <c r="G10" s="71"/>
    </row>
    <row r="11" spans="1:23" x14ac:dyDescent="0.25">
      <c r="A11" s="39" t="s">
        <v>5</v>
      </c>
      <c r="B11" s="71">
        <f>VERRA!T7</f>
        <v>1188.5747273281497</v>
      </c>
      <c r="C11" s="71">
        <f>VERRA!U7</f>
        <v>918.15927922012315</v>
      </c>
      <c r="D11" s="71">
        <f>VERRA!V7</f>
        <v>708.95723793223124</v>
      </c>
      <c r="E11" s="71">
        <f>VERRA!W7</f>
        <v>552.01853425122692</v>
      </c>
      <c r="F11" s="71"/>
      <c r="G11" s="71"/>
    </row>
    <row r="12" spans="1:23" x14ac:dyDescent="0.25">
      <c r="A12" s="39" t="s">
        <v>187</v>
      </c>
      <c r="B12" s="71">
        <f>B11</f>
        <v>1188.5747273281497</v>
      </c>
      <c r="C12" s="71">
        <f t="shared" ref="C12:E12" si="1">C11</f>
        <v>918.15927922012315</v>
      </c>
      <c r="D12" s="71">
        <f t="shared" si="1"/>
        <v>708.95723793223124</v>
      </c>
      <c r="E12" s="71">
        <f t="shared" si="1"/>
        <v>552.01853425122692</v>
      </c>
      <c r="F12" s="71"/>
      <c r="G12" s="71"/>
    </row>
    <row r="13" spans="1:23" x14ac:dyDescent="0.25">
      <c r="A13" s="40" t="s">
        <v>65</v>
      </c>
      <c r="B13" s="72"/>
      <c r="C13" s="72"/>
      <c r="D13" s="72"/>
      <c r="E13" s="72"/>
      <c r="F13" s="72"/>
      <c r="G13" s="72"/>
    </row>
    <row r="14" spans="1:23" x14ac:dyDescent="0.25">
      <c r="A14" s="40" t="s">
        <v>247</v>
      </c>
      <c r="B14" s="89"/>
      <c r="C14" s="89">
        <f>VERRA!AI7</f>
        <v>415.65162366058053</v>
      </c>
      <c r="D14" s="89"/>
      <c r="E14" s="72"/>
      <c r="F14" s="72"/>
      <c r="G14" s="72"/>
    </row>
    <row r="16" spans="1:23" x14ac:dyDescent="0.25">
      <c r="A16" t="s">
        <v>66</v>
      </c>
      <c r="B16" t="s">
        <v>4</v>
      </c>
      <c r="D16" s="19"/>
      <c r="F16" s="353"/>
      <c r="G16" s="353"/>
      <c r="H16" s="353"/>
      <c r="I16" s="35"/>
      <c r="J16" s="353"/>
      <c r="K16" s="353"/>
      <c r="L16" s="353"/>
      <c r="M16" s="35"/>
    </row>
    <row r="17" spans="1:13" x14ac:dyDescent="0.25">
      <c r="A17" s="40" t="s">
        <v>135</v>
      </c>
      <c r="B17">
        <v>0.57999999999999996</v>
      </c>
      <c r="D17" s="19"/>
      <c r="F17" s="90"/>
      <c r="G17" s="94"/>
      <c r="H17" s="94"/>
      <c r="I17" s="35"/>
      <c r="J17" s="90"/>
      <c r="K17" s="94"/>
      <c r="L17" s="94"/>
      <c r="M17" s="35"/>
    </row>
    <row r="18" spans="1:13" x14ac:dyDescent="0.25">
      <c r="A18" t="str">
        <f>A3</f>
        <v xml:space="preserve">Douglas </v>
      </c>
      <c r="B18">
        <v>0.43</v>
      </c>
      <c r="D18" s="19"/>
      <c r="F18" s="90"/>
      <c r="G18" s="94"/>
      <c r="H18" s="94"/>
      <c r="I18" s="35"/>
      <c r="J18" s="90"/>
      <c r="K18" s="94"/>
      <c r="L18" s="94"/>
      <c r="M18" s="35"/>
    </row>
    <row r="19" spans="1:13" x14ac:dyDescent="0.25">
      <c r="A19" t="s">
        <v>21</v>
      </c>
      <c r="B19">
        <v>0.46</v>
      </c>
      <c r="D19" s="19"/>
      <c r="F19" s="90"/>
      <c r="G19" s="94"/>
      <c r="H19" s="94"/>
      <c r="I19" s="35"/>
      <c r="J19" s="90"/>
      <c r="K19" s="94"/>
      <c r="L19" s="94"/>
      <c r="M19" s="35"/>
    </row>
    <row r="20" spans="1:13" x14ac:dyDescent="0.25">
      <c r="A20" t="s">
        <v>5</v>
      </c>
      <c r="B20">
        <v>0.47</v>
      </c>
      <c r="D20" s="19"/>
      <c r="F20" s="90"/>
      <c r="G20" s="94"/>
      <c r="H20" s="94"/>
      <c r="I20" s="35"/>
      <c r="J20" s="90"/>
      <c r="K20" s="94"/>
      <c r="L20" s="94"/>
      <c r="M20" s="35"/>
    </row>
    <row r="21" spans="1:13" x14ac:dyDescent="0.25">
      <c r="A21" t="s">
        <v>187</v>
      </c>
      <c r="B21">
        <f>0.58</f>
        <v>0.57999999999999996</v>
      </c>
      <c r="D21" s="19"/>
      <c r="F21" s="90"/>
      <c r="G21" s="94"/>
      <c r="H21" s="94"/>
      <c r="I21" s="35"/>
      <c r="J21" s="90"/>
      <c r="K21" s="94"/>
      <c r="L21" s="94"/>
      <c r="M21" s="35"/>
    </row>
    <row r="22" spans="1:13" x14ac:dyDescent="0.25">
      <c r="A22" t="s">
        <v>20</v>
      </c>
      <c r="B22">
        <v>0.46</v>
      </c>
      <c r="D22" s="19"/>
      <c r="F22" s="90"/>
      <c r="G22" s="94"/>
      <c r="H22" s="94"/>
      <c r="I22" s="35"/>
      <c r="J22" s="90"/>
      <c r="K22" s="94"/>
      <c r="L22" s="94"/>
      <c r="M22" s="35"/>
    </row>
    <row r="23" spans="1:13" x14ac:dyDescent="0.25">
      <c r="A23" t="s">
        <v>64</v>
      </c>
      <c r="B23">
        <v>0.44</v>
      </c>
      <c r="D23" s="19"/>
      <c r="F23" s="90"/>
      <c r="G23" s="94"/>
      <c r="H23" s="94"/>
      <c r="I23" s="35"/>
      <c r="J23" s="90"/>
      <c r="K23" s="94"/>
      <c r="L23" s="94"/>
      <c r="M23" s="35"/>
    </row>
    <row r="24" spans="1:13" x14ac:dyDescent="0.25">
      <c r="A24" t="s">
        <v>65</v>
      </c>
      <c r="B24">
        <v>0.36</v>
      </c>
      <c r="D24" s="19"/>
      <c r="F24" s="90"/>
      <c r="G24" s="94"/>
      <c r="H24" s="94"/>
      <c r="I24" s="35"/>
      <c r="J24" s="90"/>
      <c r="K24" s="94"/>
      <c r="L24" s="94"/>
      <c r="M24" s="35"/>
    </row>
    <row r="25" spans="1:13" x14ac:dyDescent="0.25">
      <c r="A25" t="s">
        <v>58</v>
      </c>
      <c r="B25">
        <v>0.36</v>
      </c>
      <c r="D25" s="19"/>
      <c r="F25" s="90"/>
      <c r="G25" s="94"/>
      <c r="H25" s="94"/>
      <c r="I25" s="35"/>
      <c r="J25" s="90"/>
      <c r="K25" s="94"/>
      <c r="L25" s="94"/>
      <c r="M25" s="35"/>
    </row>
    <row r="26" spans="1:13" x14ac:dyDescent="0.25">
      <c r="A26" t="s">
        <v>56</v>
      </c>
      <c r="B26">
        <v>0.43</v>
      </c>
      <c r="F26" s="90"/>
      <c r="G26" s="94"/>
      <c r="H26" s="94"/>
      <c r="I26" s="35"/>
      <c r="J26" s="90"/>
      <c r="K26" s="94"/>
      <c r="L26" s="94"/>
      <c r="M26" s="35"/>
    </row>
    <row r="27" spans="1:13" x14ac:dyDescent="0.25">
      <c r="A27" t="s">
        <v>57</v>
      </c>
      <c r="B27">
        <v>0.48</v>
      </c>
      <c r="F27" s="90"/>
      <c r="G27" s="94"/>
      <c r="H27" s="94"/>
      <c r="I27" s="35"/>
      <c r="J27" s="90"/>
      <c r="K27" s="94"/>
      <c r="L27" s="94"/>
      <c r="M27" s="35"/>
    </row>
    <row r="28" spans="1:13" x14ac:dyDescent="0.25">
      <c r="A28" t="s">
        <v>247</v>
      </c>
      <c r="B28">
        <v>0.35</v>
      </c>
      <c r="F28" s="90"/>
      <c r="G28" s="94"/>
      <c r="H28" s="94"/>
      <c r="I28" s="35"/>
      <c r="J28" s="90"/>
      <c r="K28" s="94"/>
      <c r="L28" s="94"/>
      <c r="M28" s="35"/>
    </row>
    <row r="29" spans="1:13" x14ac:dyDescent="0.25">
      <c r="A29" s="99" t="s">
        <v>317</v>
      </c>
      <c r="B29" s="41">
        <v>0.37</v>
      </c>
      <c r="C29" s="218"/>
      <c r="F29" s="35"/>
      <c r="G29" s="35"/>
      <c r="H29" s="35"/>
      <c r="I29" s="35"/>
      <c r="J29" s="90"/>
      <c r="K29" s="94"/>
      <c r="L29" s="94"/>
      <c r="M29" s="35"/>
    </row>
    <row r="30" spans="1:13" x14ac:dyDescent="0.25">
      <c r="F30" s="35"/>
      <c r="G30" s="35"/>
      <c r="H30" s="35"/>
      <c r="I30" s="35"/>
      <c r="J30" s="90"/>
      <c r="K30" s="94"/>
      <c r="L30" s="94"/>
      <c r="M30" s="35"/>
    </row>
    <row r="31" spans="1:13" x14ac:dyDescent="0.25">
      <c r="A31" t="s">
        <v>68</v>
      </c>
      <c r="B31" t="s">
        <v>69</v>
      </c>
      <c r="F31" s="35"/>
      <c r="G31" s="35"/>
      <c r="H31" s="79"/>
      <c r="I31" s="35"/>
      <c r="J31" s="35"/>
      <c r="K31" s="35"/>
      <c r="L31" s="35"/>
      <c r="M31" s="35"/>
    </row>
    <row r="32" spans="1:13" x14ac:dyDescent="0.25">
      <c r="A32" t="s">
        <v>148</v>
      </c>
      <c r="B32">
        <v>1.52</v>
      </c>
      <c r="F32" s="35"/>
      <c r="G32" s="35"/>
      <c r="H32" s="35"/>
      <c r="I32" s="35"/>
      <c r="J32" s="35"/>
      <c r="K32" s="35"/>
      <c r="L32" s="35"/>
      <c r="M32" s="35"/>
    </row>
    <row r="33" spans="1:13" x14ac:dyDescent="0.25">
      <c r="A33" t="s">
        <v>149</v>
      </c>
      <c r="B33">
        <f>0.77*0.56</f>
        <v>0.43120000000000003</v>
      </c>
      <c r="F33" s="35"/>
      <c r="G33" s="35"/>
      <c r="H33" s="35"/>
      <c r="I33" s="35"/>
      <c r="J33" s="35"/>
      <c r="K33" s="35"/>
      <c r="L33" s="35"/>
      <c r="M33" s="35"/>
    </row>
    <row r="34" spans="1:13" x14ac:dyDescent="0.25">
      <c r="A34" t="s">
        <v>150</v>
      </c>
      <c r="B34">
        <f>0.25</f>
        <v>0.25</v>
      </c>
      <c r="J34" s="17"/>
    </row>
    <row r="35" spans="1:13" x14ac:dyDescent="0.25">
      <c r="J35" s="17"/>
    </row>
    <row r="36" spans="1:13" x14ac:dyDescent="0.25">
      <c r="A36" t="s">
        <v>151</v>
      </c>
      <c r="B36" s="73" t="s">
        <v>152</v>
      </c>
      <c r="J36" s="17"/>
    </row>
    <row r="37" spans="1:13" x14ac:dyDescent="0.25">
      <c r="A37" t="s">
        <v>19</v>
      </c>
      <c r="B37">
        <v>1</v>
      </c>
      <c r="J37" s="17"/>
    </row>
    <row r="38" spans="1:13" x14ac:dyDescent="0.25">
      <c r="A38" s="40" t="s">
        <v>135</v>
      </c>
      <c r="B38">
        <v>3</v>
      </c>
      <c r="J38" s="17"/>
    </row>
    <row r="39" spans="1:13" x14ac:dyDescent="0.25">
      <c r="A39" t="s">
        <v>22</v>
      </c>
      <c r="B39">
        <v>3</v>
      </c>
      <c r="J39" s="17"/>
    </row>
    <row r="40" spans="1:13" x14ac:dyDescent="0.25">
      <c r="A40" t="s">
        <v>21</v>
      </c>
      <c r="B40">
        <v>3</v>
      </c>
      <c r="J40" s="17"/>
    </row>
    <row r="41" spans="1:13" x14ac:dyDescent="0.25">
      <c r="A41" t="s">
        <v>5</v>
      </c>
      <c r="B41">
        <v>5</v>
      </c>
      <c r="J41" s="17"/>
    </row>
    <row r="42" spans="1:13" x14ac:dyDescent="0.25">
      <c r="A42" t="s">
        <v>20</v>
      </c>
      <c r="B42">
        <v>3</v>
      </c>
    </row>
    <row r="43" spans="1:13" x14ac:dyDescent="0.25">
      <c r="A43" t="s">
        <v>64</v>
      </c>
      <c r="B43">
        <v>5</v>
      </c>
    </row>
    <row r="44" spans="1:13" x14ac:dyDescent="0.25">
      <c r="A44" t="s">
        <v>55</v>
      </c>
      <c r="B44">
        <v>2</v>
      </c>
    </row>
    <row r="45" spans="1:13" x14ac:dyDescent="0.25">
      <c r="A45" t="s">
        <v>58</v>
      </c>
      <c r="B45">
        <v>6</v>
      </c>
    </row>
    <row r="46" spans="1:13" x14ac:dyDescent="0.25">
      <c r="A46" t="s">
        <v>57</v>
      </c>
    </row>
    <row r="47" spans="1:13" x14ac:dyDescent="0.25">
      <c r="A47" t="s">
        <v>56</v>
      </c>
      <c r="B47">
        <v>3</v>
      </c>
    </row>
    <row r="48" spans="1:13" x14ac:dyDescent="0.25">
      <c r="A48" s="99" t="s">
        <v>317</v>
      </c>
      <c r="B48">
        <v>1</v>
      </c>
    </row>
    <row r="50" spans="1:9" x14ac:dyDescent="0.25">
      <c r="A50" s="39" t="s">
        <v>126</v>
      </c>
      <c r="B50" s="93"/>
      <c r="C50" s="93"/>
      <c r="D50" s="93"/>
      <c r="E50" s="93"/>
      <c r="F50" s="93"/>
    </row>
    <row r="51" spans="1:9" x14ac:dyDescent="0.25">
      <c r="A51" s="40" t="s">
        <v>139</v>
      </c>
      <c r="I51" t="s">
        <v>138</v>
      </c>
    </row>
    <row r="52" spans="1:9" x14ac:dyDescent="0.25">
      <c r="A52" s="39" t="s">
        <v>191</v>
      </c>
    </row>
    <row r="53" spans="1:9" x14ac:dyDescent="0.25">
      <c r="A53" s="40" t="s">
        <v>127</v>
      </c>
    </row>
    <row r="54" spans="1:9" x14ac:dyDescent="0.25">
      <c r="A54" s="39" t="s">
        <v>128</v>
      </c>
    </row>
    <row r="55" spans="1:9" x14ac:dyDescent="0.25">
      <c r="A55" s="41" t="s">
        <v>129</v>
      </c>
    </row>
    <row r="56" spans="1:9" x14ac:dyDescent="0.25">
      <c r="A56" s="97" t="s">
        <v>198</v>
      </c>
    </row>
    <row r="57" spans="1:9" x14ac:dyDescent="0.25">
      <c r="A57" s="40" t="s">
        <v>190</v>
      </c>
    </row>
    <row r="58" spans="1:9" x14ac:dyDescent="0.25">
      <c r="A58" s="39" t="s">
        <v>130</v>
      </c>
    </row>
    <row r="59" spans="1:9" x14ac:dyDescent="0.25">
      <c r="A59" s="40" t="s">
        <v>131</v>
      </c>
    </row>
    <row r="60" spans="1:9" x14ac:dyDescent="0.25">
      <c r="A60" s="39" t="s">
        <v>125</v>
      </c>
    </row>
    <row r="61" spans="1:9" x14ac:dyDescent="0.25">
      <c r="A61" s="41" t="s">
        <v>132</v>
      </c>
    </row>
    <row r="62" spans="1:9" x14ac:dyDescent="0.25">
      <c r="A62" s="39" t="s">
        <v>192</v>
      </c>
    </row>
    <row r="63" spans="1:9" x14ac:dyDescent="0.25">
      <c r="A63" s="41" t="s">
        <v>133</v>
      </c>
    </row>
    <row r="64" spans="1:9" x14ac:dyDescent="0.25">
      <c r="A64" s="99" t="s">
        <v>318</v>
      </c>
    </row>
    <row r="66" spans="1:3" x14ac:dyDescent="0.25">
      <c r="A66" t="s">
        <v>134</v>
      </c>
    </row>
    <row r="67" spans="1:3" x14ac:dyDescent="0.25">
      <c r="A67" s="1">
        <v>0</v>
      </c>
    </row>
    <row r="68" spans="1:3" x14ac:dyDescent="0.25">
      <c r="A68" s="1">
        <v>0.05</v>
      </c>
    </row>
    <row r="69" spans="1:3" x14ac:dyDescent="0.25">
      <c r="A69" s="1">
        <v>0.1</v>
      </c>
    </row>
    <row r="70" spans="1:3" x14ac:dyDescent="0.25">
      <c r="A70" s="1">
        <v>0.15</v>
      </c>
    </row>
    <row r="73" spans="1:3" x14ac:dyDescent="0.25">
      <c r="A73" t="s">
        <v>143</v>
      </c>
      <c r="B73" t="s">
        <v>140</v>
      </c>
      <c r="C73" t="s">
        <v>142</v>
      </c>
    </row>
    <row r="74" spans="1:3" x14ac:dyDescent="0.25">
      <c r="A74" s="39" t="s">
        <v>19</v>
      </c>
      <c r="B74" t="s">
        <v>8</v>
      </c>
      <c r="C74">
        <v>1</v>
      </c>
    </row>
    <row r="75" spans="1:3" x14ac:dyDescent="0.25">
      <c r="A75" s="40" t="s">
        <v>135</v>
      </c>
      <c r="B75" t="s">
        <v>8</v>
      </c>
      <c r="C75">
        <v>1</v>
      </c>
    </row>
    <row r="76" spans="1:3" x14ac:dyDescent="0.25">
      <c r="A76" s="39" t="s">
        <v>75</v>
      </c>
      <c r="B76" t="s">
        <v>141</v>
      </c>
      <c r="C76">
        <v>1.3</v>
      </c>
    </row>
    <row r="77" spans="1:3" x14ac:dyDescent="0.25">
      <c r="A77" s="40" t="s">
        <v>21</v>
      </c>
      <c r="B77" t="s">
        <v>141</v>
      </c>
      <c r="C77">
        <v>1.3</v>
      </c>
    </row>
    <row r="78" spans="1:3" x14ac:dyDescent="0.25">
      <c r="A78" s="39" t="s">
        <v>5</v>
      </c>
      <c r="B78" t="s">
        <v>8</v>
      </c>
      <c r="C78">
        <v>1</v>
      </c>
    </row>
    <row r="79" spans="1:3" x14ac:dyDescent="0.25">
      <c r="A79" s="39" t="s">
        <v>187</v>
      </c>
      <c r="B79" t="s">
        <v>141</v>
      </c>
      <c r="C79">
        <v>1.56</v>
      </c>
    </row>
    <row r="80" spans="1:3" x14ac:dyDescent="0.25">
      <c r="A80" s="40" t="s">
        <v>20</v>
      </c>
      <c r="B80" t="s">
        <v>141</v>
      </c>
      <c r="C80">
        <v>1.3</v>
      </c>
    </row>
    <row r="81" spans="1:3" x14ac:dyDescent="0.25">
      <c r="A81" s="39" t="s">
        <v>64</v>
      </c>
      <c r="B81" t="s">
        <v>141</v>
      </c>
      <c r="C81">
        <v>1.3</v>
      </c>
    </row>
    <row r="82" spans="1:3" x14ac:dyDescent="0.25">
      <c r="A82" s="40" t="s">
        <v>65</v>
      </c>
      <c r="B82" t="s">
        <v>141</v>
      </c>
      <c r="C82">
        <v>1.3</v>
      </c>
    </row>
    <row r="83" spans="1:3" x14ac:dyDescent="0.25">
      <c r="A83" s="39" t="s">
        <v>58</v>
      </c>
      <c r="B83" t="s">
        <v>141</v>
      </c>
      <c r="C83">
        <v>1.3</v>
      </c>
    </row>
    <row r="84" spans="1:3" x14ac:dyDescent="0.25">
      <c r="A84" s="40" t="s">
        <v>57</v>
      </c>
      <c r="B84" t="s">
        <v>141</v>
      </c>
      <c r="C84">
        <v>1.3</v>
      </c>
    </row>
    <row r="85" spans="1:3" x14ac:dyDescent="0.25">
      <c r="A85" s="39" t="s">
        <v>56</v>
      </c>
      <c r="B85" t="s">
        <v>141</v>
      </c>
      <c r="C85">
        <v>1.3</v>
      </c>
    </row>
    <row r="86" spans="1:3" x14ac:dyDescent="0.25">
      <c r="A86" s="39" t="s">
        <v>247</v>
      </c>
      <c r="B86" t="s">
        <v>141</v>
      </c>
      <c r="C86">
        <v>1.56</v>
      </c>
    </row>
    <row r="87" spans="1:3" x14ac:dyDescent="0.25">
      <c r="A87" s="217" t="s">
        <v>317</v>
      </c>
      <c r="B87" t="s">
        <v>141</v>
      </c>
      <c r="C87">
        <v>1.3</v>
      </c>
    </row>
    <row r="89" spans="1:3" x14ac:dyDescent="0.25">
      <c r="A89" t="s">
        <v>71</v>
      </c>
    </row>
    <row r="90" spans="1:3" x14ac:dyDescent="0.25">
      <c r="A90" s="68">
        <v>1</v>
      </c>
    </row>
    <row r="91" spans="1:3" x14ac:dyDescent="0.25">
      <c r="A91" s="68">
        <v>2</v>
      </c>
    </row>
    <row r="92" spans="1:3" x14ac:dyDescent="0.25">
      <c r="A92" s="68">
        <v>3</v>
      </c>
    </row>
    <row r="93" spans="1:3" x14ac:dyDescent="0.25">
      <c r="A93" s="68">
        <v>4</v>
      </c>
    </row>
    <row r="94" spans="1:3" x14ac:dyDescent="0.25">
      <c r="A94" s="68">
        <v>5</v>
      </c>
    </row>
    <row r="95" spans="1:3" x14ac:dyDescent="0.25">
      <c r="A95" s="68">
        <v>6</v>
      </c>
    </row>
    <row r="98" spans="1:24" x14ac:dyDescent="0.25">
      <c r="A98" s="273"/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35"/>
      <c r="R98" s="35"/>
      <c r="S98" s="35"/>
      <c r="T98" s="35"/>
      <c r="U98" s="35"/>
      <c r="V98" s="35"/>
      <c r="W98" s="35"/>
      <c r="X98" s="35"/>
    </row>
    <row r="99" spans="1:24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1:24" x14ac:dyDescent="0.25">
      <c r="A100" s="274"/>
      <c r="B100" s="274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1:24" x14ac:dyDescent="0.25">
      <c r="A101" s="35"/>
      <c r="B101" s="272"/>
      <c r="C101" s="35"/>
      <c r="D101" s="35"/>
      <c r="E101" s="272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1:24" x14ac:dyDescent="0.25">
      <c r="A102" s="35"/>
      <c r="B102" s="272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1:24" x14ac:dyDescent="0.25">
      <c r="A103" s="35"/>
      <c r="B103" s="272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1:24" x14ac:dyDescent="0.25">
      <c r="A104" s="35"/>
      <c r="B104" s="272"/>
      <c r="C104" s="35"/>
      <c r="D104" s="272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1:24" x14ac:dyDescent="0.25">
      <c r="A105" s="35"/>
      <c r="B105" s="272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1:24" x14ac:dyDescent="0.25">
      <c r="A106" s="35"/>
      <c r="B106" s="272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1:24" x14ac:dyDescent="0.25">
      <c r="A107" s="35"/>
      <c r="B107" s="272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1:24" x14ac:dyDescent="0.25">
      <c r="A108" s="35"/>
      <c r="B108" s="272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1:24" x14ac:dyDescent="0.25">
      <c r="A109" s="35"/>
      <c r="B109" s="272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1:24" x14ac:dyDescent="0.25">
      <c r="A110" s="35"/>
      <c r="B110" s="272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1:24" x14ac:dyDescent="0.25">
      <c r="A111" s="35"/>
      <c r="B111" s="272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1:24" x14ac:dyDescent="0.25">
      <c r="A112" s="35"/>
      <c r="B112" s="272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x14ac:dyDescent="0.25">
      <c r="A113" s="35"/>
      <c r="B113" s="272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x14ac:dyDescent="0.25">
      <c r="A114" s="35"/>
      <c r="B114" s="272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x14ac:dyDescent="0.25">
      <c r="A115" s="35"/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"/>
      <c r="X115" s="35"/>
    </row>
    <row r="116" spans="1:24" x14ac:dyDescent="0.25">
      <c r="A116" s="275"/>
      <c r="B116" s="276"/>
      <c r="C116" s="276"/>
      <c r="D116" s="276"/>
      <c r="E116" s="276"/>
      <c r="F116" s="276"/>
      <c r="G116" s="276"/>
      <c r="H116" s="276"/>
      <c r="I116" s="276"/>
      <c r="J116" s="276"/>
      <c r="K116" s="276"/>
      <c r="L116" s="276"/>
      <c r="M116" s="276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35"/>
    </row>
    <row r="117" spans="1:24" x14ac:dyDescent="0.25">
      <c r="A117" s="120"/>
      <c r="B117" s="277"/>
      <c r="C117" s="277"/>
      <c r="D117" s="277"/>
      <c r="E117" s="277"/>
      <c r="F117" s="277"/>
      <c r="G117" s="277"/>
      <c r="H117" s="277"/>
      <c r="I117" s="277"/>
      <c r="J117" s="277"/>
      <c r="K117" s="277"/>
      <c r="L117" s="277"/>
      <c r="M117" s="35"/>
      <c r="N117" s="277"/>
      <c r="O117" s="277"/>
      <c r="P117" s="277"/>
      <c r="Q117" s="277"/>
      <c r="R117" s="277"/>
      <c r="S117" s="277"/>
      <c r="T117" s="277"/>
      <c r="U117" s="277"/>
      <c r="V117" s="277"/>
      <c r="W117" s="277"/>
      <c r="X117" s="35"/>
    </row>
    <row r="118" spans="1:24" x14ac:dyDescent="0.25">
      <c r="A118" s="120"/>
      <c r="B118" s="277"/>
      <c r="C118" s="277"/>
      <c r="D118" s="277"/>
      <c r="E118" s="277"/>
      <c r="F118" s="277"/>
      <c r="G118" s="277"/>
      <c r="H118" s="277"/>
      <c r="I118" s="277"/>
      <c r="J118" s="277"/>
      <c r="K118" s="277"/>
      <c r="L118" s="277"/>
      <c r="M118" s="35"/>
      <c r="N118" s="277"/>
      <c r="O118" s="277"/>
      <c r="P118" s="277"/>
      <c r="Q118" s="277"/>
      <c r="R118" s="277"/>
      <c r="S118" s="277"/>
      <c r="T118" s="277"/>
      <c r="U118" s="277"/>
      <c r="V118" s="277"/>
      <c r="W118" s="277"/>
      <c r="X118" s="35"/>
    </row>
    <row r="119" spans="1:24" x14ac:dyDescent="0.25">
      <c r="A119" s="120"/>
      <c r="B119" s="277"/>
      <c r="C119" s="277"/>
      <c r="D119" s="277"/>
      <c r="E119" s="277"/>
      <c r="F119" s="277"/>
      <c r="G119" s="277"/>
      <c r="H119" s="277"/>
      <c r="I119" s="277"/>
      <c r="J119" s="277"/>
      <c r="K119" s="277"/>
      <c r="L119" s="277"/>
      <c r="M119" s="35"/>
      <c r="N119" s="277"/>
      <c r="O119" s="277"/>
      <c r="P119" s="277"/>
      <c r="Q119" s="277"/>
      <c r="R119" s="277"/>
      <c r="S119" s="277"/>
      <c r="T119" s="277"/>
      <c r="U119" s="277"/>
      <c r="V119" s="277"/>
      <c r="W119" s="277"/>
      <c r="X119" s="35"/>
    </row>
    <row r="120" spans="1:24" x14ac:dyDescent="0.25">
      <c r="A120" s="120"/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35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35"/>
    </row>
    <row r="121" spans="1:24" x14ac:dyDescent="0.25">
      <c r="A121" s="120"/>
      <c r="B121" s="277"/>
      <c r="C121" s="277"/>
      <c r="D121" s="277"/>
      <c r="E121" s="277"/>
      <c r="F121" s="277"/>
      <c r="G121" s="277"/>
      <c r="H121" s="277"/>
      <c r="I121" s="277"/>
      <c r="J121" s="277"/>
      <c r="K121" s="277"/>
      <c r="L121" s="277"/>
      <c r="M121" s="35"/>
      <c r="N121" s="277"/>
      <c r="O121" s="277"/>
      <c r="P121" s="277"/>
      <c r="Q121" s="277"/>
      <c r="R121" s="277"/>
      <c r="S121" s="277"/>
      <c r="T121" s="277"/>
      <c r="U121" s="277"/>
      <c r="V121" s="277"/>
      <c r="W121" s="277"/>
      <c r="X121" s="35"/>
    </row>
    <row r="122" spans="1:24" x14ac:dyDescent="0.25">
      <c r="A122" s="120"/>
      <c r="B122" s="277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35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35"/>
    </row>
    <row r="123" spans="1:24" x14ac:dyDescent="0.25">
      <c r="A123" s="120"/>
      <c r="B123" s="277"/>
      <c r="C123" s="277"/>
      <c r="D123" s="277"/>
      <c r="E123" s="277"/>
      <c r="F123" s="277"/>
      <c r="G123" s="277"/>
      <c r="H123" s="277"/>
      <c r="I123" s="277"/>
      <c r="J123" s="277"/>
      <c r="K123" s="277"/>
      <c r="L123" s="277"/>
      <c r="M123" s="35"/>
      <c r="N123" s="277"/>
      <c r="O123" s="277"/>
      <c r="P123" s="277"/>
      <c r="Q123" s="277"/>
      <c r="R123" s="277"/>
      <c r="S123" s="277"/>
      <c r="T123" s="277"/>
      <c r="U123" s="277"/>
      <c r="V123" s="277"/>
      <c r="W123" s="277"/>
      <c r="X123" s="35"/>
    </row>
    <row r="124" spans="1:24" x14ac:dyDescent="0.25">
      <c r="A124" s="120"/>
      <c r="B124" s="277"/>
      <c r="C124" s="277"/>
      <c r="D124" s="277"/>
      <c r="E124" s="277"/>
      <c r="F124" s="277"/>
      <c r="G124" s="277"/>
      <c r="H124" s="277"/>
      <c r="I124" s="277"/>
      <c r="J124" s="277"/>
      <c r="K124" s="277"/>
      <c r="L124" s="277"/>
      <c r="M124" s="35"/>
      <c r="N124" s="277"/>
      <c r="O124" s="277"/>
      <c r="P124" s="277"/>
      <c r="Q124" s="277"/>
      <c r="R124" s="277"/>
      <c r="S124" s="277"/>
      <c r="T124" s="277"/>
      <c r="U124" s="277"/>
      <c r="V124" s="277"/>
      <c r="W124" s="277"/>
      <c r="X124" s="35"/>
    </row>
    <row r="125" spans="1:24" x14ac:dyDescent="0.25">
      <c r="A125" s="120"/>
      <c r="B125" s="277"/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35"/>
      <c r="N125" s="277"/>
      <c r="O125" s="277"/>
      <c r="P125" s="277"/>
      <c r="Q125" s="277"/>
      <c r="R125" s="277"/>
      <c r="S125" s="277"/>
      <c r="T125" s="277"/>
      <c r="U125" s="277"/>
      <c r="V125" s="277"/>
      <c r="W125" s="277"/>
      <c r="X125" s="35"/>
    </row>
    <row r="126" spans="1:24" x14ac:dyDescent="0.25">
      <c r="A126" s="120"/>
      <c r="B126" s="277"/>
      <c r="C126" s="277"/>
      <c r="D126" s="277"/>
      <c r="E126" s="277"/>
      <c r="F126" s="277"/>
      <c r="G126" s="277"/>
      <c r="H126" s="277"/>
      <c r="I126" s="277"/>
      <c r="J126" s="277"/>
      <c r="K126" s="277"/>
      <c r="L126" s="277"/>
      <c r="M126" s="35"/>
      <c r="N126" s="277"/>
      <c r="O126" s="277"/>
      <c r="P126" s="277"/>
      <c r="Q126" s="277"/>
      <c r="R126" s="277"/>
      <c r="S126" s="277"/>
      <c r="T126" s="277"/>
      <c r="U126" s="277"/>
      <c r="V126" s="277"/>
      <c r="W126" s="277"/>
      <c r="X126" s="35"/>
    </row>
    <row r="127" spans="1:24" x14ac:dyDescent="0.25">
      <c r="A127" s="120"/>
      <c r="B127" s="277"/>
      <c r="C127" s="277"/>
      <c r="D127" s="277"/>
      <c r="E127" s="277"/>
      <c r="F127" s="277"/>
      <c r="G127" s="277"/>
      <c r="H127" s="277"/>
      <c r="I127" s="277"/>
      <c r="J127" s="277"/>
      <c r="K127" s="277"/>
      <c r="L127" s="277"/>
      <c r="M127" s="35"/>
      <c r="N127" s="277"/>
      <c r="O127" s="277"/>
      <c r="P127" s="277"/>
      <c r="Q127" s="277"/>
      <c r="R127" s="277"/>
      <c r="S127" s="277"/>
      <c r="T127" s="277"/>
      <c r="U127" s="277"/>
      <c r="V127" s="277"/>
      <c r="W127" s="277"/>
      <c r="X127" s="35"/>
    </row>
    <row r="128" spans="1:24" x14ac:dyDescent="0.25">
      <c r="A128" s="120"/>
      <c r="B128" s="277"/>
      <c r="C128" s="277"/>
      <c r="D128" s="277"/>
      <c r="E128" s="277"/>
      <c r="F128" s="277"/>
      <c r="G128" s="277"/>
      <c r="H128" s="277"/>
      <c r="I128" s="277"/>
      <c r="J128" s="277"/>
      <c r="K128" s="277"/>
      <c r="L128" s="277"/>
      <c r="M128" s="35"/>
      <c r="N128" s="277"/>
      <c r="O128" s="277"/>
      <c r="P128" s="277"/>
      <c r="Q128" s="277"/>
      <c r="R128" s="277"/>
      <c r="S128" s="277"/>
      <c r="T128" s="277"/>
      <c r="U128" s="277"/>
      <c r="V128" s="277"/>
      <c r="W128" s="277"/>
      <c r="X128" s="35"/>
    </row>
    <row r="129" spans="1:24" x14ac:dyDescent="0.25">
      <c r="A129" s="120"/>
      <c r="B129" s="277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35"/>
      <c r="N129" s="277"/>
      <c r="O129" s="277"/>
      <c r="P129" s="277"/>
      <c r="Q129" s="277"/>
      <c r="R129" s="277"/>
      <c r="S129" s="277"/>
      <c r="T129" s="277"/>
      <c r="U129" s="277"/>
      <c r="V129" s="277"/>
      <c r="W129" s="277"/>
      <c r="X129" s="35"/>
    </row>
    <row r="130" spans="1:24" x14ac:dyDescent="0.25">
      <c r="A130" s="120"/>
      <c r="B130" s="277"/>
      <c r="C130" s="277"/>
      <c r="D130" s="277"/>
      <c r="E130" s="277"/>
      <c r="F130" s="277"/>
      <c r="G130" s="277"/>
      <c r="H130" s="277"/>
      <c r="I130" s="277"/>
      <c r="J130" s="277"/>
      <c r="K130" s="277"/>
      <c r="L130" s="277"/>
      <c r="M130" s="35"/>
      <c r="N130" s="277"/>
      <c r="O130" s="277"/>
      <c r="P130" s="277"/>
      <c r="Q130" s="277"/>
      <c r="R130" s="277"/>
      <c r="S130" s="277"/>
      <c r="T130" s="277"/>
      <c r="U130" s="277"/>
      <c r="V130" s="277"/>
      <c r="W130" s="277"/>
      <c r="X130" s="35"/>
    </row>
    <row r="131" spans="1:24" x14ac:dyDescent="0.25">
      <c r="A131" s="120"/>
      <c r="B131" s="277"/>
      <c r="C131" s="277"/>
      <c r="D131" s="277"/>
      <c r="E131" s="277"/>
      <c r="F131" s="277"/>
      <c r="G131" s="277"/>
      <c r="H131" s="277"/>
      <c r="I131" s="277"/>
      <c r="J131" s="277"/>
      <c r="K131" s="277"/>
      <c r="L131" s="277"/>
      <c r="M131" s="35"/>
      <c r="N131" s="277"/>
      <c r="O131" s="277"/>
      <c r="P131" s="277"/>
      <c r="Q131" s="277"/>
      <c r="R131" s="277"/>
      <c r="S131" s="277"/>
      <c r="T131" s="277"/>
      <c r="U131" s="277"/>
      <c r="V131" s="277"/>
      <c r="W131" s="277"/>
      <c r="X131" s="35"/>
    </row>
    <row r="132" spans="1:24" x14ac:dyDescent="0.25">
      <c r="A132" s="120"/>
      <c r="B132" s="277"/>
      <c r="C132" s="277"/>
      <c r="D132" s="277"/>
      <c r="E132" s="277"/>
      <c r="F132" s="277"/>
      <c r="G132" s="277"/>
      <c r="H132" s="277"/>
      <c r="I132" s="277"/>
      <c r="J132" s="277"/>
      <c r="K132" s="277"/>
      <c r="L132" s="277"/>
      <c r="M132" s="35"/>
      <c r="N132" s="277"/>
      <c r="O132" s="277"/>
      <c r="P132" s="277"/>
      <c r="Q132" s="277"/>
      <c r="R132" s="277"/>
      <c r="S132" s="277"/>
      <c r="T132" s="277"/>
      <c r="U132" s="277"/>
      <c r="V132" s="277"/>
      <c r="W132" s="277"/>
      <c r="X132" s="35"/>
    </row>
    <row r="133" spans="1:24" x14ac:dyDescent="0.25">
      <c r="A133" s="120"/>
      <c r="B133" s="277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35"/>
      <c r="N133" s="277"/>
      <c r="O133" s="277"/>
      <c r="P133" s="277"/>
      <c r="Q133" s="277"/>
      <c r="R133" s="277"/>
      <c r="S133" s="277"/>
      <c r="T133" s="277"/>
      <c r="U133" s="277"/>
      <c r="V133" s="277"/>
      <c r="W133" s="277"/>
      <c r="X133" s="35"/>
    </row>
    <row r="134" spans="1:24" x14ac:dyDescent="0.25">
      <c r="A134" s="120"/>
      <c r="B134" s="277"/>
      <c r="C134" s="277"/>
      <c r="D134" s="277"/>
      <c r="E134" s="277"/>
      <c r="F134" s="277"/>
      <c r="G134" s="277"/>
      <c r="H134" s="277"/>
      <c r="I134" s="277"/>
      <c r="J134" s="277"/>
      <c r="K134" s="277"/>
      <c r="L134" s="277"/>
      <c r="M134" s="35"/>
      <c r="N134" s="277"/>
      <c r="O134" s="277"/>
      <c r="P134" s="277"/>
      <c r="Q134" s="277"/>
      <c r="R134" s="277"/>
      <c r="S134" s="277"/>
      <c r="T134" s="277"/>
      <c r="U134" s="277"/>
      <c r="V134" s="277"/>
      <c r="W134" s="277"/>
      <c r="X134" s="35"/>
    </row>
    <row r="135" spans="1:24" x14ac:dyDescent="0.25">
      <c r="A135" s="120"/>
      <c r="B135" s="277"/>
      <c r="C135" s="277"/>
      <c r="D135" s="277"/>
      <c r="E135" s="277"/>
      <c r="F135" s="277"/>
      <c r="G135" s="277"/>
      <c r="H135" s="277"/>
      <c r="I135" s="277"/>
      <c r="J135" s="277"/>
      <c r="K135" s="277"/>
      <c r="L135" s="277"/>
      <c r="M135" s="35"/>
      <c r="N135" s="277"/>
      <c r="O135" s="277"/>
      <c r="P135" s="277"/>
      <c r="Q135" s="277"/>
      <c r="R135" s="277"/>
      <c r="S135" s="277"/>
      <c r="T135" s="277"/>
      <c r="U135" s="277"/>
      <c r="V135" s="277"/>
      <c r="W135" s="277"/>
      <c r="X135" s="35"/>
    </row>
    <row r="136" spans="1:24" x14ac:dyDescent="0.25">
      <c r="A136" s="120"/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35"/>
      <c r="N136" s="277"/>
      <c r="O136" s="277"/>
      <c r="P136" s="277"/>
      <c r="Q136" s="277"/>
      <c r="R136" s="277"/>
      <c r="S136" s="277"/>
      <c r="T136" s="277"/>
      <c r="U136" s="277"/>
      <c r="V136" s="277"/>
      <c r="W136" s="277"/>
      <c r="X136" s="35"/>
    </row>
    <row r="137" spans="1:24" x14ac:dyDescent="0.25">
      <c r="A137" s="120"/>
      <c r="B137" s="277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35"/>
      <c r="N137" s="277"/>
      <c r="O137" s="277"/>
      <c r="P137" s="277"/>
      <c r="Q137" s="277"/>
      <c r="R137" s="277"/>
      <c r="S137" s="277"/>
      <c r="T137" s="277"/>
      <c r="U137" s="277"/>
      <c r="V137" s="277"/>
      <c r="W137" s="277"/>
      <c r="X137" s="35"/>
    </row>
    <row r="138" spans="1:24" x14ac:dyDescent="0.25">
      <c r="A138" s="120"/>
      <c r="B138" s="277"/>
      <c r="C138" s="277"/>
      <c r="D138" s="277"/>
      <c r="E138" s="277"/>
      <c r="F138" s="277"/>
      <c r="G138" s="277"/>
      <c r="H138" s="277"/>
      <c r="I138" s="277"/>
      <c r="J138" s="277"/>
      <c r="K138" s="277"/>
      <c r="L138" s="277"/>
      <c r="M138" s="35"/>
      <c r="N138" s="277"/>
      <c r="O138" s="277"/>
      <c r="P138" s="277"/>
      <c r="Q138" s="277"/>
      <c r="R138" s="277"/>
      <c r="S138" s="277"/>
      <c r="T138" s="277"/>
      <c r="U138" s="277"/>
      <c r="V138" s="277"/>
      <c r="W138" s="277"/>
      <c r="X138" s="35"/>
    </row>
    <row r="139" spans="1:24" x14ac:dyDescent="0.25">
      <c r="A139" s="120"/>
      <c r="B139" s="277"/>
      <c r="C139" s="277"/>
      <c r="D139" s="277"/>
      <c r="E139" s="277"/>
      <c r="F139" s="277"/>
      <c r="G139" s="277"/>
      <c r="H139" s="277"/>
      <c r="I139" s="277"/>
      <c r="J139" s="277"/>
      <c r="K139" s="277"/>
      <c r="L139" s="277"/>
      <c r="M139" s="35"/>
      <c r="N139" s="277"/>
      <c r="O139" s="277"/>
      <c r="P139" s="277"/>
      <c r="Q139" s="277"/>
      <c r="R139" s="277"/>
      <c r="S139" s="277"/>
      <c r="T139" s="277"/>
      <c r="U139" s="277"/>
      <c r="V139" s="277"/>
      <c r="W139" s="277"/>
      <c r="X139" s="35"/>
    </row>
    <row r="140" spans="1:24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</row>
    <row r="141" spans="1:24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</row>
    <row r="142" spans="1:24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</row>
    <row r="143" spans="1:24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</row>
  </sheetData>
  <mergeCells count="4">
    <mergeCell ref="B115:K115"/>
    <mergeCell ref="M115:V115"/>
    <mergeCell ref="F16:H16"/>
    <mergeCell ref="J16:L16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6">
    <tablePart r:id="rId2"/>
    <tablePart r:id="rId3"/>
    <tablePart r:id="rId4"/>
    <tablePart r:id="rId5"/>
    <tablePart r:id="rId6"/>
    <tablePart r:id="rId7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5" tint="0.39997558519241921"/>
  </sheetPr>
  <dimension ref="A1:AY283"/>
  <sheetViews>
    <sheetView showGridLines="0" view="pageBreakPreview" topLeftCell="AB1" zoomScale="80" zoomScaleNormal="55" zoomScaleSheetLayoutView="80" workbookViewId="0">
      <selection activeCell="AW13" sqref="AW13"/>
    </sheetView>
  </sheetViews>
  <sheetFormatPr baseColWidth="10" defaultRowHeight="15" x14ac:dyDescent="0.25"/>
  <cols>
    <col min="1" max="1" width="15.42578125" bestFit="1" customWidth="1"/>
    <col min="2" max="2" width="19" customWidth="1"/>
    <col min="3" max="3" width="12.42578125" bestFit="1" customWidth="1"/>
    <col min="10" max="10" width="19.140625" customWidth="1"/>
    <col min="12" max="12" width="20.28515625" customWidth="1"/>
    <col min="13" max="15" width="13.5703125" bestFit="1" customWidth="1"/>
    <col min="16" max="16" width="13.5703125" customWidth="1"/>
    <col min="20" max="20" width="14.28515625" bestFit="1" customWidth="1"/>
  </cols>
  <sheetData>
    <row r="1" spans="1:46" ht="16.5" x14ac:dyDescent="0.3">
      <c r="A1" s="354" t="s">
        <v>50</v>
      </c>
      <c r="B1" s="354"/>
      <c r="C1" s="354"/>
      <c r="D1" s="354"/>
      <c r="E1" s="354"/>
      <c r="F1" s="354"/>
      <c r="G1" s="354"/>
      <c r="H1" s="354"/>
      <c r="J1" s="354" t="s">
        <v>65</v>
      </c>
      <c r="K1" s="354"/>
      <c r="L1" s="354"/>
      <c r="M1" s="354"/>
      <c r="N1" s="354"/>
      <c r="O1" s="354"/>
      <c r="P1" s="81"/>
      <c r="R1" s="147"/>
      <c r="S1" s="354" t="s">
        <v>54</v>
      </c>
      <c r="T1" s="354"/>
      <c r="U1" s="354"/>
      <c r="V1" s="354"/>
      <c r="W1" s="354"/>
      <c r="X1" s="354"/>
      <c r="Y1" s="354"/>
      <c r="Z1" s="354"/>
      <c r="AC1" s="354" t="s">
        <v>314</v>
      </c>
      <c r="AD1" s="354"/>
      <c r="AE1" s="354"/>
      <c r="AF1" s="354"/>
      <c r="AG1" s="354"/>
      <c r="AH1" s="354"/>
      <c r="AI1" s="354"/>
      <c r="AJ1" s="354"/>
      <c r="AK1" s="354"/>
      <c r="AM1" s="354" t="s">
        <v>247</v>
      </c>
      <c r="AN1" s="354"/>
      <c r="AO1" s="354"/>
      <c r="AP1" s="354"/>
      <c r="AQ1" s="354"/>
      <c r="AR1" s="354"/>
      <c r="AS1" s="354"/>
    </row>
    <row r="2" spans="1:46" x14ac:dyDescent="0.25">
      <c r="R2" s="147"/>
      <c r="Z2" s="19"/>
      <c r="AJ2" s="19"/>
    </row>
    <row r="3" spans="1:46" ht="16.5" x14ac:dyDescent="0.3">
      <c r="A3" s="20" t="s">
        <v>6</v>
      </c>
      <c r="B3" s="20" t="s">
        <v>52</v>
      </c>
      <c r="C3" s="50" t="s">
        <v>156</v>
      </c>
      <c r="D3" s="50" t="s">
        <v>157</v>
      </c>
      <c r="E3" s="50" t="s">
        <v>158</v>
      </c>
      <c r="G3" s="35"/>
      <c r="J3" s="77" t="s">
        <v>71</v>
      </c>
      <c r="K3" s="78" t="s">
        <v>52</v>
      </c>
      <c r="L3" s="78"/>
      <c r="M3" s="50" t="s">
        <v>156</v>
      </c>
      <c r="N3" s="50" t="s">
        <v>157</v>
      </c>
      <c r="O3" s="50" t="s">
        <v>158</v>
      </c>
      <c r="R3" s="147"/>
      <c r="S3" s="77" t="s">
        <v>51</v>
      </c>
      <c r="T3" s="77" t="s">
        <v>493</v>
      </c>
      <c r="AC3" s="77" t="s">
        <v>51</v>
      </c>
      <c r="AD3" s="77" t="s">
        <v>493</v>
      </c>
      <c r="AM3" s="51" t="s">
        <v>335</v>
      </c>
      <c r="AN3" s="51"/>
      <c r="AO3" s="51"/>
      <c r="AP3" s="51"/>
      <c r="AQ3" s="51"/>
      <c r="AR3" s="51"/>
      <c r="AS3" s="51"/>
    </row>
    <row r="4" spans="1:46" x14ac:dyDescent="0.25">
      <c r="A4" s="15">
        <v>1</v>
      </c>
      <c r="B4" s="75">
        <f>C14</f>
        <v>493</v>
      </c>
      <c r="C4" s="15">
        <v>0</v>
      </c>
      <c r="D4" s="86">
        <f>D14</f>
        <v>124</v>
      </c>
      <c r="E4" s="15">
        <v>0</v>
      </c>
      <c r="G4" s="17"/>
      <c r="J4" s="15">
        <v>1</v>
      </c>
      <c r="K4" s="75">
        <v>186</v>
      </c>
      <c r="L4" s="76" t="s">
        <v>73</v>
      </c>
      <c r="M4" s="15">
        <v>0</v>
      </c>
      <c r="N4" s="88">
        <f>N14</f>
        <v>63.611111111111114</v>
      </c>
      <c r="O4" s="15">
        <v>0</v>
      </c>
      <c r="R4" s="147"/>
      <c r="S4" s="15">
        <v>1</v>
      </c>
      <c r="T4" s="75">
        <f>U20</f>
        <v>0.14017253515122555</v>
      </c>
      <c r="U4" s="7" t="s">
        <v>494</v>
      </c>
      <c r="AC4" s="15">
        <v>1</v>
      </c>
      <c r="AD4" s="282">
        <f>AI50</f>
        <v>1251.7283502523328</v>
      </c>
      <c r="AE4" s="7"/>
    </row>
    <row r="5" spans="1:46" x14ac:dyDescent="0.25">
      <c r="A5" s="15">
        <v>2</v>
      </c>
      <c r="B5" s="75">
        <f>C26</f>
        <v>436</v>
      </c>
      <c r="C5" s="15">
        <v>0</v>
      </c>
      <c r="D5" s="86">
        <f>D26</f>
        <v>69</v>
      </c>
      <c r="E5" s="15">
        <v>0</v>
      </c>
      <c r="G5" s="17"/>
      <c r="J5" s="15">
        <v>2</v>
      </c>
      <c r="K5" s="75">
        <v>134</v>
      </c>
      <c r="L5" s="76" t="s">
        <v>74</v>
      </c>
      <c r="M5" s="15">
        <v>0</v>
      </c>
      <c r="N5" s="88">
        <f>N24</f>
        <v>45.972222222222229</v>
      </c>
      <c r="O5" s="15">
        <v>0</v>
      </c>
      <c r="R5" s="147"/>
      <c r="S5" s="15">
        <v>2</v>
      </c>
      <c r="T5" s="75">
        <f>U27</f>
        <v>7.5886499080970324E-2</v>
      </c>
      <c r="AC5" s="15">
        <v>2</v>
      </c>
      <c r="AD5" s="282">
        <f>AI104</f>
        <v>864.56569482800774</v>
      </c>
      <c r="AM5" s="35"/>
    </row>
    <row r="6" spans="1:46" ht="18" x14ac:dyDescent="0.35">
      <c r="A6" s="15">
        <v>3</v>
      </c>
      <c r="B6" s="75">
        <f>C38</f>
        <v>366</v>
      </c>
      <c r="C6" s="15">
        <v>0</v>
      </c>
      <c r="D6" s="86">
        <f>D38</f>
        <v>25</v>
      </c>
      <c r="E6" s="15">
        <v>0</v>
      </c>
      <c r="G6" s="17"/>
      <c r="R6" s="147"/>
      <c r="S6" s="15">
        <v>3</v>
      </c>
      <c r="T6" s="75">
        <f>U34</f>
        <v>4.240224011798132E-2</v>
      </c>
      <c r="AC6" s="15">
        <v>3</v>
      </c>
      <c r="AD6" s="282">
        <f>AI157</f>
        <v>571.00466654426452</v>
      </c>
      <c r="AM6" s="15" t="s">
        <v>347</v>
      </c>
      <c r="AN6" s="149">
        <f>AQ42</f>
        <v>1.4164419733531231</v>
      </c>
      <c r="AO6" s="15" t="s">
        <v>311</v>
      </c>
    </row>
    <row r="7" spans="1:46" ht="18" x14ac:dyDescent="0.35">
      <c r="R7" s="147"/>
      <c r="AC7" s="15">
        <v>4</v>
      </c>
      <c r="AD7" s="282">
        <f>AI210</f>
        <v>350.6411321147188</v>
      </c>
      <c r="AM7" s="15" t="s">
        <v>347</v>
      </c>
      <c r="AN7" s="149">
        <f>AN6*Répartition!K23</f>
        <v>222.44123947728625</v>
      </c>
      <c r="AO7" s="15" t="s">
        <v>348</v>
      </c>
    </row>
    <row r="8" spans="1:46" ht="16.5" x14ac:dyDescent="0.3">
      <c r="A8" s="357" t="s">
        <v>49</v>
      </c>
      <c r="B8" s="357"/>
      <c r="C8" s="357"/>
      <c r="D8" s="357"/>
      <c r="E8" s="357"/>
      <c r="F8" s="357"/>
      <c r="G8" s="357"/>
      <c r="H8" s="357"/>
      <c r="R8" s="147"/>
      <c r="AC8" s="15">
        <v>5</v>
      </c>
      <c r="AD8" s="282">
        <f>AI263</f>
        <v>195.81855094359599</v>
      </c>
    </row>
    <row r="9" spans="1:46" x14ac:dyDescent="0.25">
      <c r="R9" s="147"/>
      <c r="AM9" s="126" t="s">
        <v>215</v>
      </c>
      <c r="AN9" s="126">
        <v>0.35</v>
      </c>
      <c r="AO9" s="17"/>
      <c r="AP9" s="17"/>
    </row>
    <row r="10" spans="1:46" ht="16.5" x14ac:dyDescent="0.3">
      <c r="A10" s="15" t="s">
        <v>6</v>
      </c>
      <c r="B10" s="15" t="s">
        <v>7</v>
      </c>
      <c r="C10" s="15" t="s">
        <v>8</v>
      </c>
      <c r="D10" s="15" t="s">
        <v>167</v>
      </c>
      <c r="E10" s="15" t="s">
        <v>9</v>
      </c>
      <c r="F10" s="15" t="s">
        <v>11</v>
      </c>
      <c r="G10" s="15" t="s">
        <v>10</v>
      </c>
      <c r="H10" s="15"/>
      <c r="J10" s="357" t="s">
        <v>72</v>
      </c>
      <c r="K10" s="357"/>
      <c r="L10" s="357"/>
      <c r="M10" s="357"/>
      <c r="N10" s="357"/>
      <c r="O10" s="357"/>
      <c r="P10" s="80"/>
      <c r="R10" s="147"/>
      <c r="S10" s="357" t="s">
        <v>139</v>
      </c>
      <c r="T10" s="357"/>
      <c r="U10" s="357"/>
      <c r="V10" s="357"/>
      <c r="W10" s="357"/>
      <c r="X10" s="357"/>
      <c r="Y10" s="357"/>
      <c r="Z10" s="357"/>
      <c r="AC10" s="51" t="s">
        <v>53</v>
      </c>
      <c r="AD10" s="51"/>
      <c r="AE10" s="51"/>
      <c r="AF10" s="51"/>
      <c r="AG10" s="51"/>
      <c r="AH10" s="51"/>
      <c r="AI10" s="51"/>
      <c r="AJ10" s="51"/>
      <c r="AK10" s="51"/>
      <c r="AM10" s="126" t="s">
        <v>142</v>
      </c>
      <c r="AN10" s="126">
        <v>1.56</v>
      </c>
      <c r="AO10" s="18"/>
      <c r="AP10" s="17"/>
    </row>
    <row r="11" spans="1:46" x14ac:dyDescent="0.25">
      <c r="A11" s="304">
        <v>1</v>
      </c>
      <c r="B11" s="15">
        <v>15</v>
      </c>
      <c r="C11" s="15">
        <v>189</v>
      </c>
      <c r="D11" s="15">
        <v>0</v>
      </c>
      <c r="E11" s="15">
        <f>0</f>
        <v>0</v>
      </c>
      <c r="F11" s="15">
        <f t="shared" ref="F11:F21" si="0">C11+D11</f>
        <v>189</v>
      </c>
      <c r="G11" s="15">
        <v>27.8</v>
      </c>
      <c r="H11" s="49">
        <f t="shared" ref="H11:H21" si="1">G11/F11</f>
        <v>0.1470899470899471</v>
      </c>
      <c r="R11" s="147"/>
      <c r="S11" s="7" t="s">
        <v>492</v>
      </c>
      <c r="Z11" s="19"/>
      <c r="AC11" s="7" t="s">
        <v>492</v>
      </c>
      <c r="AM11" s="35"/>
      <c r="AN11" s="35"/>
      <c r="AO11" s="79"/>
      <c r="AP11" s="35"/>
    </row>
    <row r="12" spans="1:46" ht="15.75" x14ac:dyDescent="0.25">
      <c r="A12" s="304"/>
      <c r="B12" s="15">
        <v>20</v>
      </c>
      <c r="C12" s="15">
        <v>320</v>
      </c>
      <c r="D12" s="15">
        <v>11</v>
      </c>
      <c r="E12" s="15">
        <f>D12-D11</f>
        <v>11</v>
      </c>
      <c r="F12" s="15">
        <f t="shared" si="0"/>
        <v>331</v>
      </c>
      <c r="G12" s="15">
        <v>29.1</v>
      </c>
      <c r="H12" s="49">
        <f t="shared" si="1"/>
        <v>8.7915407854984903E-2</v>
      </c>
      <c r="J12" s="15" t="s">
        <v>12</v>
      </c>
      <c r="K12" s="15" t="s">
        <v>7</v>
      </c>
      <c r="L12" s="15" t="s">
        <v>13</v>
      </c>
      <c r="M12" s="15" t="s">
        <v>9</v>
      </c>
      <c r="N12" s="15" t="s">
        <v>167</v>
      </c>
      <c r="O12" s="15" t="s">
        <v>8</v>
      </c>
      <c r="P12" s="17"/>
      <c r="R12" s="147"/>
      <c r="Z12" s="19"/>
      <c r="AD12" s="17"/>
      <c r="AE12" s="17"/>
      <c r="AF12" s="17"/>
      <c r="AG12" s="17"/>
      <c r="AM12" s="384"/>
      <c r="AN12" s="384"/>
      <c r="AP12" s="355" t="s">
        <v>346</v>
      </c>
      <c r="AQ12" s="355"/>
      <c r="AS12" s="285" t="s">
        <v>345</v>
      </c>
      <c r="AT12" s="285"/>
    </row>
    <row r="13" spans="1:46" ht="15.75" x14ac:dyDescent="0.25">
      <c r="A13" s="304"/>
      <c r="B13" s="15">
        <v>25</v>
      </c>
      <c r="C13" s="15">
        <v>423</v>
      </c>
      <c r="D13" s="15">
        <v>57</v>
      </c>
      <c r="E13" s="15">
        <f t="shared" ref="E13:E21" si="2">D13-D12</f>
        <v>46</v>
      </c>
      <c r="F13" s="15">
        <f t="shared" si="0"/>
        <v>480</v>
      </c>
      <c r="G13" s="15">
        <v>28.6</v>
      </c>
      <c r="H13" s="49">
        <f t="shared" si="1"/>
        <v>5.9583333333333335E-2</v>
      </c>
      <c r="J13" s="304">
        <v>1</v>
      </c>
      <c r="K13" s="15">
        <v>20</v>
      </c>
      <c r="L13" s="15">
        <v>158</v>
      </c>
      <c r="M13" s="16">
        <f>0.2*O13</f>
        <v>26.333333333333339</v>
      </c>
      <c r="N13" s="16">
        <f>M13</f>
        <v>26.333333333333339</v>
      </c>
      <c r="O13" s="16">
        <f>L13/1.2</f>
        <v>131.66666666666669</v>
      </c>
      <c r="P13" s="18"/>
      <c r="R13" s="147"/>
      <c r="W13" s="35"/>
      <c r="Z13" s="19"/>
      <c r="AC13" s="17"/>
      <c r="AD13" s="17"/>
      <c r="AE13" s="17"/>
      <c r="AF13" s="17"/>
      <c r="AG13" s="17"/>
      <c r="AM13" s="231"/>
      <c r="AN13" s="231"/>
      <c r="AP13" s="231"/>
      <c r="AQ13" s="231"/>
      <c r="AR13" s="35"/>
      <c r="AS13" s="231"/>
      <c r="AT13" s="231"/>
    </row>
    <row r="14" spans="1:46" ht="15.75" x14ac:dyDescent="0.25">
      <c r="A14" s="304"/>
      <c r="B14" s="15">
        <v>30</v>
      </c>
      <c r="C14" s="75">
        <v>493</v>
      </c>
      <c r="D14" s="86">
        <v>124</v>
      </c>
      <c r="E14" s="15">
        <f t="shared" si="2"/>
        <v>67</v>
      </c>
      <c r="F14" s="15">
        <f t="shared" si="0"/>
        <v>617</v>
      </c>
      <c r="G14" s="15">
        <v>26</v>
      </c>
      <c r="H14" s="49">
        <f t="shared" si="1"/>
        <v>4.2139384116693678E-2</v>
      </c>
      <c r="J14" s="304"/>
      <c r="K14" s="15">
        <v>30</v>
      </c>
      <c r="L14" s="15">
        <v>250</v>
      </c>
      <c r="M14" s="16">
        <f>0.2*O14</f>
        <v>37.277777777777779</v>
      </c>
      <c r="N14" s="88">
        <f>M14+N13</f>
        <v>63.611111111111114</v>
      </c>
      <c r="O14" s="74">
        <f>(L14-M13)/1.2</f>
        <v>186.38888888888889</v>
      </c>
      <c r="P14" s="79"/>
      <c r="R14" s="147"/>
      <c r="Z14" s="19"/>
      <c r="AC14" s="92"/>
      <c r="AD14" s="17"/>
      <c r="AE14" s="17"/>
      <c r="AF14" s="17"/>
      <c r="AG14" s="17"/>
      <c r="AM14" s="231"/>
      <c r="AN14" s="385"/>
      <c r="AP14" s="232">
        <f>SUM(AY43:AY50)/30</f>
        <v>32.559118133166265</v>
      </c>
      <c r="AQ14" s="233" t="s">
        <v>344</v>
      </c>
      <c r="AS14" s="232">
        <f>1.03*(AN7-0)</f>
        <v>229.11447666160484</v>
      </c>
      <c r="AT14" s="233" t="s">
        <v>344</v>
      </c>
    </row>
    <row r="15" spans="1:46" ht="16.5" x14ac:dyDescent="0.3">
      <c r="A15" s="304"/>
      <c r="B15" s="15">
        <v>35</v>
      </c>
      <c r="C15" s="15">
        <v>544</v>
      </c>
      <c r="D15" s="15">
        <v>196</v>
      </c>
      <c r="E15" s="15">
        <f t="shared" si="2"/>
        <v>72</v>
      </c>
      <c r="F15" s="15">
        <f t="shared" si="0"/>
        <v>740</v>
      </c>
      <c r="G15" s="15">
        <v>23.2</v>
      </c>
      <c r="H15" s="49">
        <f t="shared" si="1"/>
        <v>3.135135135135135E-2</v>
      </c>
      <c r="J15" s="304"/>
      <c r="K15" s="15">
        <v>40</v>
      </c>
      <c r="L15" s="15">
        <v>350</v>
      </c>
      <c r="M15" s="16">
        <f t="shared" ref="M15:M21" si="3">0.2*O15</f>
        <v>52.120370370370374</v>
      </c>
      <c r="N15" s="16">
        <f t="shared" ref="N15:N21" si="4">M15+N14</f>
        <v>115.7314814814815</v>
      </c>
      <c r="O15" s="16">
        <f t="shared" ref="O15:O21" si="5">(L15-M14)/1.2</f>
        <v>260.60185185185185</v>
      </c>
      <c r="P15" s="79"/>
      <c r="R15" s="147"/>
      <c r="Z15" s="21"/>
      <c r="AC15" s="92"/>
      <c r="AD15" s="17"/>
      <c r="AE15" s="18"/>
      <c r="AF15" s="17"/>
      <c r="AG15" s="17"/>
      <c r="AM15" s="19"/>
      <c r="AN15" s="19"/>
    </row>
    <row r="16" spans="1:46" x14ac:dyDescent="0.25">
      <c r="A16" s="304"/>
      <c r="B16" s="15">
        <v>40</v>
      </c>
      <c r="C16" s="15">
        <v>575</v>
      </c>
      <c r="D16" s="15">
        <v>275</v>
      </c>
      <c r="E16" s="15">
        <f t="shared" si="2"/>
        <v>79</v>
      </c>
      <c r="F16" s="15">
        <f t="shared" si="0"/>
        <v>850</v>
      </c>
      <c r="G16" s="15">
        <v>21.2</v>
      </c>
      <c r="H16" s="49">
        <f t="shared" si="1"/>
        <v>2.4941176470588234E-2</v>
      </c>
      <c r="J16" s="304"/>
      <c r="K16" s="15">
        <v>50</v>
      </c>
      <c r="L16" s="15">
        <v>465</v>
      </c>
      <c r="M16" s="16">
        <f t="shared" si="3"/>
        <v>68.813271604938265</v>
      </c>
      <c r="N16" s="16">
        <f t="shared" si="4"/>
        <v>184.54475308641975</v>
      </c>
      <c r="O16" s="16">
        <f t="shared" si="5"/>
        <v>344.06635802469134</v>
      </c>
      <c r="P16" s="79"/>
      <c r="R16" s="147"/>
      <c r="Z16" s="19"/>
      <c r="AC16" s="92"/>
      <c r="AD16" s="35"/>
      <c r="AE16" s="79"/>
      <c r="AF16" s="35"/>
      <c r="AG16" s="17"/>
    </row>
    <row r="17" spans="1:51" ht="18" x14ac:dyDescent="0.35">
      <c r="A17" s="304"/>
      <c r="B17" s="15">
        <v>45</v>
      </c>
      <c r="C17" s="15">
        <v>595</v>
      </c>
      <c r="D17" s="15">
        <v>358</v>
      </c>
      <c r="E17" s="15">
        <f t="shared" si="2"/>
        <v>83</v>
      </c>
      <c r="F17" s="15">
        <f t="shared" si="0"/>
        <v>953</v>
      </c>
      <c r="G17" s="15">
        <v>19.8</v>
      </c>
      <c r="H17" s="49">
        <f t="shared" si="1"/>
        <v>2.0776495278069254E-2</v>
      </c>
      <c r="J17" s="304"/>
      <c r="K17" s="15">
        <v>60</v>
      </c>
      <c r="L17" s="15">
        <v>600</v>
      </c>
      <c r="M17" s="16">
        <f t="shared" si="3"/>
        <v>88.531121399176982</v>
      </c>
      <c r="N17" s="16">
        <f t="shared" si="4"/>
        <v>273.07587448559673</v>
      </c>
      <c r="O17" s="16">
        <f t="shared" si="5"/>
        <v>442.65560699588485</v>
      </c>
      <c r="P17" s="79"/>
      <c r="R17" s="147"/>
      <c r="S17" s="211" t="s">
        <v>63</v>
      </c>
      <c r="T17" s="15" t="s">
        <v>308</v>
      </c>
      <c r="U17" s="15">
        <f>-0.0014*(30^2)+0.4731*30</f>
        <v>12.933000000000002</v>
      </c>
      <c r="V17" s="15" t="s">
        <v>306</v>
      </c>
      <c r="Z17" s="19"/>
      <c r="AC17" s="92"/>
      <c r="AD17" s="35"/>
      <c r="AE17" s="196"/>
      <c r="AF17" s="35"/>
      <c r="AG17" s="17"/>
      <c r="AM17" s="383" t="s">
        <v>257</v>
      </c>
      <c r="AN17" s="383"/>
      <c r="AO17" s="383"/>
      <c r="AP17" s="383"/>
      <c r="AQ17" s="383"/>
      <c r="AR17" s="383"/>
      <c r="AS17" s="383"/>
      <c r="AU17" s="126" t="s">
        <v>343</v>
      </c>
      <c r="AV17" s="126"/>
      <c r="AW17" s="126"/>
      <c r="AX17" s="126"/>
      <c r="AY17" s="126"/>
    </row>
    <row r="18" spans="1:51" x14ac:dyDescent="0.25">
      <c r="A18" s="304"/>
      <c r="B18" s="15">
        <v>50</v>
      </c>
      <c r="C18" s="15">
        <v>616</v>
      </c>
      <c r="D18" s="15">
        <v>433</v>
      </c>
      <c r="E18" s="15">
        <f t="shared" si="2"/>
        <v>75</v>
      </c>
      <c r="F18" s="15">
        <f t="shared" si="0"/>
        <v>1049</v>
      </c>
      <c r="G18" s="15">
        <v>18.399999999999999</v>
      </c>
      <c r="H18" s="49">
        <f t="shared" si="1"/>
        <v>1.7540514775977119E-2</v>
      </c>
      <c r="J18" s="304"/>
      <c r="K18" s="15">
        <v>70</v>
      </c>
      <c r="L18" s="15">
        <v>755</v>
      </c>
      <c r="M18" s="16">
        <f t="shared" si="3"/>
        <v>111.07814643347052</v>
      </c>
      <c r="N18" s="16">
        <f t="shared" si="4"/>
        <v>384.15402091906725</v>
      </c>
      <c r="O18" s="16">
        <f t="shared" si="5"/>
        <v>555.39073216735255</v>
      </c>
      <c r="P18" s="79"/>
      <c r="R18" s="147"/>
      <c r="S18" s="211"/>
      <c r="T18" s="15" t="s">
        <v>310</v>
      </c>
      <c r="U18" s="15">
        <f>-0.0007*(30^2)+0.577*30</f>
        <v>16.68</v>
      </c>
      <c r="V18" s="15" t="s">
        <v>307</v>
      </c>
    </row>
    <row r="19" spans="1:51" ht="18" x14ac:dyDescent="0.35">
      <c r="A19" s="304"/>
      <c r="B19" s="15">
        <v>55</v>
      </c>
      <c r="C19" s="15">
        <v>639</v>
      </c>
      <c r="D19" s="15">
        <v>499</v>
      </c>
      <c r="E19" s="15">
        <f t="shared" si="2"/>
        <v>66</v>
      </c>
      <c r="F19" s="15">
        <f t="shared" si="0"/>
        <v>1138</v>
      </c>
      <c r="G19" s="15">
        <v>17.3</v>
      </c>
      <c r="H19" s="49">
        <f t="shared" si="1"/>
        <v>1.5202108963093146E-2</v>
      </c>
      <c r="J19" s="304"/>
      <c r="K19" s="15">
        <v>80</v>
      </c>
      <c r="L19" s="15">
        <v>925</v>
      </c>
      <c r="M19" s="16">
        <f t="shared" si="3"/>
        <v>135.65364226108827</v>
      </c>
      <c r="N19" s="16">
        <f t="shared" si="4"/>
        <v>519.80766318015549</v>
      </c>
      <c r="O19" s="16">
        <f t="shared" si="5"/>
        <v>678.26821130544135</v>
      </c>
      <c r="P19" s="79"/>
      <c r="R19" s="147"/>
      <c r="S19" s="211"/>
      <c r="T19" s="50" t="s">
        <v>309</v>
      </c>
      <c r="U19" s="91">
        <f>U18*PI()</f>
        <v>52.401765461877751</v>
      </c>
      <c r="V19" s="50" t="s">
        <v>307</v>
      </c>
      <c r="AC19" s="15" t="s">
        <v>320</v>
      </c>
      <c r="AD19" s="15" t="s">
        <v>495</v>
      </c>
      <c r="AE19" s="15"/>
      <c r="AF19" s="15"/>
      <c r="AG19" s="15"/>
      <c r="AH19" s="15"/>
      <c r="AI19" s="15"/>
      <c r="AM19" s="15" t="s">
        <v>7</v>
      </c>
      <c r="AN19" s="15" t="s">
        <v>249</v>
      </c>
      <c r="AO19" s="15" t="s">
        <v>250</v>
      </c>
      <c r="AP19" s="15" t="s">
        <v>251</v>
      </c>
      <c r="AQ19" s="15" t="s">
        <v>252</v>
      </c>
      <c r="AR19" s="15" t="s">
        <v>253</v>
      </c>
      <c r="AS19" s="15" t="s">
        <v>26</v>
      </c>
      <c r="AU19" s="15"/>
      <c r="AV19" s="356" t="s">
        <v>342</v>
      </c>
      <c r="AW19" s="356"/>
      <c r="AX19" s="128" t="s">
        <v>341</v>
      </c>
      <c r="AY19" s="128" t="s">
        <v>340</v>
      </c>
    </row>
    <row r="20" spans="1:51" ht="18.75" x14ac:dyDescent="0.35">
      <c r="A20" s="304"/>
      <c r="B20" s="15">
        <v>60</v>
      </c>
      <c r="C20" s="15">
        <v>659</v>
      </c>
      <c r="D20" s="15">
        <v>563</v>
      </c>
      <c r="E20" s="15">
        <f t="shared" si="2"/>
        <v>64</v>
      </c>
      <c r="F20" s="15">
        <f t="shared" si="0"/>
        <v>1222</v>
      </c>
      <c r="G20" s="15">
        <v>16.600000000000001</v>
      </c>
      <c r="H20" s="49">
        <f t="shared" si="1"/>
        <v>1.358428805237316E-2</v>
      </c>
      <c r="J20" s="304"/>
      <c r="K20" s="15">
        <v>90</v>
      </c>
      <c r="L20" s="15">
        <v>1100</v>
      </c>
      <c r="M20" s="16">
        <f t="shared" si="3"/>
        <v>160.7243929564853</v>
      </c>
      <c r="N20" s="16">
        <f t="shared" si="4"/>
        <v>680.53205613664079</v>
      </c>
      <c r="O20" s="16">
        <f t="shared" si="5"/>
        <v>803.6219647824264</v>
      </c>
      <c r="P20" s="79"/>
      <c r="R20" s="147"/>
      <c r="S20" s="211"/>
      <c r="T20" s="50" t="s">
        <v>313</v>
      </c>
      <c r="U20" s="75">
        <f>(0.496*U17*(U19/100)^2)/(4*PI())</f>
        <v>0.14017253515122555</v>
      </c>
      <c r="V20" s="50" t="s">
        <v>312</v>
      </c>
      <c r="AC20" s="15" t="s">
        <v>7</v>
      </c>
      <c r="AD20" s="15" t="s">
        <v>496</v>
      </c>
      <c r="AE20" s="15" t="s">
        <v>497</v>
      </c>
      <c r="AF20" s="15" t="s">
        <v>498</v>
      </c>
      <c r="AG20" s="15" t="s">
        <v>499</v>
      </c>
      <c r="AH20" s="15" t="s">
        <v>500</v>
      </c>
      <c r="AI20" s="15" t="s">
        <v>501</v>
      </c>
      <c r="AM20" s="15">
        <v>1</v>
      </c>
      <c r="AN20" s="15">
        <f>-0.0133*AM20^3+0.2041*AM20^2+9.3024*AM20</f>
        <v>9.4931999999999999</v>
      </c>
      <c r="AO20" s="16">
        <f>AN20/PI()</f>
        <v>3.0217794115199617</v>
      </c>
      <c r="AP20" s="15">
        <v>3.5</v>
      </c>
      <c r="AQ20" s="149">
        <f>0.496*(AP20*(AN20/100)^2)/(4*PI())</f>
        <v>1.2449878638297527E-3</v>
      </c>
      <c r="AR20" s="150">
        <f>AQ20*Répartition!$K$23</f>
        <v>0.19551569974227809</v>
      </c>
      <c r="AS20" s="124">
        <f>IF(AR20&gt;0,(((AR20*AN$9*AN$10) +EXP(-1.0587+(0.8836*LN(AR20*AN$9*AN$10))+0.284))*0.475+70+10)*(44/12),0)</f>
        <v>293.63042924717399</v>
      </c>
      <c r="AU20" s="15" t="s">
        <v>339</v>
      </c>
      <c r="AV20" s="15" t="s">
        <v>338</v>
      </c>
      <c r="AW20" s="15" t="s">
        <v>337</v>
      </c>
      <c r="AX20" s="15" t="s">
        <v>337</v>
      </c>
      <c r="AY20" s="15"/>
    </row>
    <row r="21" spans="1:51" x14ac:dyDescent="0.25">
      <c r="A21" s="304"/>
      <c r="B21" s="15">
        <v>65</v>
      </c>
      <c r="C21" s="15">
        <v>671</v>
      </c>
      <c r="D21" s="15">
        <v>633</v>
      </c>
      <c r="E21" s="15">
        <f t="shared" si="2"/>
        <v>70</v>
      </c>
      <c r="F21" s="15">
        <f t="shared" si="0"/>
        <v>1304</v>
      </c>
      <c r="G21" s="15">
        <v>16.100000000000001</v>
      </c>
      <c r="H21" s="49">
        <f t="shared" si="1"/>
        <v>1.2346625766871167E-2</v>
      </c>
      <c r="J21" s="304"/>
      <c r="K21" s="15">
        <v>100</v>
      </c>
      <c r="L21" s="15">
        <v>1285</v>
      </c>
      <c r="M21" s="16">
        <f t="shared" si="3"/>
        <v>187.37926784058584</v>
      </c>
      <c r="N21" s="16">
        <f t="shared" si="4"/>
        <v>867.91132397722663</v>
      </c>
      <c r="O21" s="16">
        <f t="shared" si="5"/>
        <v>936.89633920292908</v>
      </c>
      <c r="P21" s="79"/>
      <c r="R21" s="147"/>
      <c r="AC21" s="15">
        <v>1</v>
      </c>
      <c r="AD21" s="15">
        <f>-0.0289*AC21^2+4.654*AC21</f>
        <v>4.6250999999999998</v>
      </c>
      <c r="AE21" s="15">
        <f>AD21/PI()</f>
        <v>1.4722150545886503</v>
      </c>
      <c r="AF21" s="15">
        <f>-0.0133*AC21^2+1.309*AC21</f>
        <v>1.2956999999999999</v>
      </c>
      <c r="AG21" s="15">
        <v>1600</v>
      </c>
      <c r="AH21" s="15">
        <f>0.496*(AF21*(AD21/100)^2)/(4*PI())</f>
        <v>1.0940030316213731E-4</v>
      </c>
      <c r="AI21" s="15">
        <f>AH21*AG21</f>
        <v>0.17504048505941969</v>
      </c>
      <c r="AM21" s="15">
        <v>2</v>
      </c>
      <c r="AN21" s="15">
        <f t="shared" ref="AN21:AN42" si="6">-0.0133*AM21^3+0.2041*AM21^2+9.3024*AM21</f>
        <v>19.314800000000002</v>
      </c>
      <c r="AO21" s="16">
        <f>AN21/PI()</f>
        <v>6.148091789662681</v>
      </c>
      <c r="AP21" s="15">
        <v>4</v>
      </c>
      <c r="AQ21" s="149">
        <f>0.496*(AP21*(AN21/100)^2)/(4*PI())</f>
        <v>5.8899584996292467E-3</v>
      </c>
      <c r="AR21" s="150">
        <f>AQ21*Répartition!$K$23</f>
        <v>0.92497235592769167</v>
      </c>
      <c r="AS21" s="124">
        <f t="shared" ref="AS21:AS42" si="7">IF(AR21&gt;0,(((AR21*AN$9*AN$10) +EXP(-1.0587+(0.8836*LN(AR21*AN$9*AN$10))+0.284))*0.475+70+10)*(44/12),0)</f>
        <v>294.65184217188664</v>
      </c>
      <c r="AU21" s="15">
        <v>1</v>
      </c>
      <c r="AV21" s="15">
        <v>0</v>
      </c>
      <c r="AW21" s="15">
        <v>0</v>
      </c>
      <c r="AX21" s="15">
        <v>0</v>
      </c>
      <c r="AY21" s="15">
        <f t="shared" ref="AY21:AY50" si="8">AV21+AW21-AX21</f>
        <v>0</v>
      </c>
    </row>
    <row r="22" spans="1:51" x14ac:dyDescent="0.25">
      <c r="P22" s="19"/>
      <c r="R22" s="147"/>
      <c r="AC22" s="15">
        <v>2</v>
      </c>
      <c r="AD22" s="15">
        <f t="shared" ref="AD22:AD70" si="9">-0.0289*AC22^2+4.654*AC22</f>
        <v>9.1923999999999992</v>
      </c>
      <c r="AE22" s="15">
        <f t="shared" ref="AE22:AE70" si="10">AD22/PI()</f>
        <v>2.9260317977558774</v>
      </c>
      <c r="AF22" s="15">
        <f t="shared" ref="AF22:AF70" si="11">-0.0133*AC22^2+1.309*AC22</f>
        <v>2.5648</v>
      </c>
      <c r="AG22" s="15">
        <v>1600</v>
      </c>
      <c r="AH22" s="15">
        <f t="shared" ref="AH22:AH70" si="12">0.496*(AF22*(AD22/100)^2)/(4*PI())</f>
        <v>8.554273777231135E-4</v>
      </c>
      <c r="AI22" s="15">
        <f t="shared" ref="AI22:AI70" si="13">AH22*AG22</f>
        <v>1.3686838043569816</v>
      </c>
      <c r="AM22" s="15">
        <v>3</v>
      </c>
      <c r="AN22" s="15">
        <f t="shared" si="6"/>
        <v>29.385000000000002</v>
      </c>
      <c r="AO22" s="16">
        <f>AN22/PI()</f>
        <v>9.3535360055106889</v>
      </c>
      <c r="AP22" s="15">
        <v>4.5</v>
      </c>
      <c r="AQ22" s="149">
        <f>0.496*(AP22*(AN22/100)^2)/(4*PI())</f>
        <v>1.5336833978123784E-2</v>
      </c>
      <c r="AR22" s="150">
        <f>AQ22*Répartition!$K$23</f>
        <v>2.4085309698039468</v>
      </c>
      <c r="AS22" s="124">
        <f t="shared" si="7"/>
        <v>296.64611634374324</v>
      </c>
      <c r="AU22" s="15">
        <v>2</v>
      </c>
      <c r="AV22" s="15">
        <v>0</v>
      </c>
      <c r="AW22" s="15">
        <v>0</v>
      </c>
      <c r="AX22" s="15">
        <v>0</v>
      </c>
      <c r="AY22" s="15">
        <f t="shared" si="8"/>
        <v>0</v>
      </c>
    </row>
    <row r="23" spans="1:51" x14ac:dyDescent="0.25">
      <c r="A23" s="304">
        <v>2</v>
      </c>
      <c r="B23" s="15">
        <v>15</v>
      </c>
      <c r="C23" s="15">
        <v>126</v>
      </c>
      <c r="D23" s="15">
        <v>0</v>
      </c>
      <c r="E23" s="15">
        <f>0</f>
        <v>0</v>
      </c>
      <c r="F23" s="15">
        <f t="shared" ref="F23:F33" si="14">C23+D23</f>
        <v>126</v>
      </c>
      <c r="G23" s="15">
        <v>21.8</v>
      </c>
      <c r="H23" s="49">
        <f t="shared" ref="H23:H33" si="15">G23/F23</f>
        <v>0.17301587301587301</v>
      </c>
      <c r="J23" s="304">
        <v>2</v>
      </c>
      <c r="K23" s="15">
        <v>20</v>
      </c>
      <c r="L23" s="15">
        <v>115</v>
      </c>
      <c r="M23" s="16">
        <f>0.2*O23</f>
        <v>19.166666666666668</v>
      </c>
      <c r="N23" s="16">
        <f>M23</f>
        <v>19.166666666666668</v>
      </c>
      <c r="O23" s="16">
        <f>L23/1.2</f>
        <v>95.833333333333343</v>
      </c>
      <c r="P23" s="79"/>
      <c r="R23" s="147"/>
      <c r="AC23" s="15">
        <v>3</v>
      </c>
      <c r="AD23" s="15">
        <f t="shared" si="9"/>
        <v>13.7019</v>
      </c>
      <c r="AE23" s="15">
        <f t="shared" si="10"/>
        <v>4.3614502295016813</v>
      </c>
      <c r="AF23" s="15">
        <f t="shared" si="11"/>
        <v>3.8072999999999997</v>
      </c>
      <c r="AG23" s="15">
        <v>1600</v>
      </c>
      <c r="AH23" s="15">
        <f t="shared" si="12"/>
        <v>2.8213079880910923E-3</v>
      </c>
      <c r="AI23" s="15">
        <f t="shared" si="13"/>
        <v>4.5140927809457478</v>
      </c>
      <c r="AM23" s="15">
        <v>4</v>
      </c>
      <c r="AN23" s="15">
        <f t="shared" si="6"/>
        <v>39.624000000000002</v>
      </c>
      <c r="AO23" s="16">
        <f>AN23/PI()</f>
        <v>12.612710930146523</v>
      </c>
      <c r="AP23" s="15">
        <v>7</v>
      </c>
      <c r="AQ23" s="149">
        <f>0.496*(AP23*(AN23/100)^2)/(4*PI())</f>
        <v>4.3379693825383724E-2</v>
      </c>
      <c r="AR23" s="150">
        <f>AQ23*Répartition!$K$23</f>
        <v>6.8124448753947684</v>
      </c>
      <c r="AS23" s="124">
        <f t="shared" si="7"/>
        <v>302.37379256046927</v>
      </c>
      <c r="AU23" s="15">
        <v>3</v>
      </c>
      <c r="AV23" s="15">
        <v>0</v>
      </c>
      <c r="AW23" s="15">
        <v>0</v>
      </c>
      <c r="AX23" s="15">
        <v>0</v>
      </c>
      <c r="AY23" s="15">
        <f t="shared" si="8"/>
        <v>0</v>
      </c>
    </row>
    <row r="24" spans="1:51" ht="18" x14ac:dyDescent="0.35">
      <c r="A24" s="304"/>
      <c r="B24" s="15">
        <v>20</v>
      </c>
      <c r="C24" s="15">
        <v>238</v>
      </c>
      <c r="D24" s="15">
        <v>0</v>
      </c>
      <c r="E24" s="15">
        <f>D24-D23</f>
        <v>0</v>
      </c>
      <c r="F24" s="15">
        <f t="shared" si="14"/>
        <v>238</v>
      </c>
      <c r="G24" s="15">
        <v>24.5</v>
      </c>
      <c r="H24" s="49">
        <f t="shared" si="15"/>
        <v>0.10294117647058823</v>
      </c>
      <c r="J24" s="304"/>
      <c r="K24" s="15">
        <v>30</v>
      </c>
      <c r="L24" s="15">
        <v>180</v>
      </c>
      <c r="M24" s="16">
        <f>0.2*O24</f>
        <v>26.805555555555561</v>
      </c>
      <c r="N24" s="88">
        <f>M24+N23</f>
        <v>45.972222222222229</v>
      </c>
      <c r="O24" s="74">
        <f>(L24-M23)/1.2</f>
        <v>134.0277777777778</v>
      </c>
      <c r="P24" s="79"/>
      <c r="R24" s="147"/>
      <c r="S24" s="279" t="s">
        <v>104</v>
      </c>
      <c r="T24" s="15" t="s">
        <v>308</v>
      </c>
      <c r="U24" s="15">
        <f>-0.001*(30^2)+0.3855*30</f>
        <v>10.664999999999999</v>
      </c>
      <c r="V24" s="15" t="s">
        <v>306</v>
      </c>
      <c r="AC24" s="15">
        <v>4</v>
      </c>
      <c r="AD24" s="15">
        <f t="shared" si="9"/>
        <v>18.153600000000001</v>
      </c>
      <c r="AE24" s="15">
        <f t="shared" si="10"/>
        <v>5.7784703498260628</v>
      </c>
      <c r="AF24" s="15">
        <f t="shared" si="11"/>
        <v>5.0232000000000001</v>
      </c>
      <c r="AG24" s="15">
        <v>1600</v>
      </c>
      <c r="AH24" s="15">
        <f t="shared" si="12"/>
        <v>6.5339800825594298E-3</v>
      </c>
      <c r="AI24" s="15">
        <f t="shared" si="13"/>
        <v>10.454368132095087</v>
      </c>
      <c r="AM24" s="15">
        <v>5</v>
      </c>
      <c r="AN24" s="15">
        <f t="shared" si="6"/>
        <v>49.951999999999998</v>
      </c>
      <c r="AO24" s="16">
        <f>AN24/PI()</f>
        <v>15.900215434652711</v>
      </c>
      <c r="AP24" s="15">
        <v>9</v>
      </c>
      <c r="AQ24" s="149">
        <f>0.496*(AP24*(AN24/100)^2)/(4*PI())</f>
        <v>8.8638027851321785E-2</v>
      </c>
      <c r="AR24" s="150">
        <f>AQ24*Répartition!$K$23</f>
        <v>13.919915641439973</v>
      </c>
      <c r="AS24" s="124">
        <f t="shared" si="7"/>
        <v>311.38793388901553</v>
      </c>
      <c r="AU24" s="15">
        <v>4</v>
      </c>
      <c r="AV24" s="15">
        <v>0</v>
      </c>
      <c r="AW24" s="15">
        <v>0</v>
      </c>
      <c r="AX24" s="15">
        <v>0</v>
      </c>
      <c r="AY24" s="15">
        <f t="shared" si="8"/>
        <v>0</v>
      </c>
    </row>
    <row r="25" spans="1:51" x14ac:dyDescent="0.25">
      <c r="A25" s="304"/>
      <c r="B25" s="15">
        <v>25</v>
      </c>
      <c r="C25" s="15">
        <v>351</v>
      </c>
      <c r="D25" s="15">
        <v>21</v>
      </c>
      <c r="E25" s="15">
        <f t="shared" ref="E25:E33" si="16">D25-D24</f>
        <v>21</v>
      </c>
      <c r="F25" s="15">
        <f t="shared" si="14"/>
        <v>372</v>
      </c>
      <c r="G25" s="15">
        <v>26.7</v>
      </c>
      <c r="H25" s="49">
        <f t="shared" si="15"/>
        <v>7.17741935483871E-2</v>
      </c>
      <c r="J25" s="304"/>
      <c r="K25" s="15">
        <v>40</v>
      </c>
      <c r="L25" s="15">
        <v>250</v>
      </c>
      <c r="M25" s="16">
        <f t="shared" ref="M25:M31" si="17">0.2*O25</f>
        <v>37.199074074074069</v>
      </c>
      <c r="N25" s="16">
        <f t="shared" ref="N25:N31" si="18">M25+N24</f>
        <v>83.171296296296305</v>
      </c>
      <c r="O25" s="16">
        <f t="shared" ref="O25:O31" si="19">(L25-M24)/1.2</f>
        <v>185.99537037037035</v>
      </c>
      <c r="P25" s="18"/>
      <c r="R25" s="147"/>
      <c r="S25" s="280"/>
      <c r="T25" s="15" t="s">
        <v>310</v>
      </c>
      <c r="U25" s="150">
        <f>-0.0004*30^2 + 0.4625*30</f>
        <v>13.515000000000001</v>
      </c>
      <c r="V25" s="15" t="s">
        <v>307</v>
      </c>
      <c r="AC25" s="15">
        <v>5</v>
      </c>
      <c r="AD25" s="15">
        <f t="shared" si="9"/>
        <v>22.547499999999999</v>
      </c>
      <c r="AE25" s="15">
        <f t="shared" si="10"/>
        <v>7.1770921587290202</v>
      </c>
      <c r="AF25" s="15">
        <f t="shared" si="11"/>
        <v>6.2125000000000004</v>
      </c>
      <c r="AG25" s="15">
        <v>1600</v>
      </c>
      <c r="AH25" s="15">
        <f t="shared" si="12"/>
        <v>1.2466226271559289E-2</v>
      </c>
      <c r="AI25" s="15">
        <f t="shared" si="13"/>
        <v>19.945962034494862</v>
      </c>
      <c r="AM25" s="15">
        <v>6</v>
      </c>
      <c r="AN25" s="15">
        <f t="shared" si="6"/>
        <v>60.289200000000008</v>
      </c>
      <c r="AO25" s="16">
        <f>AN25/PI()</f>
        <v>19.190648390111797</v>
      </c>
      <c r="AP25" s="151">
        <v>10</v>
      </c>
      <c r="AQ25" s="149">
        <f>0.496*(AP25*(AN25/100)^2)/(4*PI())</f>
        <v>0.14346661602621993</v>
      </c>
      <c r="AR25" s="150">
        <f>AQ25*Répartition!$K$23</f>
        <v>22.53032068580778</v>
      </c>
      <c r="AS25" s="124">
        <f t="shared" si="7"/>
        <v>322.13088890454083</v>
      </c>
      <c r="AU25" s="15">
        <v>5</v>
      </c>
      <c r="AV25" s="15">
        <v>0</v>
      </c>
      <c r="AW25" s="15">
        <v>0</v>
      </c>
      <c r="AX25" s="15">
        <v>0</v>
      </c>
      <c r="AY25" s="15">
        <f t="shared" si="8"/>
        <v>0</v>
      </c>
    </row>
    <row r="26" spans="1:51" ht="18" x14ac:dyDescent="0.35">
      <c r="A26" s="304"/>
      <c r="B26" s="15">
        <v>30</v>
      </c>
      <c r="C26" s="75">
        <v>436</v>
      </c>
      <c r="D26" s="86">
        <v>69</v>
      </c>
      <c r="E26" s="15">
        <f t="shared" si="16"/>
        <v>48</v>
      </c>
      <c r="F26" s="15">
        <f t="shared" si="14"/>
        <v>505</v>
      </c>
      <c r="G26" s="15">
        <v>25.6</v>
      </c>
      <c r="H26" s="49">
        <f t="shared" si="15"/>
        <v>5.0693069306930696E-2</v>
      </c>
      <c r="J26" s="304"/>
      <c r="K26" s="15">
        <v>50</v>
      </c>
      <c r="L26" s="15">
        <v>320</v>
      </c>
      <c r="M26" s="16">
        <f t="shared" si="17"/>
        <v>47.133487654320987</v>
      </c>
      <c r="N26" s="16">
        <f t="shared" si="18"/>
        <v>130.30478395061729</v>
      </c>
      <c r="O26" s="16">
        <f t="shared" si="19"/>
        <v>235.66743827160494</v>
      </c>
      <c r="P26" s="18"/>
      <c r="R26" s="147"/>
      <c r="S26" s="280"/>
      <c r="T26" s="50" t="s">
        <v>309</v>
      </c>
      <c r="U26" s="91">
        <f>U25*PI()</f>
        <v>42.458624713266055</v>
      </c>
      <c r="V26" s="50" t="s">
        <v>307</v>
      </c>
      <c r="AC26" s="15">
        <v>6</v>
      </c>
      <c r="AD26" s="15">
        <f t="shared" si="9"/>
        <v>26.883600000000001</v>
      </c>
      <c r="AE26" s="15">
        <f t="shared" si="10"/>
        <v>8.5573156562105552</v>
      </c>
      <c r="AF26" s="15">
        <f t="shared" si="11"/>
        <v>7.3751999999999995</v>
      </c>
      <c r="AG26" s="15">
        <v>1600</v>
      </c>
      <c r="AH26" s="15">
        <f t="shared" si="12"/>
        <v>2.1038775737580288E-2</v>
      </c>
      <c r="AI26" s="15">
        <f t="shared" si="13"/>
        <v>33.662041180128462</v>
      </c>
      <c r="AM26" s="15">
        <v>7</v>
      </c>
      <c r="AN26" s="15">
        <f t="shared" si="6"/>
        <v>70.555800000000005</v>
      </c>
      <c r="AO26" s="16">
        <f>AN26/PI()</f>
        <v>22.458608667606299</v>
      </c>
      <c r="AP26" s="151">
        <v>10</v>
      </c>
      <c r="AQ26" s="149">
        <f>0.496*(AP26*(AN26/100)^2)/(4*PI())</f>
        <v>0.19648855257730716</v>
      </c>
      <c r="AR26" s="150">
        <f>AQ26*Répartition!$K$23</f>
        <v>30.857005087844719</v>
      </c>
      <c r="AS26" s="124">
        <f t="shared" si="7"/>
        <v>332.41085107445474</v>
      </c>
      <c r="AU26" s="15">
        <v>6</v>
      </c>
      <c r="AV26" s="15">
        <v>0</v>
      </c>
      <c r="AW26" s="15">
        <v>0</v>
      </c>
      <c r="AX26" s="15">
        <v>0</v>
      </c>
      <c r="AY26" s="15">
        <f t="shared" si="8"/>
        <v>0</v>
      </c>
    </row>
    <row r="27" spans="1:51" ht="18.75" x14ac:dyDescent="0.35">
      <c r="A27" s="304"/>
      <c r="B27" s="15">
        <v>35</v>
      </c>
      <c r="C27" s="15">
        <v>498</v>
      </c>
      <c r="D27" s="15">
        <v>130</v>
      </c>
      <c r="E27" s="15">
        <f t="shared" si="16"/>
        <v>61</v>
      </c>
      <c r="F27" s="15">
        <f t="shared" si="14"/>
        <v>628</v>
      </c>
      <c r="G27" s="15">
        <v>23.2</v>
      </c>
      <c r="H27" s="49">
        <f t="shared" si="15"/>
        <v>3.6942675159235668E-2</v>
      </c>
      <c r="J27" s="304"/>
      <c r="K27" s="15">
        <v>60</v>
      </c>
      <c r="L27" s="15">
        <v>400</v>
      </c>
      <c r="M27" s="16">
        <f t="shared" si="17"/>
        <v>58.811085390946509</v>
      </c>
      <c r="N27" s="16">
        <f t="shared" si="18"/>
        <v>189.11586934156381</v>
      </c>
      <c r="O27" s="16">
        <f t="shared" si="19"/>
        <v>294.05542695473252</v>
      </c>
      <c r="P27" s="18"/>
      <c r="R27" s="147"/>
      <c r="S27" s="281"/>
      <c r="T27" s="50" t="s">
        <v>313</v>
      </c>
      <c r="U27" s="75">
        <f>(0.496*U24*(U26/100)^2)/(4*PI())</f>
        <v>7.5886499080970324E-2</v>
      </c>
      <c r="V27" s="50" t="s">
        <v>312</v>
      </c>
      <c r="AC27" s="15">
        <v>7</v>
      </c>
      <c r="AD27" s="15">
        <f t="shared" si="9"/>
        <v>31.161900000000003</v>
      </c>
      <c r="AE27" s="15">
        <f t="shared" si="10"/>
        <v>9.9191408422706679</v>
      </c>
      <c r="AF27" s="15">
        <f t="shared" si="11"/>
        <v>8.5113000000000003</v>
      </c>
      <c r="AG27" s="15">
        <v>1600</v>
      </c>
      <c r="AH27" s="15">
        <f t="shared" si="12"/>
        <v>3.2622374576759101E-2</v>
      </c>
      <c r="AI27" s="15">
        <f t="shared" si="13"/>
        <v>52.195799322814565</v>
      </c>
      <c r="AM27" s="15">
        <v>8</v>
      </c>
      <c r="AN27" s="15">
        <f t="shared" si="6"/>
        <v>80.671999999999997</v>
      </c>
      <c r="AO27" s="16">
        <f>AN27/PI()</f>
        <v>25.67869513821876</v>
      </c>
      <c r="AP27" s="151">
        <v>10</v>
      </c>
      <c r="AQ27" s="149">
        <f>0.496*(AP27*(AN27/100)^2)/(4*PI())</f>
        <v>0.25687241007960759</v>
      </c>
      <c r="AR27" s="150">
        <f>AQ27*Répartition!$K$23</f>
        <v>40.339822146304577</v>
      </c>
      <c r="AS27" s="124">
        <f t="shared" si="7"/>
        <v>344.02914394134024</v>
      </c>
      <c r="AU27" s="15">
        <v>7</v>
      </c>
      <c r="AV27" s="15">
        <v>0</v>
      </c>
      <c r="AW27" s="15">
        <v>0</v>
      </c>
      <c r="AX27" s="15">
        <v>0</v>
      </c>
      <c r="AY27" s="15">
        <f t="shared" si="8"/>
        <v>0</v>
      </c>
    </row>
    <row r="28" spans="1:51" x14ac:dyDescent="0.25">
      <c r="A28" s="304"/>
      <c r="B28" s="15">
        <v>40</v>
      </c>
      <c r="C28" s="15">
        <v>543</v>
      </c>
      <c r="D28" s="15">
        <v>195</v>
      </c>
      <c r="E28" s="15">
        <f t="shared" si="16"/>
        <v>65</v>
      </c>
      <c r="F28" s="15">
        <f t="shared" si="14"/>
        <v>738</v>
      </c>
      <c r="G28" s="15">
        <v>20.8</v>
      </c>
      <c r="H28" s="49">
        <f t="shared" si="15"/>
        <v>2.8184281842818428E-2</v>
      </c>
      <c r="J28" s="304"/>
      <c r="K28" s="15">
        <v>70</v>
      </c>
      <c r="L28" s="15">
        <v>475</v>
      </c>
      <c r="M28" s="16">
        <f t="shared" si="17"/>
        <v>69.364819101508928</v>
      </c>
      <c r="N28" s="16">
        <f t="shared" si="18"/>
        <v>258.48068844307272</v>
      </c>
      <c r="O28" s="16">
        <f t="shared" si="19"/>
        <v>346.8240955075446</v>
      </c>
      <c r="P28" s="18"/>
      <c r="R28" s="147"/>
      <c r="AC28" s="15">
        <v>8</v>
      </c>
      <c r="AD28" s="15">
        <f t="shared" si="9"/>
        <v>35.382399999999997</v>
      </c>
      <c r="AE28" s="15">
        <f t="shared" si="10"/>
        <v>11.262567716909354</v>
      </c>
      <c r="AF28" s="15">
        <f t="shared" si="11"/>
        <v>9.6207999999999991</v>
      </c>
      <c r="AG28" s="15">
        <v>1600</v>
      </c>
      <c r="AH28" s="15">
        <f t="shared" si="12"/>
        <v>4.7539824572136014E-2</v>
      </c>
      <c r="AI28" s="15">
        <f t="shared" si="13"/>
        <v>76.063719315417615</v>
      </c>
      <c r="AM28" s="15">
        <v>9</v>
      </c>
      <c r="AN28" s="15">
        <f t="shared" si="6"/>
        <v>90.558000000000007</v>
      </c>
      <c r="AO28" s="16">
        <f>AN28/PI()</f>
        <v>28.825506673031718</v>
      </c>
      <c r="AP28" s="151">
        <v>10</v>
      </c>
      <c r="AQ28" s="149">
        <f>0.496*(AP28*(AN28/100)^2)/(4*PI())</f>
        <v>0.32368714892875433</v>
      </c>
      <c r="AR28" s="150">
        <f>AQ28*Répartition!$K$23</f>
        <v>50.832559303600156</v>
      </c>
      <c r="AS28" s="124">
        <f t="shared" si="7"/>
        <v>356.80285681604897</v>
      </c>
      <c r="AU28" s="15">
        <v>8</v>
      </c>
      <c r="AV28" s="15">
        <v>0</v>
      </c>
      <c r="AW28" s="15">
        <v>0</v>
      </c>
      <c r="AX28" s="15">
        <v>0</v>
      </c>
      <c r="AY28" s="15">
        <f t="shared" si="8"/>
        <v>0</v>
      </c>
    </row>
    <row r="29" spans="1:51" x14ac:dyDescent="0.25">
      <c r="A29" s="304"/>
      <c r="B29" s="15">
        <v>45</v>
      </c>
      <c r="C29" s="15">
        <v>572</v>
      </c>
      <c r="D29" s="15">
        <v>264</v>
      </c>
      <c r="E29" s="15">
        <f t="shared" si="16"/>
        <v>69</v>
      </c>
      <c r="F29" s="15">
        <f t="shared" si="14"/>
        <v>836</v>
      </c>
      <c r="G29" s="15">
        <v>18.899999999999999</v>
      </c>
      <c r="H29" s="49">
        <f t="shared" si="15"/>
        <v>2.2607655502392344E-2</v>
      </c>
      <c r="J29" s="304"/>
      <c r="K29" s="15">
        <v>80</v>
      </c>
      <c r="L29" s="15">
        <v>552</v>
      </c>
      <c r="M29" s="16">
        <f t="shared" si="17"/>
        <v>80.439196816415176</v>
      </c>
      <c r="N29" s="16">
        <f t="shared" si="18"/>
        <v>338.9198852594879</v>
      </c>
      <c r="O29" s="16">
        <f t="shared" si="19"/>
        <v>402.19598408207588</v>
      </c>
      <c r="P29" s="18"/>
      <c r="R29" s="147"/>
      <c r="AC29" s="15">
        <v>9</v>
      </c>
      <c r="AD29" s="15">
        <f t="shared" si="9"/>
        <v>39.545099999999998</v>
      </c>
      <c r="AE29" s="15">
        <f t="shared" si="10"/>
        <v>12.58759628012662</v>
      </c>
      <c r="AF29" s="15">
        <f t="shared" si="11"/>
        <v>10.7037</v>
      </c>
      <c r="AG29" s="15">
        <v>1600</v>
      </c>
      <c r="AH29" s="15">
        <f t="shared" si="12"/>
        <v>6.606799039857976E-2</v>
      </c>
      <c r="AI29" s="15">
        <f t="shared" si="13"/>
        <v>105.70878463772762</v>
      </c>
      <c r="AM29" s="15">
        <v>10</v>
      </c>
      <c r="AN29" s="15">
        <f t="shared" si="6"/>
        <v>100.134</v>
      </c>
      <c r="AO29" s="16">
        <f>AN29/PI()</f>
        <v>31.873642143127697</v>
      </c>
      <c r="AP29" s="151">
        <v>10</v>
      </c>
      <c r="AQ29" s="149">
        <f>0.496*(AP29*(AN29/100)^2)/(4*PI())</f>
        <v>0.39576277501263363</v>
      </c>
      <c r="AR29" s="150">
        <f>AQ29*Répartition!$K$23</f>
        <v>62.151478047758673</v>
      </c>
      <c r="AS29" s="124">
        <f t="shared" si="7"/>
        <v>370.50778275972192</v>
      </c>
      <c r="AU29" s="15">
        <v>9</v>
      </c>
      <c r="AV29" s="15">
        <v>0</v>
      </c>
      <c r="AW29" s="15">
        <v>0</v>
      </c>
      <c r="AX29" s="15">
        <v>0</v>
      </c>
      <c r="AY29" s="15">
        <f t="shared" si="8"/>
        <v>0</v>
      </c>
    </row>
    <row r="30" spans="1:51" x14ac:dyDescent="0.25">
      <c r="A30" s="304"/>
      <c r="B30" s="15">
        <v>50</v>
      </c>
      <c r="C30" s="15">
        <v>590</v>
      </c>
      <c r="D30" s="15">
        <v>337</v>
      </c>
      <c r="E30" s="15">
        <f t="shared" si="16"/>
        <v>73</v>
      </c>
      <c r="F30" s="15">
        <f t="shared" si="14"/>
        <v>927</v>
      </c>
      <c r="G30" s="15">
        <v>17.600000000000001</v>
      </c>
      <c r="H30" s="49">
        <f t="shared" si="15"/>
        <v>1.8985976267529667E-2</v>
      </c>
      <c r="J30" s="304"/>
      <c r="K30" s="15">
        <v>90</v>
      </c>
      <c r="L30" s="15">
        <v>635</v>
      </c>
      <c r="M30" s="16">
        <f t="shared" si="17"/>
        <v>92.426800530597461</v>
      </c>
      <c r="N30" s="16">
        <f t="shared" si="18"/>
        <v>431.34668579008536</v>
      </c>
      <c r="O30" s="16">
        <f t="shared" si="19"/>
        <v>462.13400265298731</v>
      </c>
      <c r="P30" s="18"/>
      <c r="R30" s="147"/>
      <c r="AC30" s="15">
        <v>10</v>
      </c>
      <c r="AD30" s="15">
        <f t="shared" si="9"/>
        <v>43.65</v>
      </c>
      <c r="AE30" s="15">
        <f t="shared" si="10"/>
        <v>13.894226531922463</v>
      </c>
      <c r="AF30" s="15">
        <f t="shared" si="11"/>
        <v>11.76</v>
      </c>
      <c r="AG30" s="15">
        <v>1600</v>
      </c>
      <c r="AH30" s="15">
        <f t="shared" si="12"/>
        <v>8.8439775259379808E-2</v>
      </c>
      <c r="AI30" s="15">
        <f t="shared" si="13"/>
        <v>141.50364041500768</v>
      </c>
      <c r="AM30" s="15">
        <v>11</v>
      </c>
      <c r="AN30" s="15">
        <f t="shared" si="6"/>
        <v>109.32020000000001</v>
      </c>
      <c r="AO30" s="16">
        <f>AN30/PI()</f>
        <v>34.797700419589241</v>
      </c>
      <c r="AP30" s="151">
        <v>10</v>
      </c>
      <c r="AQ30" s="149">
        <f>0.496*(AP30*(AN30/100)^2)/(4*PI())</f>
        <v>0.47170735460678792</v>
      </c>
      <c r="AR30" s="150">
        <f>AQ30*Répartition!$K$23</f>
        <v>74.077985969939235</v>
      </c>
      <c r="AS30" s="124">
        <f t="shared" si="7"/>
        <v>384.88145846298499</v>
      </c>
      <c r="AU30" s="15">
        <v>10</v>
      </c>
      <c r="AV30" s="15">
        <v>0</v>
      </c>
      <c r="AW30" s="15">
        <v>0</v>
      </c>
      <c r="AX30" s="15">
        <v>0</v>
      </c>
      <c r="AY30" s="15">
        <f t="shared" si="8"/>
        <v>0</v>
      </c>
    </row>
    <row r="31" spans="1:51" ht="18" x14ac:dyDescent="0.35">
      <c r="A31" s="304"/>
      <c r="B31" s="15">
        <v>55</v>
      </c>
      <c r="C31" s="15">
        <v>608</v>
      </c>
      <c r="D31" s="15">
        <v>405</v>
      </c>
      <c r="E31" s="15">
        <f t="shared" si="16"/>
        <v>68</v>
      </c>
      <c r="F31" s="15">
        <f t="shared" si="14"/>
        <v>1013</v>
      </c>
      <c r="G31" s="15">
        <v>16.5</v>
      </c>
      <c r="H31" s="49">
        <f t="shared" si="15"/>
        <v>1.6288252714708785E-2</v>
      </c>
      <c r="J31" s="304"/>
      <c r="K31" s="15">
        <v>100</v>
      </c>
      <c r="L31" s="15">
        <v>718</v>
      </c>
      <c r="M31" s="16">
        <f t="shared" si="17"/>
        <v>104.26219991156709</v>
      </c>
      <c r="N31" s="16">
        <f t="shared" si="18"/>
        <v>535.60888570165241</v>
      </c>
      <c r="O31" s="16">
        <f t="shared" si="19"/>
        <v>521.31099955783543</v>
      </c>
      <c r="P31" s="18"/>
      <c r="R31" s="147"/>
      <c r="S31" s="279" t="s">
        <v>105</v>
      </c>
      <c r="T31" s="15" t="s">
        <v>308</v>
      </c>
      <c r="U31" s="15">
        <f>-0.0007*(30^2)+0.2977*30</f>
        <v>8.3010000000000002</v>
      </c>
      <c r="V31" s="15" t="s">
        <v>306</v>
      </c>
      <c r="AC31" s="15">
        <v>11</v>
      </c>
      <c r="AD31" s="15">
        <f t="shared" si="9"/>
        <v>47.697100000000006</v>
      </c>
      <c r="AE31" s="15">
        <f t="shared" si="10"/>
        <v>15.182458472296885</v>
      </c>
      <c r="AF31" s="15">
        <f t="shared" si="11"/>
        <v>12.7897</v>
      </c>
      <c r="AG31" s="15">
        <v>1600</v>
      </c>
      <c r="AH31" s="15">
        <f t="shared" si="12"/>
        <v>0.11484606495450728</v>
      </c>
      <c r="AI31" s="15">
        <f t="shared" si="13"/>
        <v>183.75370392721163</v>
      </c>
      <c r="AM31" s="15">
        <v>12</v>
      </c>
      <c r="AN31" s="15">
        <f t="shared" si="6"/>
        <v>118.03680000000001</v>
      </c>
      <c r="AO31" s="16">
        <f>AN31/PI()</f>
        <v>37.57228037349887</v>
      </c>
      <c r="AP31" s="151">
        <v>10</v>
      </c>
      <c r="AQ31" s="149">
        <f>0.496*(AP31*(AN31/100)^2)/(4*PI())</f>
        <v>0.5499290562548359</v>
      </c>
      <c r="AR31" s="150">
        <f>AQ31*Répartition!$K$23</f>
        <v>86.362098271005934</v>
      </c>
      <c r="AS31" s="124">
        <f t="shared" si="7"/>
        <v>399.62709124307878</v>
      </c>
      <c r="AU31" s="15">
        <v>11</v>
      </c>
      <c r="AV31" s="15">
        <v>0</v>
      </c>
      <c r="AW31" s="15">
        <v>0</v>
      </c>
      <c r="AX31" s="15">
        <v>0</v>
      </c>
      <c r="AY31" s="15">
        <f t="shared" si="8"/>
        <v>0</v>
      </c>
    </row>
    <row r="32" spans="1:51" x14ac:dyDescent="0.25">
      <c r="A32" s="304"/>
      <c r="B32" s="15">
        <v>60</v>
      </c>
      <c r="C32" s="15">
        <v>626</v>
      </c>
      <c r="D32" s="15">
        <v>466</v>
      </c>
      <c r="E32" s="15">
        <f t="shared" si="16"/>
        <v>61</v>
      </c>
      <c r="F32" s="15">
        <f t="shared" si="14"/>
        <v>1092</v>
      </c>
      <c r="G32" s="15">
        <v>15.3</v>
      </c>
      <c r="H32" s="49">
        <f t="shared" si="15"/>
        <v>1.4010989010989012E-2</v>
      </c>
      <c r="R32" s="147"/>
      <c r="S32" s="280"/>
      <c r="T32" s="15" t="s">
        <v>310</v>
      </c>
      <c r="U32" s="150">
        <f>-0.0005*30^2 + 0.3967*30</f>
        <v>11.451000000000001</v>
      </c>
      <c r="V32" s="15" t="s">
        <v>307</v>
      </c>
      <c r="AC32" s="15">
        <v>12</v>
      </c>
      <c r="AD32" s="15">
        <f t="shared" si="9"/>
        <v>51.686399999999999</v>
      </c>
      <c r="AE32" s="15">
        <f t="shared" si="10"/>
        <v>16.452292101249878</v>
      </c>
      <c r="AF32" s="15">
        <f t="shared" si="11"/>
        <v>13.792799999999998</v>
      </c>
      <c r="AG32" s="15">
        <v>1600</v>
      </c>
      <c r="AH32" s="15">
        <f t="shared" si="12"/>
        <v>0.1454376403805433</v>
      </c>
      <c r="AI32" s="15">
        <f t="shared" si="13"/>
        <v>232.70022460886929</v>
      </c>
      <c r="AM32" s="15">
        <v>13</v>
      </c>
      <c r="AN32" s="15">
        <f t="shared" si="6"/>
        <v>126.20400000000001</v>
      </c>
      <c r="AO32" s="16">
        <f>AN32/PI()</f>
        <v>40.17198087593912</v>
      </c>
      <c r="AP32" s="151">
        <v>11</v>
      </c>
      <c r="AQ32" s="149">
        <f>0.496*(AP32*(AN32/100)^2)/(4*PI())</f>
        <v>0.69152954159730162</v>
      </c>
      <c r="AR32" s="150">
        <f>AQ32*Répartition!$K$23</f>
        <v>108.59935758887202</v>
      </c>
      <c r="AS32" s="124">
        <f t="shared" si="7"/>
        <v>426.19674564415925</v>
      </c>
      <c r="AU32" s="15">
        <v>12</v>
      </c>
      <c r="AV32" s="15">
        <v>0</v>
      </c>
      <c r="AW32" s="15">
        <v>0</v>
      </c>
      <c r="AX32" s="15">
        <v>0</v>
      </c>
      <c r="AY32" s="15">
        <f t="shared" si="8"/>
        <v>0</v>
      </c>
    </row>
    <row r="33" spans="1:51" ht="18" x14ac:dyDescent="0.35">
      <c r="A33" s="304"/>
      <c r="B33" s="15">
        <v>65</v>
      </c>
      <c r="C33" s="15">
        <v>646</v>
      </c>
      <c r="D33" s="15">
        <v>520</v>
      </c>
      <c r="E33" s="15">
        <f t="shared" si="16"/>
        <v>54</v>
      </c>
      <c r="F33" s="15">
        <f t="shared" si="14"/>
        <v>1166</v>
      </c>
      <c r="G33" s="15">
        <v>14.5</v>
      </c>
      <c r="H33" s="49">
        <f t="shared" si="15"/>
        <v>1.2435677530017153E-2</v>
      </c>
      <c r="J33" s="358"/>
      <c r="K33" s="358"/>
      <c r="L33" s="358"/>
      <c r="M33" s="358"/>
      <c r="N33" s="358"/>
      <c r="O33" s="358"/>
      <c r="P33" s="85"/>
      <c r="R33" s="147"/>
      <c r="S33" s="280"/>
      <c r="T33" s="50" t="s">
        <v>309</v>
      </c>
      <c r="U33" s="91">
        <f>U32*PI()</f>
        <v>35.97437747625672</v>
      </c>
      <c r="V33" s="50" t="s">
        <v>307</v>
      </c>
      <c r="AC33" s="15">
        <v>13</v>
      </c>
      <c r="AD33" s="15">
        <f t="shared" si="9"/>
        <v>55.617899999999992</v>
      </c>
      <c r="AE33" s="15">
        <f t="shared" si="10"/>
        <v>17.703727418781448</v>
      </c>
      <c r="AF33" s="15">
        <f t="shared" si="11"/>
        <v>14.769299999999999</v>
      </c>
      <c r="AG33" s="15">
        <v>1600</v>
      </c>
      <c r="AH33" s="15">
        <f t="shared" si="12"/>
        <v>0.18032705846227584</v>
      </c>
      <c r="AI33" s="15">
        <f t="shared" si="13"/>
        <v>288.52329353964137</v>
      </c>
      <c r="AM33" s="15">
        <v>14</v>
      </c>
      <c r="AN33" s="15">
        <f t="shared" si="6"/>
        <v>133.74199999999999</v>
      </c>
      <c r="AO33" s="16">
        <f>AN33/PI()</f>
        <v>42.571400797992531</v>
      </c>
      <c r="AP33" s="151">
        <v>11</v>
      </c>
      <c r="AQ33" s="149">
        <f>0.496*(AP33*(AN33/100)^2)/(4*PI())</f>
        <v>0.77660489654562592</v>
      </c>
      <c r="AR33" s="150">
        <f>AQ33*Répartition!$K$23</f>
        <v>121.95978304906662</v>
      </c>
      <c r="AS33" s="124">
        <f t="shared" si="7"/>
        <v>442.09646928897337</v>
      </c>
      <c r="AU33" s="15">
        <v>13</v>
      </c>
      <c r="AV33" s="15">
        <v>0</v>
      </c>
      <c r="AW33" s="15">
        <v>0</v>
      </c>
      <c r="AX33" s="15">
        <v>0</v>
      </c>
      <c r="AY33" s="15">
        <f t="shared" si="8"/>
        <v>0</v>
      </c>
    </row>
    <row r="34" spans="1:51" ht="18.75" x14ac:dyDescent="0.35">
      <c r="J34" s="35"/>
      <c r="K34" s="35"/>
      <c r="L34" s="35"/>
      <c r="M34" s="35"/>
      <c r="N34" s="35"/>
      <c r="O34" s="35"/>
      <c r="P34" s="35"/>
      <c r="R34" s="147"/>
      <c r="S34" s="281"/>
      <c r="T34" s="50" t="s">
        <v>313</v>
      </c>
      <c r="U34" s="75">
        <f>(0.496*U31*(U33/100)^2)/(4*PI())</f>
        <v>4.240224011798132E-2</v>
      </c>
      <c r="V34" s="50" t="s">
        <v>312</v>
      </c>
      <c r="AC34" s="15">
        <v>14</v>
      </c>
      <c r="AD34" s="15">
        <f t="shared" si="9"/>
        <v>59.491600000000005</v>
      </c>
      <c r="AE34" s="15">
        <f t="shared" si="10"/>
        <v>18.936764424891603</v>
      </c>
      <c r="AF34" s="15">
        <f t="shared" si="11"/>
        <v>15.719200000000001</v>
      </c>
      <c r="AG34" s="15">
        <v>1600</v>
      </c>
      <c r="AH34" s="15">
        <f t="shared" si="12"/>
        <v>0.21959050151596429</v>
      </c>
      <c r="AI34" s="15">
        <f t="shared" si="13"/>
        <v>351.34480242554287</v>
      </c>
      <c r="AM34" s="15">
        <v>15</v>
      </c>
      <c r="AN34" s="15">
        <f t="shared" si="6"/>
        <v>140.571</v>
      </c>
      <c r="AO34" s="16">
        <f>AN34/PI()</f>
        <v>44.745139010741639</v>
      </c>
      <c r="AP34" s="151">
        <v>11</v>
      </c>
      <c r="AQ34" s="149">
        <f>0.496*(AP34*(AN34/100)^2)/(4*PI())</f>
        <v>0.85793812285389048</v>
      </c>
      <c r="AR34" s="150">
        <f>AQ34*Répartition!$K$23</f>
        <v>134.73253619466027</v>
      </c>
      <c r="AS34" s="124">
        <f t="shared" si="7"/>
        <v>457.25883662772401</v>
      </c>
      <c r="AU34" s="15">
        <v>14</v>
      </c>
      <c r="AV34" s="15">
        <v>0</v>
      </c>
      <c r="AW34" s="15">
        <v>0</v>
      </c>
      <c r="AX34" s="15">
        <v>0</v>
      </c>
      <c r="AY34" s="15">
        <f t="shared" si="8"/>
        <v>0</v>
      </c>
    </row>
    <row r="35" spans="1:51" x14ac:dyDescent="0.25">
      <c r="A35" s="304">
        <v>3</v>
      </c>
      <c r="B35" s="15">
        <v>15</v>
      </c>
      <c r="C35" s="15">
        <v>77</v>
      </c>
      <c r="D35" s="15">
        <v>0</v>
      </c>
      <c r="E35" s="15">
        <f>0</f>
        <v>0</v>
      </c>
      <c r="F35" s="15">
        <f t="shared" ref="F35:F45" si="20">C35+D35</f>
        <v>77</v>
      </c>
      <c r="G35" s="15">
        <v>15.3</v>
      </c>
      <c r="H35" s="49">
        <f t="shared" ref="H35:H45" si="21">G35/F35</f>
        <v>0.19870129870129871</v>
      </c>
      <c r="J35" s="35"/>
      <c r="K35" s="35"/>
      <c r="L35" s="35"/>
      <c r="M35" s="35"/>
      <c r="N35" s="35"/>
      <c r="O35" s="35"/>
      <c r="P35" s="35"/>
      <c r="R35" s="147"/>
      <c r="AC35" s="15">
        <v>15</v>
      </c>
      <c r="AD35" s="15">
        <f t="shared" si="9"/>
        <v>63.307500000000005</v>
      </c>
      <c r="AE35" s="15">
        <f t="shared" si="10"/>
        <v>20.15140311958033</v>
      </c>
      <c r="AF35" s="15">
        <f t="shared" si="11"/>
        <v>16.642499999999998</v>
      </c>
      <c r="AG35" s="15">
        <f>AG21-(AG21*0.25)</f>
        <v>1200</v>
      </c>
      <c r="AH35" s="15">
        <f t="shared" si="12"/>
        <v>0.26326959504427172</v>
      </c>
      <c r="AI35" s="15">
        <f t="shared" si="13"/>
        <v>315.92351405312604</v>
      </c>
      <c r="AM35" s="15">
        <v>16</v>
      </c>
      <c r="AN35" s="15">
        <f t="shared" si="6"/>
        <v>146.6112</v>
      </c>
      <c r="AO35" s="16">
        <f>AN35/PI()</f>
        <v>46.667794385268969</v>
      </c>
      <c r="AP35" s="151">
        <v>11</v>
      </c>
      <c r="AQ35" s="149">
        <f>0.496*(AP35*(AN35/100)^2)/(4*PI())</f>
        <v>0.93325171025461717</v>
      </c>
      <c r="AR35" s="150">
        <f>AQ35*Répartition!$K$23</f>
        <v>146.55995168083075</v>
      </c>
      <c r="AS35" s="124">
        <f t="shared" si="7"/>
        <v>471.26937011487678</v>
      </c>
      <c r="AU35" s="15">
        <v>15</v>
      </c>
      <c r="AV35" s="15">
        <v>0</v>
      </c>
      <c r="AW35" s="15">
        <v>0</v>
      </c>
      <c r="AX35" s="15">
        <v>0</v>
      </c>
      <c r="AY35" s="15">
        <f t="shared" si="8"/>
        <v>0</v>
      </c>
    </row>
    <row r="36" spans="1:51" x14ac:dyDescent="0.25">
      <c r="A36" s="304"/>
      <c r="B36" s="15">
        <v>20</v>
      </c>
      <c r="C36" s="15">
        <v>158</v>
      </c>
      <c r="D36" s="15">
        <v>0</v>
      </c>
      <c r="E36" s="15">
        <f>D36-D35</f>
        <v>0</v>
      </c>
      <c r="F36" s="15">
        <f t="shared" si="20"/>
        <v>158</v>
      </c>
      <c r="G36" s="15">
        <v>18.899999999999999</v>
      </c>
      <c r="H36" s="49">
        <f t="shared" si="21"/>
        <v>0.11962025316455695</v>
      </c>
      <c r="J36" s="35"/>
      <c r="K36" s="35"/>
      <c r="L36" s="94"/>
      <c r="M36" s="94"/>
      <c r="N36" s="94"/>
      <c r="O36" s="35"/>
      <c r="P36" s="35"/>
      <c r="R36" s="147"/>
      <c r="AC36" s="15">
        <v>16</v>
      </c>
      <c r="AD36" s="15">
        <f t="shared" si="9"/>
        <v>67.065600000000003</v>
      </c>
      <c r="AE36" s="15">
        <f t="shared" si="10"/>
        <v>21.347643502847635</v>
      </c>
      <c r="AF36" s="15">
        <f t="shared" si="11"/>
        <v>17.539200000000001</v>
      </c>
      <c r="AG36" s="15">
        <f t="shared" ref="AG36:AG44" si="22">AG22-(AG22*0.25)</f>
        <v>1200</v>
      </c>
      <c r="AH36" s="15">
        <f t="shared" si="12"/>
        <v>0.31137319396286595</v>
      </c>
      <c r="AI36" s="15">
        <f>AH36*AG36</f>
        <v>373.64783275543914</v>
      </c>
      <c r="AM36" s="15">
        <v>17</v>
      </c>
      <c r="AN36" s="15">
        <f t="shared" si="6"/>
        <v>151.78280000000001</v>
      </c>
      <c r="AO36" s="16">
        <f>AN36/PI()</f>
        <v>48.313965792657065</v>
      </c>
      <c r="AP36" s="151">
        <v>12</v>
      </c>
      <c r="AQ36" s="149">
        <f>0.496*(AP36*(AN36/100)^2)/(4*PI())</f>
        <v>1.0911844762585199</v>
      </c>
      <c r="AR36" s="150">
        <f>AQ36*Répartition!$K$23</f>
        <v>171.36206915890844</v>
      </c>
      <c r="AS36" s="124">
        <f t="shared" si="7"/>
        <v>500.56804761321155</v>
      </c>
      <c r="AU36" s="15">
        <v>16</v>
      </c>
      <c r="AV36" s="15">
        <v>0</v>
      </c>
      <c r="AW36" s="15">
        <v>0</v>
      </c>
      <c r="AX36" s="15">
        <v>0</v>
      </c>
      <c r="AY36" s="15">
        <f t="shared" si="8"/>
        <v>0</v>
      </c>
    </row>
    <row r="37" spans="1:51" x14ac:dyDescent="0.25">
      <c r="A37" s="304"/>
      <c r="B37" s="15">
        <v>25</v>
      </c>
      <c r="C37" s="15">
        <v>267</v>
      </c>
      <c r="D37" s="15">
        <v>0</v>
      </c>
      <c r="E37" s="15">
        <f t="shared" ref="E37:E44" si="23">D37-D36</f>
        <v>0</v>
      </c>
      <c r="F37" s="15">
        <f t="shared" si="20"/>
        <v>267</v>
      </c>
      <c r="G37" s="15">
        <v>23.3</v>
      </c>
      <c r="H37" s="49">
        <f t="shared" si="21"/>
        <v>8.7265917602996262E-2</v>
      </c>
      <c r="J37" s="35"/>
      <c r="K37" s="35"/>
      <c r="L37" s="94"/>
      <c r="M37" s="94"/>
      <c r="N37" s="94"/>
      <c r="O37" s="35"/>
      <c r="P37" s="35"/>
      <c r="R37" s="147"/>
      <c r="S37" s="15" t="s">
        <v>6</v>
      </c>
      <c r="T37" s="15" t="s">
        <v>7</v>
      </c>
      <c r="U37" s="15" t="s">
        <v>193</v>
      </c>
      <c r="V37" s="15" t="s">
        <v>194</v>
      </c>
      <c r="W37" s="15" t="s">
        <v>195</v>
      </c>
      <c r="X37" s="15" t="s">
        <v>196</v>
      </c>
      <c r="Y37" s="15" t="s">
        <v>211</v>
      </c>
      <c r="Z37" s="15" t="s">
        <v>212</v>
      </c>
      <c r="AC37" s="15">
        <v>17</v>
      </c>
      <c r="AD37" s="15">
        <f t="shared" si="9"/>
        <v>70.765899999999988</v>
      </c>
      <c r="AE37" s="15">
        <f t="shared" si="10"/>
        <v>22.525485574693509</v>
      </c>
      <c r="AF37" s="15">
        <f t="shared" si="11"/>
        <v>18.409300000000002</v>
      </c>
      <c r="AG37" s="15">
        <f t="shared" si="22"/>
        <v>1200</v>
      </c>
      <c r="AH37" s="15">
        <f t="shared" si="12"/>
        <v>0.36387913725868776</v>
      </c>
      <c r="AI37" s="15">
        <f t="shared" si="13"/>
        <v>436.6549647104253</v>
      </c>
      <c r="AM37" s="15">
        <v>18</v>
      </c>
      <c r="AN37" s="15">
        <f t="shared" si="6"/>
        <v>156.00600000000003</v>
      </c>
      <c r="AO37" s="16">
        <f>AN37/PI()</f>
        <v>49.65825210398846</v>
      </c>
      <c r="AP37" s="151">
        <v>12</v>
      </c>
      <c r="AQ37" s="149">
        <f>0.496*(AP37*(AN37/100)^2)/(4*PI())</f>
        <v>1.1527514093269418</v>
      </c>
      <c r="AR37" s="150">
        <f>AQ37*Répartition!$K$23</f>
        <v>181.03067907035779</v>
      </c>
      <c r="AS37" s="124">
        <f t="shared" si="7"/>
        <v>511.96276999924908</v>
      </c>
      <c r="AU37" s="15">
        <v>17</v>
      </c>
      <c r="AV37" s="15">
        <v>0</v>
      </c>
      <c r="AW37" s="15">
        <v>0</v>
      </c>
      <c r="AX37" s="15">
        <v>0</v>
      </c>
      <c r="AY37" s="15">
        <f t="shared" si="8"/>
        <v>0</v>
      </c>
    </row>
    <row r="38" spans="1:51" x14ac:dyDescent="0.25">
      <c r="A38" s="304"/>
      <c r="B38" s="15">
        <v>30</v>
      </c>
      <c r="C38" s="75">
        <v>366</v>
      </c>
      <c r="D38" s="86">
        <v>25</v>
      </c>
      <c r="E38" s="15">
        <f t="shared" si="23"/>
        <v>25</v>
      </c>
      <c r="F38" s="15">
        <f t="shared" si="20"/>
        <v>391</v>
      </c>
      <c r="G38" s="15">
        <v>24.4</v>
      </c>
      <c r="H38" s="49">
        <f t="shared" si="21"/>
        <v>6.2404092071611253E-2</v>
      </c>
      <c r="J38" s="35"/>
      <c r="K38" s="35"/>
      <c r="L38" s="94"/>
      <c r="M38" s="94"/>
      <c r="N38" s="94"/>
      <c r="O38" s="35"/>
      <c r="P38" s="35"/>
      <c r="R38" s="147"/>
      <c r="S38" s="15">
        <v>1</v>
      </c>
      <c r="T38" s="15">
        <v>29</v>
      </c>
      <c r="U38" s="15">
        <v>14.2</v>
      </c>
      <c r="V38" s="15">
        <v>16.3</v>
      </c>
      <c r="W38" s="15">
        <v>22</v>
      </c>
      <c r="X38" s="15"/>
      <c r="Y38" s="15">
        <v>0</v>
      </c>
      <c r="Z38" s="15"/>
      <c r="AC38" s="15">
        <v>18</v>
      </c>
      <c r="AD38" s="15">
        <f t="shared" si="9"/>
        <v>74.408399999999986</v>
      </c>
      <c r="AE38" s="15">
        <f t="shared" si="10"/>
        <v>23.684929335117967</v>
      </c>
      <c r="AF38" s="15">
        <f t="shared" si="11"/>
        <v>19.252799999999997</v>
      </c>
      <c r="AG38" s="15">
        <f t="shared" si="22"/>
        <v>1200</v>
      </c>
      <c r="AH38" s="15">
        <f t="shared" si="12"/>
        <v>0.42073597107988792</v>
      </c>
      <c r="AI38" s="15">
        <f t="shared" si="13"/>
        <v>504.88316529586552</v>
      </c>
      <c r="AM38" s="15">
        <v>19</v>
      </c>
      <c r="AN38" s="15">
        <f t="shared" si="6"/>
        <v>159.20099999999999</v>
      </c>
      <c r="AO38" s="16">
        <f>AN38/PI()</f>
        <v>50.67525219034566</v>
      </c>
      <c r="AP38" s="151">
        <v>12</v>
      </c>
      <c r="AQ38" s="149">
        <f>0.496*(AP38*(AN38/100)^2)/(4*PI())</f>
        <v>1.2004515626045367</v>
      </c>
      <c r="AR38" s="150">
        <f>AQ38*Répartition!$K$23</f>
        <v>188.52161863437445</v>
      </c>
      <c r="AS38" s="124">
        <f t="shared" si="7"/>
        <v>520.78162677248974</v>
      </c>
      <c r="AU38" s="15">
        <v>18</v>
      </c>
      <c r="AV38" s="15">
        <v>0</v>
      </c>
      <c r="AW38" s="15">
        <v>0</v>
      </c>
      <c r="AX38" s="15">
        <v>0</v>
      </c>
      <c r="AY38" s="15">
        <f t="shared" si="8"/>
        <v>0</v>
      </c>
    </row>
    <row r="39" spans="1:51" x14ac:dyDescent="0.25">
      <c r="A39" s="304"/>
      <c r="B39" s="15">
        <v>35</v>
      </c>
      <c r="C39" s="15">
        <v>440</v>
      </c>
      <c r="D39" s="15">
        <v>72</v>
      </c>
      <c r="E39" s="15">
        <f t="shared" si="23"/>
        <v>47</v>
      </c>
      <c r="F39" s="15">
        <f t="shared" si="20"/>
        <v>512</v>
      </c>
      <c r="G39" s="15">
        <v>22.9</v>
      </c>
      <c r="H39" s="49">
        <f t="shared" si="21"/>
        <v>4.4726562499999997E-2</v>
      </c>
      <c r="J39" s="35"/>
      <c r="K39" s="35"/>
      <c r="L39" s="94"/>
      <c r="M39" s="94"/>
      <c r="N39" s="94"/>
      <c r="O39" s="35"/>
      <c r="P39" s="35"/>
      <c r="R39" s="147"/>
      <c r="S39" s="15"/>
      <c r="T39" s="15">
        <v>37</v>
      </c>
      <c r="U39" s="15">
        <v>17.399999999999999</v>
      </c>
      <c r="V39" s="15">
        <v>20.5</v>
      </c>
      <c r="W39" s="15">
        <v>13.7</v>
      </c>
      <c r="X39" s="15"/>
      <c r="Y39" s="15">
        <v>0</v>
      </c>
      <c r="Z39" s="15"/>
      <c r="AC39" s="15">
        <v>19</v>
      </c>
      <c r="AD39" s="15">
        <f t="shared" si="9"/>
        <v>77.993099999999998</v>
      </c>
      <c r="AE39" s="15">
        <f t="shared" si="10"/>
        <v>24.825974784121005</v>
      </c>
      <c r="AF39" s="15">
        <f t="shared" si="11"/>
        <v>20.069699999999997</v>
      </c>
      <c r="AG39" s="15">
        <f t="shared" si="22"/>
        <v>1200</v>
      </c>
      <c r="AH39" s="15">
        <f t="shared" si="12"/>
        <v>0.4818646402574317</v>
      </c>
      <c r="AI39" s="15">
        <f t="shared" si="13"/>
        <v>578.23756830891807</v>
      </c>
      <c r="AM39" s="15">
        <v>20</v>
      </c>
      <c r="AN39" s="15">
        <f t="shared" si="6"/>
        <v>161.28800000000001</v>
      </c>
      <c r="AO39" s="16">
        <f>AN39/PI()</f>
        <v>51.339564922811235</v>
      </c>
      <c r="AP39" s="151">
        <v>13</v>
      </c>
      <c r="AQ39" s="149">
        <f>0.496*(AP39*(AN39/100)^2)/(4*PI())</f>
        <v>1.334809466459985</v>
      </c>
      <c r="AR39" s="150">
        <f>AQ39*Répartition!$K$23</f>
        <v>209.62148663420894</v>
      </c>
      <c r="AS39" s="124">
        <f t="shared" si="7"/>
        <v>545.5808676638261</v>
      </c>
      <c r="AU39" s="15">
        <v>19</v>
      </c>
      <c r="AV39" s="15">
        <v>0</v>
      </c>
      <c r="AW39" s="15">
        <v>0</v>
      </c>
      <c r="AX39" s="15">
        <v>0</v>
      </c>
      <c r="AY39" s="15">
        <f t="shared" si="8"/>
        <v>0</v>
      </c>
    </row>
    <row r="40" spans="1:51" x14ac:dyDescent="0.25">
      <c r="A40" s="304"/>
      <c r="B40" s="15">
        <v>40</v>
      </c>
      <c r="C40" s="15">
        <v>495</v>
      </c>
      <c r="D40" s="15">
        <v>126</v>
      </c>
      <c r="E40" s="15">
        <f t="shared" si="23"/>
        <v>54</v>
      </c>
      <c r="F40" s="15">
        <f t="shared" si="20"/>
        <v>621</v>
      </c>
      <c r="G40" s="15">
        <v>20.8</v>
      </c>
      <c r="H40" s="49">
        <f t="shared" si="21"/>
        <v>3.3494363929146537E-2</v>
      </c>
      <c r="J40" s="35"/>
      <c r="K40" s="35"/>
      <c r="L40" s="94"/>
      <c r="M40" s="94"/>
      <c r="N40" s="94"/>
      <c r="O40" s="35"/>
      <c r="P40" s="35"/>
      <c r="R40" s="147"/>
      <c r="S40" s="15"/>
      <c r="T40" s="15">
        <v>45</v>
      </c>
      <c r="U40" s="15">
        <v>20.2</v>
      </c>
      <c r="V40" s="15">
        <v>24.9</v>
      </c>
      <c r="W40" s="15">
        <v>15.5</v>
      </c>
      <c r="X40" s="15">
        <v>104</v>
      </c>
      <c r="Y40" s="15">
        <v>40</v>
      </c>
      <c r="Z40" s="15">
        <v>144</v>
      </c>
      <c r="AC40" s="15">
        <v>20</v>
      </c>
      <c r="AD40" s="15">
        <f t="shared" si="9"/>
        <v>81.52</v>
      </c>
      <c r="AE40" s="15">
        <f t="shared" si="10"/>
        <v>25.948621921702614</v>
      </c>
      <c r="AF40" s="15">
        <f t="shared" si="11"/>
        <v>20.86</v>
      </c>
      <c r="AG40" s="15">
        <f t="shared" si="22"/>
        <v>1200</v>
      </c>
      <c r="AH40" s="15">
        <f t="shared" si="12"/>
        <v>0.54716014825837078</v>
      </c>
      <c r="AI40" s="15">
        <f t="shared" si="13"/>
        <v>656.59217791004494</v>
      </c>
      <c r="AM40" s="15">
        <v>21</v>
      </c>
      <c r="AN40" s="15">
        <f t="shared" si="6"/>
        <v>162.18720000000002</v>
      </c>
      <c r="AO40" s="16">
        <f>AN40/PI()</f>
        <v>51.625789172467705</v>
      </c>
      <c r="AP40" s="151">
        <v>13</v>
      </c>
      <c r="AQ40" s="149">
        <f>0.496*(AP40*(AN40/100)^2)/(4*PI())</f>
        <v>1.3497344016200641</v>
      </c>
      <c r="AR40" s="150">
        <f>AQ40*Répartition!$K$23</f>
        <v>211.96533208540447</v>
      </c>
      <c r="AS40" s="124">
        <f t="shared" si="7"/>
        <v>548.33212989473714</v>
      </c>
      <c r="AU40" s="15">
        <v>20</v>
      </c>
      <c r="AV40" s="15">
        <v>0</v>
      </c>
      <c r="AW40" s="15">
        <v>0</v>
      </c>
      <c r="AX40" s="15">
        <v>0</v>
      </c>
      <c r="AY40" s="15">
        <f t="shared" si="8"/>
        <v>0</v>
      </c>
    </row>
    <row r="41" spans="1:51" x14ac:dyDescent="0.25">
      <c r="A41" s="304"/>
      <c r="B41" s="15">
        <v>45</v>
      </c>
      <c r="C41" s="15">
        <v>538</v>
      </c>
      <c r="D41" s="15">
        <v>182</v>
      </c>
      <c r="E41" s="15">
        <f t="shared" si="23"/>
        <v>56</v>
      </c>
      <c r="F41" s="15">
        <f t="shared" si="20"/>
        <v>720</v>
      </c>
      <c r="G41" s="15">
        <v>18.600000000000001</v>
      </c>
      <c r="H41" s="49">
        <f t="shared" si="21"/>
        <v>2.5833333333333337E-2</v>
      </c>
      <c r="J41" s="35"/>
      <c r="K41" s="35"/>
      <c r="L41" s="94"/>
      <c r="M41" s="94"/>
      <c r="N41" s="94"/>
      <c r="O41" s="35"/>
      <c r="P41" s="35"/>
      <c r="R41" s="147"/>
      <c r="S41" s="15"/>
      <c r="T41" s="15">
        <v>53</v>
      </c>
      <c r="U41" s="15">
        <v>22.6</v>
      </c>
      <c r="V41" s="15">
        <v>29.4</v>
      </c>
      <c r="W41" s="15">
        <v>17.100000000000001</v>
      </c>
      <c r="X41" s="15">
        <v>131</v>
      </c>
      <c r="Y41" s="15">
        <v>42</v>
      </c>
      <c r="Z41" s="15">
        <v>173</v>
      </c>
      <c r="AC41" s="15">
        <v>21</v>
      </c>
      <c r="AD41" s="15">
        <f t="shared" si="9"/>
        <v>84.989099999999993</v>
      </c>
      <c r="AE41" s="15">
        <f t="shared" si="10"/>
        <v>27.052870747862801</v>
      </c>
      <c r="AF41" s="15">
        <f t="shared" si="11"/>
        <v>21.623699999999999</v>
      </c>
      <c r="AG41" s="15">
        <f t="shared" si="22"/>
        <v>1200</v>
      </c>
      <c r="AH41" s="15">
        <f t="shared" si="12"/>
        <v>0.6164931855707847</v>
      </c>
      <c r="AI41" s="15">
        <f t="shared" si="13"/>
        <v>739.79182268494162</v>
      </c>
      <c r="AM41" s="15">
        <v>22</v>
      </c>
      <c r="AN41" s="15">
        <f t="shared" si="6"/>
        <v>161.81880000000004</v>
      </c>
      <c r="AO41" s="16">
        <f>AN41/PI()</f>
        <v>51.508523810397598</v>
      </c>
      <c r="AP41" s="151">
        <v>14</v>
      </c>
      <c r="AQ41" s="149">
        <f>0.496*(AP41*(AN41/100)^2)/(4*PI())</f>
        <v>1.4469642482168665</v>
      </c>
      <c r="AR41" s="150">
        <f>AQ41*Répartition!$K$23</f>
        <v>227.23452630447977</v>
      </c>
      <c r="AS41" s="124">
        <f t="shared" si="7"/>
        <v>566.23938994162722</v>
      </c>
      <c r="AU41" s="15">
        <v>21</v>
      </c>
      <c r="AV41" s="15">
        <v>0</v>
      </c>
      <c r="AW41" s="15">
        <v>0</v>
      </c>
      <c r="AX41" s="15">
        <v>0</v>
      </c>
      <c r="AY41" s="15">
        <f t="shared" si="8"/>
        <v>0</v>
      </c>
    </row>
    <row r="42" spans="1:51" x14ac:dyDescent="0.25">
      <c r="A42" s="304"/>
      <c r="B42" s="15">
        <v>50</v>
      </c>
      <c r="C42" s="15">
        <v>563</v>
      </c>
      <c r="D42" s="15">
        <v>244</v>
      </c>
      <c r="E42" s="15">
        <f t="shared" si="23"/>
        <v>62</v>
      </c>
      <c r="F42" s="15">
        <f t="shared" si="20"/>
        <v>807</v>
      </c>
      <c r="G42" s="15">
        <v>16.8</v>
      </c>
      <c r="H42" s="49">
        <f t="shared" si="21"/>
        <v>2.0817843866171006E-2</v>
      </c>
      <c r="J42" s="35"/>
      <c r="K42" s="35"/>
      <c r="L42" s="94"/>
      <c r="M42" s="94"/>
      <c r="N42" s="94"/>
      <c r="O42" s="35"/>
      <c r="P42" s="35"/>
      <c r="R42" s="147"/>
      <c r="S42" s="15"/>
      <c r="T42" s="15">
        <v>61</v>
      </c>
      <c r="U42" s="15">
        <v>24.8</v>
      </c>
      <c r="V42" s="15">
        <v>33.6</v>
      </c>
      <c r="W42" s="15">
        <v>18.2</v>
      </c>
      <c r="X42" s="15">
        <v>155</v>
      </c>
      <c r="Y42" s="15">
        <v>43</v>
      </c>
      <c r="Z42" s="15">
        <v>198</v>
      </c>
      <c r="AC42" s="15">
        <v>22</v>
      </c>
      <c r="AD42" s="15">
        <f t="shared" si="9"/>
        <v>88.400400000000005</v>
      </c>
      <c r="AE42" s="15">
        <f t="shared" si="10"/>
        <v>28.138721262601571</v>
      </c>
      <c r="AF42" s="15">
        <f t="shared" si="11"/>
        <v>22.360799999999998</v>
      </c>
      <c r="AG42" s="15">
        <f t="shared" si="22"/>
        <v>1200</v>
      </c>
      <c r="AH42" s="15">
        <f t="shared" si="12"/>
        <v>0.68971172652038892</v>
      </c>
      <c r="AI42" s="15">
        <f t="shared" si="13"/>
        <v>827.65407182446666</v>
      </c>
      <c r="AM42" s="15">
        <v>23</v>
      </c>
      <c r="AN42" s="15">
        <f t="shared" si="6"/>
        <v>160.10300000000001</v>
      </c>
      <c r="AO42" s="16">
        <f>AN42/PI()</f>
        <v>50.962367707683441</v>
      </c>
      <c r="AP42" s="151">
        <v>14</v>
      </c>
      <c r="AQ42" s="149">
        <f>0.496*(AP42*(AN42/100)^2)/(4*PI())</f>
        <v>1.4164419733531231</v>
      </c>
      <c r="AR42" s="150">
        <f>AQ42*Répartition!$K$23</f>
        <v>222.44123947728625</v>
      </c>
      <c r="AS42" s="124">
        <f t="shared" si="7"/>
        <v>560.62090321801827</v>
      </c>
      <c r="AU42" s="15">
        <v>22</v>
      </c>
      <c r="AV42" s="15">
        <v>0</v>
      </c>
      <c r="AW42" s="15">
        <v>0</v>
      </c>
      <c r="AX42" s="15">
        <v>0</v>
      </c>
      <c r="AY42" s="15">
        <f t="shared" si="8"/>
        <v>0</v>
      </c>
    </row>
    <row r="43" spans="1:51" x14ac:dyDescent="0.25">
      <c r="A43" s="304"/>
      <c r="B43" s="15">
        <v>55</v>
      </c>
      <c r="C43" s="15">
        <v>583</v>
      </c>
      <c r="D43" s="15">
        <v>306</v>
      </c>
      <c r="E43" s="15">
        <f t="shared" si="23"/>
        <v>62</v>
      </c>
      <c r="F43" s="15">
        <f t="shared" si="20"/>
        <v>889</v>
      </c>
      <c r="G43" s="15">
        <v>15.5</v>
      </c>
      <c r="H43" s="49">
        <f t="shared" si="21"/>
        <v>1.7435320584926885E-2</v>
      </c>
      <c r="J43" s="35"/>
      <c r="K43" s="35"/>
      <c r="L43" s="94"/>
      <c r="M43" s="94"/>
      <c r="N43" s="94"/>
      <c r="O43" s="35"/>
      <c r="P43" s="35"/>
      <c r="R43" s="147"/>
      <c r="S43" s="15"/>
      <c r="T43" s="15">
        <v>69</v>
      </c>
      <c r="U43" s="15">
        <v>26.7</v>
      </c>
      <c r="V43" s="15">
        <v>37.799999999999997</v>
      </c>
      <c r="W43" s="15">
        <v>19.3</v>
      </c>
      <c r="X43" s="15">
        <v>177</v>
      </c>
      <c r="Y43" s="15">
        <v>40</v>
      </c>
      <c r="Z43" s="15">
        <v>217</v>
      </c>
      <c r="AC43" s="15">
        <v>23</v>
      </c>
      <c r="AD43" s="15">
        <f t="shared" si="9"/>
        <v>91.753900000000002</v>
      </c>
      <c r="AE43" s="15">
        <f t="shared" si="10"/>
        <v>29.206173465918912</v>
      </c>
      <c r="AF43" s="15">
        <f t="shared" si="11"/>
        <v>23.071300000000001</v>
      </c>
      <c r="AG43" s="15">
        <f t="shared" si="22"/>
        <v>1200</v>
      </c>
      <c r="AH43" s="15">
        <f t="shared" si="12"/>
        <v>0.76664259451881167</v>
      </c>
      <c r="AI43" s="15">
        <f t="shared" si="13"/>
        <v>919.97111342257404</v>
      </c>
      <c r="AM43" s="356" t="s">
        <v>254</v>
      </c>
      <c r="AN43" s="356"/>
      <c r="AO43" s="356"/>
      <c r="AP43" s="356"/>
      <c r="AQ43" s="356"/>
      <c r="AR43" s="356"/>
      <c r="AS43" s="152">
        <f>SUM(AS20:AS42)</f>
        <v>9559.9873441933523</v>
      </c>
      <c r="AU43" s="15">
        <v>23</v>
      </c>
      <c r="AV43" s="15">
        <f>((1-EXP(-(LN(2)/35)))/(LN(2)/35))*AN7*AN9*0.475*(44/12)*0.77</f>
        <v>103.38220352466897</v>
      </c>
      <c r="AW43" s="15">
        <f>((1-EXP(-(LN(2)/25)))/(LN(2)/25))*AN7*AN9*0.475*(44/12)*0.21</f>
        <v>28.084131381186687</v>
      </c>
      <c r="AX43" s="15">
        <v>0</v>
      </c>
      <c r="AY43" s="15">
        <f t="shared" si="8"/>
        <v>131.46633490585566</v>
      </c>
    </row>
    <row r="44" spans="1:51" x14ac:dyDescent="0.25">
      <c r="A44" s="304"/>
      <c r="B44" s="15">
        <v>60</v>
      </c>
      <c r="C44" s="15">
        <v>597</v>
      </c>
      <c r="D44" s="15">
        <v>366</v>
      </c>
      <c r="E44" s="15">
        <f t="shared" si="23"/>
        <v>60</v>
      </c>
      <c r="F44" s="15">
        <f t="shared" si="20"/>
        <v>963</v>
      </c>
      <c r="G44" s="15">
        <v>14.4</v>
      </c>
      <c r="H44" s="49">
        <f t="shared" si="21"/>
        <v>1.4953271028037384E-2</v>
      </c>
      <c r="J44" s="35"/>
      <c r="K44" s="35"/>
      <c r="L44" s="94"/>
      <c r="M44" s="94"/>
      <c r="N44" s="94"/>
      <c r="O44" s="35"/>
      <c r="P44" s="35"/>
      <c r="R44" s="147"/>
      <c r="S44" s="15"/>
      <c r="T44" s="15">
        <v>77</v>
      </c>
      <c r="U44" s="15">
        <v>28.4</v>
      </c>
      <c r="V44" s="15">
        <v>41.7</v>
      </c>
      <c r="W44" s="15">
        <v>19.8</v>
      </c>
      <c r="X44" s="15">
        <v>194</v>
      </c>
      <c r="Y44" s="15">
        <v>44</v>
      </c>
      <c r="Z44" s="15">
        <v>238</v>
      </c>
      <c r="AC44" s="15">
        <v>24</v>
      </c>
      <c r="AD44" s="15">
        <f t="shared" si="9"/>
        <v>95.049599999999998</v>
      </c>
      <c r="AE44" s="15">
        <f t="shared" si="10"/>
        <v>30.255227357814832</v>
      </c>
      <c r="AF44" s="15">
        <f t="shared" si="11"/>
        <v>23.755199999999995</v>
      </c>
      <c r="AG44" s="15">
        <f t="shared" si="22"/>
        <v>1200</v>
      </c>
      <c r="AH44" s="15">
        <f t="shared" si="12"/>
        <v>0.84709299574353858</v>
      </c>
      <c r="AI44" s="15">
        <f t="shared" si="13"/>
        <v>1016.5115948922463</v>
      </c>
      <c r="AU44" s="15">
        <v>24</v>
      </c>
      <c r="AV44" s="15">
        <f t="shared" ref="AV44:AV50" si="24">EXP(-(LN(2))/35)*AV43</f>
        <v>101.354941570468</v>
      </c>
      <c r="AW44" s="15">
        <f t="shared" ref="AW44:AW50" si="25">EXP(-(LN(2))/25)*AW43</f>
        <v>27.316169331687856</v>
      </c>
      <c r="AX44" s="15">
        <v>0</v>
      </c>
      <c r="AY44" s="15">
        <f t="shared" si="8"/>
        <v>128.67111090215585</v>
      </c>
    </row>
    <row r="45" spans="1:51" x14ac:dyDescent="0.25">
      <c r="A45" s="304"/>
      <c r="B45" s="15">
        <v>65</v>
      </c>
      <c r="C45" s="15">
        <v>612</v>
      </c>
      <c r="D45" s="15">
        <v>420</v>
      </c>
      <c r="E45" s="15">
        <f>D45-D44</f>
        <v>54</v>
      </c>
      <c r="F45" s="15">
        <f t="shared" si="20"/>
        <v>1032</v>
      </c>
      <c r="G45" s="15">
        <v>13.4</v>
      </c>
      <c r="H45" s="49">
        <f t="shared" si="21"/>
        <v>1.2984496124031008E-2</v>
      </c>
      <c r="J45" s="35"/>
      <c r="K45" s="35"/>
      <c r="L45" s="94"/>
      <c r="M45" s="94"/>
      <c r="N45" s="94"/>
      <c r="O45" s="35"/>
      <c r="P45" s="35"/>
      <c r="R45" s="147"/>
      <c r="S45" s="15"/>
      <c r="T45" s="15">
        <v>85</v>
      </c>
      <c r="U45" s="15">
        <v>29.9</v>
      </c>
      <c r="V45" s="15">
        <v>44.9</v>
      </c>
      <c r="W45" s="15">
        <v>21</v>
      </c>
      <c r="X45" s="15">
        <v>217</v>
      </c>
      <c r="Y45" s="15">
        <v>34</v>
      </c>
      <c r="Z45" s="15">
        <v>251</v>
      </c>
      <c r="AC45" s="15">
        <v>25</v>
      </c>
      <c r="AD45" s="15">
        <f t="shared" si="9"/>
        <v>98.287499999999994</v>
      </c>
      <c r="AE45" s="15">
        <f t="shared" si="10"/>
        <v>31.285882938289326</v>
      </c>
      <c r="AF45" s="15">
        <f t="shared" si="11"/>
        <v>24.412500000000001</v>
      </c>
      <c r="AG45" s="15">
        <f>AG35-(AG35*0.25)</f>
        <v>900</v>
      </c>
      <c r="AH45" s="15">
        <f t="shared" si="12"/>
        <v>0.93085202124952526</v>
      </c>
      <c r="AI45" s="15">
        <f t="shared" si="13"/>
        <v>837.76681912457275</v>
      </c>
      <c r="AU45" s="15">
        <v>25</v>
      </c>
      <c r="AV45" s="15">
        <f t="shared" si="24"/>
        <v>99.367432986681223</v>
      </c>
      <c r="AW45" s="15">
        <f t="shared" si="25"/>
        <v>26.569207244817939</v>
      </c>
      <c r="AX45" s="15">
        <v>0</v>
      </c>
      <c r="AY45" s="15">
        <f t="shared" si="8"/>
        <v>125.93664023149915</v>
      </c>
    </row>
    <row r="46" spans="1:51" x14ac:dyDescent="0.25">
      <c r="J46" s="35"/>
      <c r="K46" s="35"/>
      <c r="L46" s="94"/>
      <c r="M46" s="94"/>
      <c r="N46" s="94"/>
      <c r="O46" s="35"/>
      <c r="P46" s="35"/>
      <c r="R46" s="147"/>
      <c r="S46" s="15"/>
      <c r="T46" s="15">
        <v>95</v>
      </c>
      <c r="U46" s="15">
        <v>31.7</v>
      </c>
      <c r="V46" s="15">
        <v>48.6</v>
      </c>
      <c r="W46" s="15">
        <v>23.1</v>
      </c>
      <c r="X46" s="15">
        <v>255</v>
      </c>
      <c r="Y46" s="15">
        <v>32</v>
      </c>
      <c r="Z46" s="15">
        <v>287</v>
      </c>
      <c r="AC46" s="15">
        <v>26</v>
      </c>
      <c r="AD46" s="15">
        <f t="shared" si="9"/>
        <v>101.46759999999999</v>
      </c>
      <c r="AE46" s="15">
        <f t="shared" si="10"/>
        <v>32.298140207342399</v>
      </c>
      <c r="AF46" s="15">
        <f t="shared" si="11"/>
        <v>25.043199999999999</v>
      </c>
      <c r="AG46" s="15">
        <f t="shared" ref="AG46:AG54" si="26">AG36-(AG36*0.25)</f>
        <v>900</v>
      </c>
      <c r="AH46" s="15">
        <f t="shared" si="12"/>
        <v>1.0176921175124773</v>
      </c>
      <c r="AI46" s="15">
        <f t="shared" si="13"/>
        <v>915.92290576122957</v>
      </c>
      <c r="AU46" s="15">
        <v>26</v>
      </c>
      <c r="AV46" s="15">
        <f t="shared" si="24"/>
        <v>97.418898233961968</v>
      </c>
      <c r="AW46" s="15">
        <f t="shared" si="25"/>
        <v>25.842670875494509</v>
      </c>
      <c r="AX46" s="15">
        <v>0</v>
      </c>
      <c r="AY46" s="15">
        <f t="shared" si="8"/>
        <v>123.26156910945647</v>
      </c>
    </row>
    <row r="47" spans="1:51" ht="16.5" x14ac:dyDescent="0.3">
      <c r="A47" s="358"/>
      <c r="B47" s="358"/>
      <c r="C47" s="358"/>
      <c r="D47" s="358"/>
      <c r="E47" s="358"/>
      <c r="F47" s="358"/>
      <c r="G47" s="358"/>
      <c r="H47" s="358"/>
      <c r="J47" s="35"/>
      <c r="K47" s="35"/>
      <c r="L47" s="94"/>
      <c r="M47" s="94"/>
      <c r="N47" s="94"/>
      <c r="O47" s="35"/>
      <c r="P47" s="35"/>
      <c r="R47" s="147"/>
      <c r="S47" s="15"/>
      <c r="T47" s="15">
        <v>105</v>
      </c>
      <c r="U47" s="15">
        <v>33.299999999999997</v>
      </c>
      <c r="V47" s="15">
        <v>52.2</v>
      </c>
      <c r="W47" s="15">
        <v>24.2</v>
      </c>
      <c r="X47" s="15">
        <v>280</v>
      </c>
      <c r="Y47" s="15">
        <v>43</v>
      </c>
      <c r="Z47" s="15">
        <v>323</v>
      </c>
      <c r="AC47" s="15">
        <v>27</v>
      </c>
      <c r="AD47" s="15">
        <f t="shared" si="9"/>
        <v>104.5899</v>
      </c>
      <c r="AE47" s="15">
        <f t="shared" si="10"/>
        <v>33.291999164974051</v>
      </c>
      <c r="AF47" s="15">
        <f t="shared" si="11"/>
        <v>25.647299999999998</v>
      </c>
      <c r="AG47" s="15">
        <f t="shared" si="26"/>
        <v>900</v>
      </c>
      <c r="AH47" s="15">
        <f t="shared" si="12"/>
        <v>1.1073705254037995</v>
      </c>
      <c r="AI47" s="15">
        <f t="shared" si="13"/>
        <v>996.63347286341957</v>
      </c>
      <c r="AU47" s="15">
        <v>27</v>
      </c>
      <c r="AV47" s="15">
        <f t="shared" si="24"/>
        <v>95.508573059254687</v>
      </c>
      <c r="AW47" s="15">
        <f t="shared" si="25"/>
        <v>25.136001681397115</v>
      </c>
      <c r="AX47" s="15">
        <v>0</v>
      </c>
      <c r="AY47" s="15">
        <f t="shared" si="8"/>
        <v>120.64457474065181</v>
      </c>
    </row>
    <row r="48" spans="1:51" x14ac:dyDescent="0.25">
      <c r="A48" s="35"/>
      <c r="B48" s="35"/>
      <c r="C48" s="35"/>
      <c r="D48" s="35"/>
      <c r="E48" s="35"/>
      <c r="F48" s="35"/>
      <c r="G48" s="35"/>
      <c r="H48" s="35"/>
      <c r="J48" s="35"/>
      <c r="K48" s="35"/>
      <c r="L48" s="94"/>
      <c r="M48" s="94"/>
      <c r="N48" s="94"/>
      <c r="O48" s="35"/>
      <c r="P48" s="35"/>
      <c r="R48" s="147"/>
      <c r="S48" s="15"/>
      <c r="T48" s="15">
        <v>115</v>
      </c>
      <c r="U48" s="15">
        <v>34.9</v>
      </c>
      <c r="V48" s="15">
        <v>55</v>
      </c>
      <c r="W48" s="15">
        <v>25.1</v>
      </c>
      <c r="X48" s="15">
        <v>305</v>
      </c>
      <c r="Y48" s="15">
        <v>44</v>
      </c>
      <c r="Z48" s="15">
        <v>349</v>
      </c>
      <c r="AC48" s="15">
        <v>28</v>
      </c>
      <c r="AD48" s="15">
        <f t="shared" si="9"/>
        <v>107.65440000000001</v>
      </c>
      <c r="AE48" s="15">
        <f t="shared" si="10"/>
        <v>34.267459811184281</v>
      </c>
      <c r="AF48" s="15">
        <f t="shared" si="11"/>
        <v>26.224800000000002</v>
      </c>
      <c r="AG48" s="15">
        <f t="shared" si="26"/>
        <v>900</v>
      </c>
      <c r="AH48" s="15">
        <f t="shared" si="12"/>
        <v>1.1996306875972134</v>
      </c>
      <c r="AI48" s="15">
        <f t="shared" si="13"/>
        <v>1079.667618837492</v>
      </c>
      <c r="AN48" s="15">
        <f>0.0015*AM48^4-0.0775*AM48^3+1.0666*AM48^2+5.8855*AM48</f>
        <v>0</v>
      </c>
      <c r="AU48" s="15">
        <v>28</v>
      </c>
      <c r="AV48" s="15">
        <f t="shared" si="24"/>
        <v>93.635708196040113</v>
      </c>
      <c r="AW48" s="15">
        <f t="shared" si="25"/>
        <v>24.448656393574431</v>
      </c>
      <c r="AX48" s="15">
        <v>0</v>
      </c>
      <c r="AY48" s="15">
        <f t="shared" si="8"/>
        <v>118.08436458961455</v>
      </c>
    </row>
    <row r="49" spans="1:51" x14ac:dyDescent="0.25">
      <c r="A49" s="35"/>
      <c r="B49" s="35"/>
      <c r="C49" s="35"/>
      <c r="D49" s="35"/>
      <c r="E49" s="35"/>
      <c r="F49" s="35"/>
      <c r="G49" s="35"/>
      <c r="H49" s="35"/>
      <c r="J49" s="353"/>
      <c r="K49" s="353"/>
      <c r="L49" s="353"/>
      <c r="M49" s="353"/>
      <c r="N49" s="284"/>
      <c r="O49" s="35"/>
      <c r="P49" s="35"/>
      <c r="R49" s="147"/>
      <c r="S49" s="15"/>
      <c r="T49" s="15">
        <v>125</v>
      </c>
      <c r="U49" s="15">
        <v>36.299999999999997</v>
      </c>
      <c r="V49" s="15">
        <v>58</v>
      </c>
      <c r="W49" s="15">
        <v>25.6</v>
      </c>
      <c r="X49" s="15">
        <v>326</v>
      </c>
      <c r="Y49" s="15">
        <v>47</v>
      </c>
      <c r="Z49" s="15">
        <v>373</v>
      </c>
      <c r="AC49" s="15">
        <v>29</v>
      </c>
      <c r="AD49" s="15">
        <f t="shared" si="9"/>
        <v>110.6611</v>
      </c>
      <c r="AE49" s="15">
        <f t="shared" si="10"/>
        <v>35.224522145973083</v>
      </c>
      <c r="AF49" s="15">
        <f t="shared" si="11"/>
        <v>26.775700000000001</v>
      </c>
      <c r="AG49" s="15">
        <f t="shared" si="26"/>
        <v>900</v>
      </c>
      <c r="AH49" s="15">
        <f t="shared" si="12"/>
        <v>1.2942036244070376</v>
      </c>
      <c r="AI49" s="15">
        <f t="shared" si="13"/>
        <v>1164.7832619663338</v>
      </c>
      <c r="AU49" s="15">
        <v>29</v>
      </c>
      <c r="AV49" s="15">
        <f t="shared" si="24"/>
        <v>91.799569070458404</v>
      </c>
      <c r="AW49" s="15">
        <f t="shared" si="25"/>
        <v>23.780106598793179</v>
      </c>
      <c r="AX49" s="15">
        <v>0</v>
      </c>
      <c r="AY49" s="15">
        <f t="shared" si="8"/>
        <v>115.57967566925159</v>
      </c>
    </row>
    <row r="50" spans="1:51" x14ac:dyDescent="0.25">
      <c r="A50" s="35"/>
      <c r="B50" s="35"/>
      <c r="C50" s="94"/>
      <c r="D50" s="94"/>
      <c r="E50" s="94"/>
      <c r="F50" s="35"/>
      <c r="G50" s="35"/>
      <c r="H50" s="35"/>
      <c r="J50" s="35"/>
      <c r="K50" s="35"/>
      <c r="L50" s="35"/>
      <c r="M50" s="35"/>
      <c r="N50" s="35"/>
      <c r="O50" s="35"/>
      <c r="P50" s="35"/>
      <c r="R50" s="147"/>
      <c r="S50" s="15"/>
      <c r="T50" s="15">
        <v>135</v>
      </c>
      <c r="U50" s="15">
        <v>37.799999999999997</v>
      </c>
      <c r="V50" s="15">
        <v>62</v>
      </c>
      <c r="W50" s="15">
        <v>25.9</v>
      </c>
      <c r="X50" s="15">
        <v>343</v>
      </c>
      <c r="Y50" s="15">
        <v>50</v>
      </c>
      <c r="Z50" s="15">
        <v>393</v>
      </c>
      <c r="AC50" s="15">
        <v>30</v>
      </c>
      <c r="AD50" s="15">
        <f t="shared" si="9"/>
        <v>113.61000000000001</v>
      </c>
      <c r="AE50" s="15">
        <f t="shared" si="10"/>
        <v>36.163186169340463</v>
      </c>
      <c r="AF50" s="15">
        <f t="shared" si="11"/>
        <v>27.299999999999997</v>
      </c>
      <c r="AG50" s="15">
        <f t="shared" si="26"/>
        <v>900</v>
      </c>
      <c r="AH50" s="15">
        <f t="shared" si="12"/>
        <v>1.3908092780581476</v>
      </c>
      <c r="AI50" s="74">
        <f t="shared" si="13"/>
        <v>1251.7283502523328</v>
      </c>
      <c r="AU50" s="15">
        <v>30</v>
      </c>
      <c r="AV50" s="15">
        <f t="shared" si="24"/>
        <v>89.999435513195081</v>
      </c>
      <c r="AW50" s="15">
        <f t="shared" si="25"/>
        <v>23.129838333307724</v>
      </c>
      <c r="AX50" s="15">
        <v>0</v>
      </c>
      <c r="AY50" s="15">
        <f t="shared" si="8"/>
        <v>113.1292738465028</v>
      </c>
    </row>
    <row r="51" spans="1:51" x14ac:dyDescent="0.25">
      <c r="A51" s="35"/>
      <c r="B51" s="35"/>
      <c r="C51" s="94"/>
      <c r="D51" s="94"/>
      <c r="E51" s="94"/>
      <c r="F51" s="35"/>
      <c r="G51" s="35"/>
      <c r="H51" s="35"/>
      <c r="J51" s="35"/>
      <c r="K51" s="35"/>
      <c r="L51" s="35"/>
      <c r="M51" s="35"/>
      <c r="N51" s="35"/>
      <c r="O51" s="35"/>
      <c r="P51" s="35"/>
      <c r="R51" s="147"/>
      <c r="S51" s="15"/>
      <c r="T51" s="15">
        <v>145</v>
      </c>
      <c r="U51" s="15">
        <v>39.200000000000003</v>
      </c>
      <c r="V51" s="15">
        <v>67</v>
      </c>
      <c r="W51" s="15">
        <v>26.7</v>
      </c>
      <c r="X51" s="15">
        <v>367</v>
      </c>
      <c r="Y51" s="15">
        <v>44</v>
      </c>
      <c r="Z51" s="15">
        <v>411</v>
      </c>
      <c r="AC51" s="15">
        <v>31</v>
      </c>
      <c r="AD51" s="15">
        <f t="shared" si="9"/>
        <v>116.50110000000001</v>
      </c>
      <c r="AE51" s="15">
        <f t="shared" si="10"/>
        <v>37.083451881286422</v>
      </c>
      <c r="AF51" s="15">
        <f t="shared" si="11"/>
        <v>27.797699999999999</v>
      </c>
      <c r="AG51" s="15">
        <f t="shared" si="26"/>
        <v>900</v>
      </c>
      <c r="AH51" s="15">
        <f t="shared" si="12"/>
        <v>1.4891578253875888</v>
      </c>
      <c r="AI51" s="15">
        <f t="shared" si="13"/>
        <v>1340.2420428488299</v>
      </c>
    </row>
    <row r="52" spans="1:51" x14ac:dyDescent="0.25">
      <c r="A52" s="35"/>
      <c r="B52" s="35"/>
      <c r="C52" s="94"/>
      <c r="D52" s="94"/>
      <c r="E52" s="94"/>
      <c r="F52" s="35"/>
      <c r="G52" s="35"/>
      <c r="H52" s="35"/>
      <c r="J52" s="35"/>
      <c r="K52" s="35"/>
      <c r="L52" s="94"/>
      <c r="M52" s="94"/>
      <c r="N52" s="94"/>
      <c r="O52" s="35"/>
      <c r="P52" s="35"/>
      <c r="R52" s="147"/>
      <c r="S52" s="15"/>
      <c r="T52" s="15">
        <v>155</v>
      </c>
      <c r="U52" s="15">
        <v>40.700000000000003</v>
      </c>
      <c r="V52" s="15">
        <v>72</v>
      </c>
      <c r="W52" s="15">
        <v>27</v>
      </c>
      <c r="X52" s="15">
        <v>384</v>
      </c>
      <c r="Y52" s="15">
        <v>51</v>
      </c>
      <c r="Z52" s="15">
        <v>435</v>
      </c>
      <c r="AC52" s="15">
        <v>32</v>
      </c>
      <c r="AD52" s="15">
        <f t="shared" si="9"/>
        <v>119.3344</v>
      </c>
      <c r="AE52" s="15">
        <f t="shared" si="10"/>
        <v>37.985319281810952</v>
      </c>
      <c r="AF52" s="15">
        <f t="shared" si="11"/>
        <v>28.268799999999999</v>
      </c>
      <c r="AG52" s="15">
        <f t="shared" si="26"/>
        <v>900</v>
      </c>
      <c r="AH52" s="15">
        <f t="shared" si="12"/>
        <v>1.5889509589778701</v>
      </c>
      <c r="AI52" s="15">
        <f t="shared" si="13"/>
        <v>1430.0558630800831</v>
      </c>
    </row>
    <row r="53" spans="1:51" x14ac:dyDescent="0.25">
      <c r="A53" s="35"/>
      <c r="B53" s="35"/>
      <c r="C53" s="94"/>
      <c r="D53" s="94"/>
      <c r="E53" s="94"/>
      <c r="F53" s="35"/>
      <c r="G53" s="35"/>
      <c r="H53" s="35"/>
      <c r="J53" s="35"/>
      <c r="K53" s="35"/>
      <c r="L53" s="94"/>
      <c r="M53" s="94"/>
      <c r="N53" s="94"/>
      <c r="O53" s="35"/>
      <c r="P53" s="35"/>
      <c r="R53" s="147"/>
      <c r="S53" s="15"/>
      <c r="T53" s="15">
        <v>165</v>
      </c>
      <c r="U53" s="15">
        <v>42.1</v>
      </c>
      <c r="V53" s="15">
        <v>77</v>
      </c>
      <c r="W53" s="15">
        <v>27.6</v>
      </c>
      <c r="X53" s="15">
        <v>407</v>
      </c>
      <c r="Y53" s="15">
        <v>45</v>
      </c>
      <c r="Z53" s="15">
        <v>452</v>
      </c>
      <c r="AC53" s="15">
        <v>33</v>
      </c>
      <c r="AD53" s="15">
        <f t="shared" si="9"/>
        <v>122.1099</v>
      </c>
      <c r="AE53" s="15">
        <f t="shared" si="10"/>
        <v>38.868788370914061</v>
      </c>
      <c r="AF53" s="15">
        <f t="shared" si="11"/>
        <v>28.713299999999997</v>
      </c>
      <c r="AG53" s="15">
        <f t="shared" si="26"/>
        <v>900</v>
      </c>
      <c r="AH53" s="15">
        <f t="shared" si="12"/>
        <v>1.6898831367219185</v>
      </c>
      <c r="AI53" s="15">
        <f t="shared" si="13"/>
        <v>1520.8948230497267</v>
      </c>
    </row>
    <row r="54" spans="1:51" x14ac:dyDescent="0.25">
      <c r="A54" s="35"/>
      <c r="B54" s="35"/>
      <c r="C54" s="94"/>
      <c r="D54" s="94"/>
      <c r="E54" s="94"/>
      <c r="F54" s="35"/>
      <c r="G54" s="35"/>
      <c r="H54" s="35"/>
      <c r="J54" s="35"/>
      <c r="K54" s="35"/>
      <c r="L54" s="94"/>
      <c r="M54" s="94"/>
      <c r="N54" s="94"/>
      <c r="O54" s="35"/>
      <c r="P54" s="35"/>
      <c r="R54" s="147"/>
      <c r="S54" s="15"/>
      <c r="T54" s="15">
        <v>170</v>
      </c>
      <c r="U54" s="15">
        <v>42.9</v>
      </c>
      <c r="V54" s="15">
        <v>80</v>
      </c>
      <c r="W54" s="15">
        <v>29.8</v>
      </c>
      <c r="X54" s="15">
        <v>448</v>
      </c>
      <c r="Y54" s="15"/>
      <c r="Z54" s="15">
        <v>448</v>
      </c>
      <c r="AC54" s="15">
        <v>34</v>
      </c>
      <c r="AD54" s="15">
        <f t="shared" si="9"/>
        <v>124.82759999999999</v>
      </c>
      <c r="AE54" s="15">
        <f t="shared" si="10"/>
        <v>39.733859148595748</v>
      </c>
      <c r="AF54" s="15">
        <f t="shared" si="11"/>
        <v>29.1312</v>
      </c>
      <c r="AG54" s="15">
        <f t="shared" si="26"/>
        <v>900</v>
      </c>
      <c r="AH54" s="15">
        <f t="shared" si="12"/>
        <v>1.7916427998197046</v>
      </c>
      <c r="AI54" s="15">
        <f t="shared" si="13"/>
        <v>1612.4785198377342</v>
      </c>
      <c r="AM54" t="s">
        <v>533</v>
      </c>
    </row>
    <row r="55" spans="1:51" x14ac:dyDescent="0.25">
      <c r="A55" s="35"/>
      <c r="B55" s="35"/>
      <c r="C55" s="94"/>
      <c r="D55" s="94"/>
      <c r="E55" s="94"/>
      <c r="F55" s="35"/>
      <c r="G55" s="35"/>
      <c r="H55" s="35"/>
      <c r="J55" s="35"/>
      <c r="K55" s="35"/>
      <c r="L55" s="94"/>
      <c r="M55" s="94"/>
      <c r="N55" s="94"/>
      <c r="O55" s="35"/>
      <c r="P55" s="35"/>
      <c r="R55" s="147"/>
      <c r="AC55" s="15">
        <v>35</v>
      </c>
      <c r="AD55" s="15">
        <f t="shared" si="9"/>
        <v>127.48749999999998</v>
      </c>
      <c r="AE55" s="15">
        <f t="shared" si="10"/>
        <v>40.580531614856007</v>
      </c>
      <c r="AF55" s="15">
        <f t="shared" si="11"/>
        <v>29.522499999999997</v>
      </c>
      <c r="AG55" s="15">
        <f>AG45-(AG45*0.25)</f>
        <v>675</v>
      </c>
      <c r="AH55" s="15">
        <f t="shared" si="12"/>
        <v>1.893913559206533</v>
      </c>
      <c r="AI55" s="15">
        <f t="shared" si="13"/>
        <v>1278.3916524644098</v>
      </c>
    </row>
    <row r="56" spans="1:51" x14ac:dyDescent="0.25">
      <c r="A56" s="35"/>
      <c r="B56" s="35"/>
      <c r="C56" s="94"/>
      <c r="D56" s="94"/>
      <c r="E56" s="94"/>
      <c r="F56" s="35"/>
      <c r="G56" s="35"/>
      <c r="H56" s="35"/>
      <c r="J56" s="35"/>
      <c r="K56" s="35"/>
      <c r="L56" s="94"/>
      <c r="M56" s="94"/>
      <c r="N56" s="94"/>
      <c r="O56" s="35"/>
      <c r="P56" s="35"/>
      <c r="R56" s="147"/>
      <c r="S56" s="15" t="s">
        <v>6</v>
      </c>
      <c r="T56" s="15" t="s">
        <v>7</v>
      </c>
      <c r="U56" s="15" t="s">
        <v>193</v>
      </c>
      <c r="V56" s="15" t="s">
        <v>194</v>
      </c>
      <c r="W56" s="15" t="s">
        <v>195</v>
      </c>
      <c r="X56" s="15" t="s">
        <v>196</v>
      </c>
      <c r="Y56" s="15" t="s">
        <v>213</v>
      </c>
      <c r="Z56" s="15" t="s">
        <v>212</v>
      </c>
      <c r="AC56" s="15">
        <v>36</v>
      </c>
      <c r="AD56" s="15">
        <f t="shared" si="9"/>
        <v>130.08959999999999</v>
      </c>
      <c r="AE56" s="15">
        <f t="shared" si="10"/>
        <v>41.408805769694851</v>
      </c>
      <c r="AF56" s="15">
        <f t="shared" si="11"/>
        <v>29.887199999999996</v>
      </c>
      <c r="AG56" s="15">
        <f t="shared" ref="AG56:AG64" si="27">AG46-(AG46*0.25)</f>
        <v>675</v>
      </c>
      <c r="AH56" s="15">
        <f t="shared" si="12"/>
        <v>1.9963753504130062</v>
      </c>
      <c r="AI56" s="15">
        <f t="shared" si="13"/>
        <v>1347.5533615287791</v>
      </c>
      <c r="AM56" s="15" t="s">
        <v>7</v>
      </c>
      <c r="AN56" s="15" t="s">
        <v>532</v>
      </c>
    </row>
    <row r="57" spans="1:51" x14ac:dyDescent="0.25">
      <c r="A57" s="35"/>
      <c r="B57" s="35"/>
      <c r="C57" s="94"/>
      <c r="D57" s="94"/>
      <c r="E57" s="94"/>
      <c r="F57" s="35"/>
      <c r="G57" s="35"/>
      <c r="H57" s="35"/>
      <c r="J57" s="35"/>
      <c r="K57" s="35"/>
      <c r="L57" s="94"/>
      <c r="M57" s="94"/>
      <c r="N57" s="94"/>
      <c r="O57" s="35"/>
      <c r="P57" s="35"/>
      <c r="R57" s="147"/>
      <c r="S57" s="15">
        <v>2</v>
      </c>
      <c r="T57" s="15">
        <v>36</v>
      </c>
      <c r="U57" s="15">
        <v>14.2</v>
      </c>
      <c r="V57" s="15">
        <v>16.3</v>
      </c>
      <c r="W57" s="15">
        <v>11.9</v>
      </c>
      <c r="X57" s="15">
        <v>0</v>
      </c>
      <c r="Y57" s="15">
        <v>0</v>
      </c>
      <c r="Z57" s="15">
        <v>0</v>
      </c>
      <c r="AC57" s="15">
        <v>37</v>
      </c>
      <c r="AD57" s="15">
        <f t="shared" si="9"/>
        <v>132.63390000000001</v>
      </c>
      <c r="AE57" s="15">
        <f t="shared" si="10"/>
        <v>42.218681613112281</v>
      </c>
      <c r="AF57" s="15">
        <f t="shared" si="11"/>
        <v>30.225300000000001</v>
      </c>
      <c r="AG57" s="15">
        <f t="shared" si="27"/>
        <v>675</v>
      </c>
      <c r="AH57" s="15">
        <f t="shared" si="12"/>
        <v>2.0987055568566522</v>
      </c>
      <c r="AI57" s="15">
        <f t="shared" si="13"/>
        <v>1416.6262508782402</v>
      </c>
      <c r="AM57" s="15">
        <v>0.163884673748103</v>
      </c>
      <c r="AN57" s="15">
        <v>7.9717009461044404</v>
      </c>
    </row>
    <row r="58" spans="1:51" x14ac:dyDescent="0.25">
      <c r="A58" s="35"/>
      <c r="B58" s="35"/>
      <c r="C58" s="94"/>
      <c r="D58" s="94"/>
      <c r="E58" s="94"/>
      <c r="F58" s="35"/>
      <c r="G58" s="35"/>
      <c r="H58" s="35"/>
      <c r="J58" s="35"/>
      <c r="K58" s="35"/>
      <c r="L58" s="94"/>
      <c r="M58" s="94"/>
      <c r="N58" s="94"/>
      <c r="O58" s="35"/>
      <c r="P58" s="35"/>
      <c r="R58" s="147"/>
      <c r="S58" s="15"/>
      <c r="T58" s="15">
        <v>44</v>
      </c>
      <c r="U58" s="15">
        <v>16.600000000000001</v>
      </c>
      <c r="V58" s="15">
        <v>19.899999999999999</v>
      </c>
      <c r="W58" s="15">
        <v>13.9</v>
      </c>
      <c r="X58" s="15">
        <v>0</v>
      </c>
      <c r="Y58" s="15">
        <v>0</v>
      </c>
      <c r="Z58" s="15">
        <v>0</v>
      </c>
      <c r="AC58" s="15">
        <v>38</v>
      </c>
      <c r="AD58" s="15">
        <f t="shared" si="9"/>
        <v>135.12040000000002</v>
      </c>
      <c r="AE58" s="15">
        <f t="shared" si="10"/>
        <v>43.010159145108275</v>
      </c>
      <c r="AF58" s="15">
        <f t="shared" si="11"/>
        <v>30.536799999999999</v>
      </c>
      <c r="AG58" s="15">
        <f t="shared" si="27"/>
        <v>675</v>
      </c>
      <c r="AH58" s="15">
        <f t="shared" si="12"/>
        <v>2.2005801015652149</v>
      </c>
      <c r="AI58" s="15">
        <f t="shared" si="13"/>
        <v>1485.39156855652</v>
      </c>
      <c r="AM58" s="15">
        <v>1.1729893778452101</v>
      </c>
      <c r="AN58" s="15">
        <v>11.471366626494801</v>
      </c>
    </row>
    <row r="59" spans="1:51" x14ac:dyDescent="0.25">
      <c r="A59" s="35"/>
      <c r="B59" s="35"/>
      <c r="C59" s="94"/>
      <c r="D59" s="94"/>
      <c r="E59" s="94"/>
      <c r="F59" s="35"/>
      <c r="G59" s="35"/>
      <c r="H59" s="35"/>
      <c r="J59" s="35"/>
      <c r="K59" s="35"/>
      <c r="L59" s="94"/>
      <c r="M59" s="94"/>
      <c r="N59" s="94"/>
      <c r="O59" s="35"/>
      <c r="P59" s="35"/>
      <c r="R59" s="147"/>
      <c r="S59" s="15"/>
      <c r="T59" s="15">
        <v>52</v>
      </c>
      <c r="U59" s="15">
        <v>18.7</v>
      </c>
      <c r="V59" s="15">
        <v>23.6</v>
      </c>
      <c r="W59" s="15">
        <v>15.5</v>
      </c>
      <c r="X59" s="15">
        <v>98</v>
      </c>
      <c r="Y59" s="15">
        <v>29</v>
      </c>
      <c r="Z59" s="15">
        <v>127</v>
      </c>
      <c r="AC59" s="15">
        <v>39</v>
      </c>
      <c r="AD59" s="15">
        <f t="shared" si="9"/>
        <v>137.54910000000001</v>
      </c>
      <c r="AE59" s="15">
        <f t="shared" si="10"/>
        <v>43.783238365682848</v>
      </c>
      <c r="AF59" s="15">
        <f t="shared" si="11"/>
        <v>30.821699999999996</v>
      </c>
      <c r="AG59" s="15">
        <f t="shared" si="27"/>
        <v>675</v>
      </c>
      <c r="AH59" s="15">
        <f t="shared" si="12"/>
        <v>2.3016745073316303</v>
      </c>
      <c r="AI59" s="15">
        <f t="shared" si="13"/>
        <v>1553.6302924488505</v>
      </c>
      <c r="AM59" s="15">
        <v>2.41274658573596</v>
      </c>
      <c r="AN59" s="15">
        <v>20.990707116002799</v>
      </c>
    </row>
    <row r="60" spans="1:51" x14ac:dyDescent="0.25">
      <c r="A60" s="35"/>
      <c r="B60" s="35"/>
      <c r="C60" s="94"/>
      <c r="D60" s="94"/>
      <c r="E60" s="94"/>
      <c r="F60" s="35"/>
      <c r="G60" s="35"/>
      <c r="H60" s="35"/>
      <c r="J60" s="35"/>
      <c r="K60" s="35"/>
      <c r="L60" s="94"/>
      <c r="M60" s="94"/>
      <c r="N60" s="94"/>
      <c r="O60" s="35"/>
      <c r="P60" s="35"/>
      <c r="R60" s="147"/>
      <c r="S60" s="15"/>
      <c r="T60" s="15">
        <v>60</v>
      </c>
      <c r="U60" s="15">
        <v>20.5</v>
      </c>
      <c r="V60" s="15">
        <v>27.3</v>
      </c>
      <c r="W60" s="15">
        <v>16.7</v>
      </c>
      <c r="X60" s="15">
        <v>117</v>
      </c>
      <c r="Y60" s="15">
        <v>30</v>
      </c>
      <c r="Z60" s="15">
        <v>147</v>
      </c>
      <c r="AC60" s="15">
        <v>40</v>
      </c>
      <c r="AD60" s="15">
        <f t="shared" si="9"/>
        <v>139.92000000000002</v>
      </c>
      <c r="AE60" s="15">
        <f t="shared" si="10"/>
        <v>44.537919274836</v>
      </c>
      <c r="AF60" s="15">
        <f t="shared" si="11"/>
        <v>31.080000000000002</v>
      </c>
      <c r="AG60" s="15">
        <f t="shared" si="27"/>
        <v>675</v>
      </c>
      <c r="AH60" s="15">
        <f t="shared" si="12"/>
        <v>2.4016649253006506</v>
      </c>
      <c r="AI60" s="15">
        <f t="shared" si="13"/>
        <v>1621.1238245779391</v>
      </c>
      <c r="AM60" s="15">
        <v>3.56600910470409</v>
      </c>
      <c r="AN60" s="15">
        <v>29.558738153674899</v>
      </c>
    </row>
    <row r="61" spans="1:51" x14ac:dyDescent="0.25">
      <c r="A61" s="35"/>
      <c r="B61" s="35"/>
      <c r="C61" s="94"/>
      <c r="D61" s="94"/>
      <c r="E61" s="94"/>
      <c r="F61" s="35"/>
      <c r="G61" s="35"/>
      <c r="H61" s="35"/>
      <c r="J61" s="35"/>
      <c r="K61" s="35"/>
      <c r="L61" s="94"/>
      <c r="M61" s="94"/>
      <c r="N61" s="94"/>
      <c r="O61" s="35"/>
      <c r="P61" s="35"/>
      <c r="R61" s="147"/>
      <c r="S61" s="15"/>
      <c r="T61" s="15">
        <v>68</v>
      </c>
      <c r="U61" s="15">
        <v>22.5</v>
      </c>
      <c r="V61" s="15">
        <v>30.3</v>
      </c>
      <c r="W61" s="15">
        <v>17.7</v>
      </c>
      <c r="X61" s="15">
        <v>135</v>
      </c>
      <c r="Y61" s="15">
        <v>31</v>
      </c>
      <c r="Z61" s="15">
        <v>166</v>
      </c>
      <c r="AC61" s="15">
        <v>41</v>
      </c>
      <c r="AD61" s="15">
        <f t="shared" si="9"/>
        <v>142.23309999999998</v>
      </c>
      <c r="AE61" s="15">
        <f t="shared" si="10"/>
        <v>45.274201872567716</v>
      </c>
      <c r="AF61" s="15">
        <f t="shared" si="11"/>
        <v>31.311699999999998</v>
      </c>
      <c r="AG61" s="15">
        <f t="shared" si="27"/>
        <v>675</v>
      </c>
      <c r="AH61" s="15">
        <f t="shared" si="12"/>
        <v>2.5002291319871426</v>
      </c>
      <c r="AI61" s="15">
        <f t="shared" si="13"/>
        <v>1687.6546640913211</v>
      </c>
      <c r="AM61" s="15">
        <v>5.0075872534142603</v>
      </c>
      <c r="AN61" s="15">
        <v>44.780650301688397</v>
      </c>
    </row>
    <row r="62" spans="1:51" x14ac:dyDescent="0.25">
      <c r="A62" s="35"/>
      <c r="B62" s="35"/>
      <c r="C62" s="94"/>
      <c r="D62" s="94"/>
      <c r="E62" s="94"/>
      <c r="F62" s="35"/>
      <c r="G62" s="35"/>
      <c r="H62" s="35"/>
      <c r="J62" s="35"/>
      <c r="K62" s="35"/>
      <c r="L62" s="94"/>
      <c r="M62" s="94"/>
      <c r="N62" s="94"/>
      <c r="O62" s="35"/>
      <c r="P62" s="35"/>
      <c r="R62" s="147"/>
      <c r="S62" s="15"/>
      <c r="T62" s="15">
        <v>78</v>
      </c>
      <c r="U62" s="15">
        <v>24</v>
      </c>
      <c r="V62" s="15">
        <v>34.4</v>
      </c>
      <c r="W62" s="15">
        <v>19.5</v>
      </c>
      <c r="X62" s="15">
        <v>162</v>
      </c>
      <c r="Y62" s="15">
        <v>32</v>
      </c>
      <c r="Z62" s="15">
        <v>194</v>
      </c>
      <c r="AC62" s="15">
        <v>42</v>
      </c>
      <c r="AD62" s="15">
        <f t="shared" si="9"/>
        <v>144.48839999999998</v>
      </c>
      <c r="AE62" s="15">
        <f t="shared" si="10"/>
        <v>45.992086158878017</v>
      </c>
      <c r="AF62" s="15">
        <f t="shared" si="11"/>
        <v>31.516799999999996</v>
      </c>
      <c r="AG62" s="15">
        <f t="shared" si="27"/>
        <v>675</v>
      </c>
      <c r="AH62" s="15">
        <f t="shared" si="12"/>
        <v>2.5970474947260693</v>
      </c>
      <c r="AI62" s="15">
        <f t="shared" si="13"/>
        <v>1753.0070589400968</v>
      </c>
      <c r="AM62" s="15">
        <v>6.1608497723823898</v>
      </c>
      <c r="AN62" s="15">
        <v>59.681135165217903</v>
      </c>
    </row>
    <row r="63" spans="1:51" x14ac:dyDescent="0.25">
      <c r="A63" s="35"/>
      <c r="B63" s="35"/>
      <c r="C63" s="94"/>
      <c r="D63" s="94"/>
      <c r="E63" s="94"/>
      <c r="F63" s="35"/>
      <c r="G63" s="35"/>
      <c r="H63" s="35"/>
      <c r="J63" s="35"/>
      <c r="K63" s="35"/>
      <c r="L63" s="94"/>
      <c r="M63" s="94"/>
      <c r="N63" s="94"/>
      <c r="O63" s="35"/>
      <c r="P63" s="35"/>
      <c r="R63" s="147"/>
      <c r="S63" s="15"/>
      <c r="T63" s="15">
        <v>88</v>
      </c>
      <c r="U63" s="15">
        <v>25.7</v>
      </c>
      <c r="V63" s="15">
        <v>38.200000000000003</v>
      </c>
      <c r="W63" s="15">
        <v>20.8</v>
      </c>
      <c r="X63" s="15">
        <v>184</v>
      </c>
      <c r="Y63" s="15">
        <v>35</v>
      </c>
      <c r="Z63" s="15">
        <v>219</v>
      </c>
      <c r="AC63" s="15">
        <v>43</v>
      </c>
      <c r="AD63" s="15">
        <f t="shared" si="9"/>
        <v>146.6859</v>
      </c>
      <c r="AE63" s="15">
        <f t="shared" si="10"/>
        <v>46.691572133766904</v>
      </c>
      <c r="AF63" s="15">
        <f t="shared" si="11"/>
        <v>31.6953</v>
      </c>
      <c r="AG63" s="15">
        <f t="shared" si="27"/>
        <v>675</v>
      </c>
      <c r="AH63" s="15">
        <f t="shared" si="12"/>
        <v>2.6918039055541123</v>
      </c>
      <c r="AI63" s="15">
        <f t="shared" si="13"/>
        <v>1816.9676362490259</v>
      </c>
      <c r="AM63" s="15">
        <v>7.1699544764795098</v>
      </c>
      <c r="AN63" s="15">
        <v>72.362858893101702</v>
      </c>
    </row>
    <row r="64" spans="1:51" x14ac:dyDescent="0.25">
      <c r="A64" s="35"/>
      <c r="B64" s="35"/>
      <c r="C64" s="94"/>
      <c r="D64" s="94"/>
      <c r="E64" s="94"/>
      <c r="F64" s="35"/>
      <c r="G64" s="35"/>
      <c r="H64" s="35"/>
      <c r="J64" s="35"/>
      <c r="K64" s="35"/>
      <c r="L64" s="94"/>
      <c r="M64" s="94"/>
      <c r="N64" s="94"/>
      <c r="O64" s="35"/>
      <c r="P64" s="35"/>
      <c r="R64" s="147"/>
      <c r="S64" s="15"/>
      <c r="T64" s="15">
        <v>98</v>
      </c>
      <c r="U64" s="15">
        <v>27.2</v>
      </c>
      <c r="V64" s="15">
        <v>41.9</v>
      </c>
      <c r="W64" s="15">
        <v>22</v>
      </c>
      <c r="X64" s="15">
        <v>207</v>
      </c>
      <c r="Y64" s="15">
        <v>34</v>
      </c>
      <c r="Z64" s="15">
        <v>241</v>
      </c>
      <c r="AC64" s="15">
        <v>44</v>
      </c>
      <c r="AD64" s="15">
        <f t="shared" si="9"/>
        <v>148.82560000000001</v>
      </c>
      <c r="AE64" s="15">
        <f t="shared" si="10"/>
        <v>47.372659797234363</v>
      </c>
      <c r="AF64" s="15">
        <f t="shared" si="11"/>
        <v>31.847199999999997</v>
      </c>
      <c r="AG64" s="15">
        <f t="shared" si="27"/>
        <v>675</v>
      </c>
      <c r="AH64" s="15">
        <f t="shared" si="12"/>
        <v>2.7841866835229783</v>
      </c>
      <c r="AI64" s="15">
        <f t="shared" si="13"/>
        <v>1879.3260113780104</v>
      </c>
      <c r="AM64" s="15">
        <v>7.9484066767829997</v>
      </c>
      <c r="AN64" s="15">
        <v>81.874512033504004</v>
      </c>
    </row>
    <row r="65" spans="1:40" x14ac:dyDescent="0.25">
      <c r="A65" s="353"/>
      <c r="B65" s="353"/>
      <c r="C65" s="353"/>
      <c r="D65" s="353"/>
      <c r="E65" s="284"/>
      <c r="F65" s="35"/>
      <c r="G65" s="35"/>
      <c r="H65" s="35"/>
      <c r="J65" s="353"/>
      <c r="K65" s="353"/>
      <c r="L65" s="353"/>
      <c r="M65" s="353"/>
      <c r="N65" s="284"/>
      <c r="O65" s="35"/>
      <c r="P65" s="35"/>
      <c r="R65" s="147"/>
      <c r="S65" s="15"/>
      <c r="T65" s="15">
        <v>108</v>
      </c>
      <c r="U65" s="15">
        <v>28.6</v>
      </c>
      <c r="V65" s="15">
        <v>45.7</v>
      </c>
      <c r="W65" s="15">
        <v>22.6</v>
      </c>
      <c r="X65" s="15">
        <v>225</v>
      </c>
      <c r="Y65" s="15">
        <v>39</v>
      </c>
      <c r="Z65" s="15">
        <v>264</v>
      </c>
      <c r="AC65" s="15">
        <v>45</v>
      </c>
      <c r="AD65" s="15">
        <f t="shared" si="9"/>
        <v>150.90750000000003</v>
      </c>
      <c r="AE65" s="15">
        <f t="shared" si="10"/>
        <v>48.0353491492804</v>
      </c>
      <c r="AF65" s="15">
        <f t="shared" si="11"/>
        <v>31.972499999999997</v>
      </c>
      <c r="AG65" s="16">
        <f>AG55-(AG55*0.25)</f>
        <v>506.25</v>
      </c>
      <c r="AH65" s="15">
        <f t="shared" si="12"/>
        <v>2.8738894454443837</v>
      </c>
      <c r="AI65" s="15">
        <f t="shared" si="13"/>
        <v>1454.9065317562192</v>
      </c>
      <c r="AM65" s="15">
        <v>9.1305007587253399</v>
      </c>
      <c r="AN65" s="15">
        <v>94.242495826009602</v>
      </c>
    </row>
    <row r="66" spans="1:40" x14ac:dyDescent="0.25">
      <c r="A66" s="35"/>
      <c r="B66" s="35"/>
      <c r="C66" s="35"/>
      <c r="D66" s="35"/>
      <c r="E66" s="35"/>
      <c r="F66" s="35"/>
      <c r="G66" s="35"/>
      <c r="H66" s="35"/>
      <c r="J66" s="35"/>
      <c r="K66" s="35"/>
      <c r="L66" s="35"/>
      <c r="M66" s="35"/>
      <c r="N66" s="35"/>
      <c r="O66" s="35"/>
      <c r="P66" s="35"/>
      <c r="R66" s="147"/>
      <c r="S66" s="15"/>
      <c r="T66" s="15">
        <v>118</v>
      </c>
      <c r="U66" s="15">
        <v>30</v>
      </c>
      <c r="V66" s="15">
        <v>48.7</v>
      </c>
      <c r="W66" s="15">
        <v>23</v>
      </c>
      <c r="X66" s="15">
        <v>241</v>
      </c>
      <c r="Y66" s="15">
        <v>40</v>
      </c>
      <c r="Z66" s="15">
        <v>281</v>
      </c>
      <c r="AC66" s="15">
        <v>46</v>
      </c>
      <c r="AD66" s="15">
        <f t="shared" si="9"/>
        <v>152.9316</v>
      </c>
      <c r="AE66" s="15">
        <f t="shared" si="10"/>
        <v>48.679640189905001</v>
      </c>
      <c r="AF66" s="15">
        <f t="shared" si="11"/>
        <v>32.071200000000005</v>
      </c>
      <c r="AG66" s="16">
        <f t="shared" ref="AG66:AG69" si="28">AG56-(AG56*0.25)</f>
        <v>506.25</v>
      </c>
      <c r="AH66" s="15">
        <f t="shared" si="12"/>
        <v>2.9606119450666788</v>
      </c>
      <c r="AI66" s="15">
        <f>AH66*AG66</f>
        <v>1498.8097971900061</v>
      </c>
      <c r="AM66" s="15">
        <v>9.9377845220030299</v>
      </c>
      <c r="AN66" s="15">
        <v>103.121384043145</v>
      </c>
    </row>
    <row r="67" spans="1:40" x14ac:dyDescent="0.25">
      <c r="A67" s="35"/>
      <c r="B67" s="35"/>
      <c r="C67" s="35"/>
      <c r="D67" s="35"/>
      <c r="E67" s="35"/>
      <c r="F67" s="35"/>
      <c r="G67" s="35"/>
      <c r="H67" s="35"/>
      <c r="J67" s="35"/>
      <c r="K67" s="35"/>
      <c r="L67" s="35"/>
      <c r="M67" s="35"/>
      <c r="N67" s="35"/>
      <c r="O67" s="35"/>
      <c r="P67" s="35"/>
      <c r="R67" s="147"/>
      <c r="S67" s="15"/>
      <c r="T67" s="15">
        <v>128</v>
      </c>
      <c r="U67" s="15">
        <v>31.4</v>
      </c>
      <c r="V67" s="15">
        <v>51.3</v>
      </c>
      <c r="W67" s="15">
        <v>23.6</v>
      </c>
      <c r="X67" s="15">
        <v>258</v>
      </c>
      <c r="Y67" s="15">
        <v>39</v>
      </c>
      <c r="Z67" s="15">
        <v>297</v>
      </c>
      <c r="AC67" s="15">
        <v>47</v>
      </c>
      <c r="AD67" s="15">
        <f t="shared" si="9"/>
        <v>154.89789999999999</v>
      </c>
      <c r="AE67" s="15">
        <f t="shared" si="10"/>
        <v>49.305532919108188</v>
      </c>
      <c r="AF67" s="15">
        <f t="shared" si="11"/>
        <v>32.143299999999996</v>
      </c>
      <c r="AG67" s="16">
        <f t="shared" si="28"/>
        <v>506.25</v>
      </c>
      <c r="AH67" s="15">
        <f t="shared" si="12"/>
        <v>3.0440608806831659</v>
      </c>
      <c r="AI67" s="15">
        <f t="shared" si="13"/>
        <v>1541.0558208458528</v>
      </c>
      <c r="AM67" s="15">
        <v>10.8027314112291</v>
      </c>
      <c r="AN67" s="15">
        <v>111.05136510504001</v>
      </c>
    </row>
    <row r="68" spans="1:40" x14ac:dyDescent="0.25">
      <c r="A68" s="35"/>
      <c r="B68" s="35"/>
      <c r="C68" s="284"/>
      <c r="D68" s="284"/>
      <c r="E68" s="284"/>
      <c r="F68" s="35"/>
      <c r="G68" s="35"/>
      <c r="H68" s="35"/>
      <c r="J68" s="35"/>
      <c r="K68" s="35"/>
      <c r="L68" s="35"/>
      <c r="M68" s="35"/>
      <c r="N68" s="35"/>
      <c r="O68" s="35"/>
      <c r="P68" s="35"/>
      <c r="R68" s="147"/>
      <c r="S68" s="15"/>
      <c r="T68" s="15">
        <v>138</v>
      </c>
      <c r="U68" s="15">
        <v>32.700000000000003</v>
      </c>
      <c r="V68" s="15">
        <v>54</v>
      </c>
      <c r="W68" s="15">
        <v>24.2</v>
      </c>
      <c r="X68" s="15">
        <v>276</v>
      </c>
      <c r="Y68" s="15">
        <v>39</v>
      </c>
      <c r="Z68" s="15">
        <v>315</v>
      </c>
      <c r="AC68" s="15">
        <v>48</v>
      </c>
      <c r="AD68" s="15">
        <f t="shared" si="9"/>
        <v>156.8064</v>
      </c>
      <c r="AE68" s="15">
        <f t="shared" si="10"/>
        <v>49.913027336889954</v>
      </c>
      <c r="AF68" s="15">
        <f t="shared" si="11"/>
        <v>32.188799999999993</v>
      </c>
      <c r="AG68" s="16">
        <f t="shared" si="28"/>
        <v>506.25</v>
      </c>
      <c r="AH68" s="15">
        <f t="shared" si="12"/>
        <v>3.1239506711720773</v>
      </c>
      <c r="AI68" s="15">
        <f t="shared" si="13"/>
        <v>1581.5000272808641</v>
      </c>
      <c r="AM68" s="15">
        <v>11.783004552352001</v>
      </c>
      <c r="AN68" s="15">
        <v>118.666645312919</v>
      </c>
    </row>
    <row r="69" spans="1:40" x14ac:dyDescent="0.25">
      <c r="A69" s="35"/>
      <c r="B69" s="35"/>
      <c r="C69" s="284"/>
      <c r="D69" s="284"/>
      <c r="E69" s="284"/>
      <c r="F69" s="35"/>
      <c r="G69" s="35"/>
      <c r="H69" s="35"/>
      <c r="R69" s="147"/>
      <c r="S69" s="15"/>
      <c r="T69" s="15">
        <v>148</v>
      </c>
      <c r="U69" s="15">
        <v>34</v>
      </c>
      <c r="V69" s="15">
        <v>57.5</v>
      </c>
      <c r="W69" s="15">
        <v>24.6</v>
      </c>
      <c r="X69" s="15">
        <v>293</v>
      </c>
      <c r="Y69" s="15">
        <v>41</v>
      </c>
      <c r="Z69" s="15">
        <v>334</v>
      </c>
      <c r="AC69" s="15">
        <v>49</v>
      </c>
      <c r="AD69" s="15">
        <f t="shared" si="9"/>
        <v>158.65710000000001</v>
      </c>
      <c r="AE69" s="15">
        <f t="shared" si="10"/>
        <v>50.502123443250298</v>
      </c>
      <c r="AF69" s="15">
        <f t="shared" si="11"/>
        <v>32.207699999999988</v>
      </c>
      <c r="AG69" s="16">
        <f t="shared" si="28"/>
        <v>506.25</v>
      </c>
      <c r="AH69" s="15">
        <f t="shared" si="12"/>
        <v>3.2000042004682157</v>
      </c>
      <c r="AI69" s="15">
        <f t="shared" si="13"/>
        <v>1620.0021264870343</v>
      </c>
      <c r="AM69" s="15">
        <v>12.9074355083459</v>
      </c>
      <c r="AN69" s="15">
        <v>127.23419589127199</v>
      </c>
    </row>
    <row r="70" spans="1:40" x14ac:dyDescent="0.25">
      <c r="A70" s="35"/>
      <c r="B70" s="35"/>
      <c r="C70" s="284"/>
      <c r="D70" s="284"/>
      <c r="E70" s="284"/>
      <c r="F70" s="35"/>
      <c r="G70" s="35"/>
      <c r="H70" s="35"/>
      <c r="R70" s="147"/>
      <c r="S70" s="15"/>
      <c r="T70" s="15">
        <v>158</v>
      </c>
      <c r="U70" s="15">
        <v>35.299999999999997</v>
      </c>
      <c r="V70" s="15">
        <v>62</v>
      </c>
      <c r="W70" s="15">
        <v>25.1</v>
      </c>
      <c r="X70" s="15">
        <v>310</v>
      </c>
      <c r="Y70" s="15">
        <v>41</v>
      </c>
      <c r="Z70" s="15">
        <v>351</v>
      </c>
      <c r="AC70" s="15">
        <v>50</v>
      </c>
      <c r="AD70" s="15">
        <f t="shared" si="9"/>
        <v>160.44999999999999</v>
      </c>
      <c r="AE70" s="15">
        <f t="shared" si="10"/>
        <v>51.072821238189213</v>
      </c>
      <c r="AF70" s="15">
        <f t="shared" si="11"/>
        <v>32.200000000000003</v>
      </c>
      <c r="AG70" s="16">
        <f>AG65-(AG65*0.25)</f>
        <v>379.6875</v>
      </c>
      <c r="AH70" s="15">
        <f t="shared" si="12"/>
        <v>3.2719535304662628</v>
      </c>
      <c r="AI70" s="15">
        <f t="shared" si="13"/>
        <v>1242.3198560989092</v>
      </c>
      <c r="AM70" s="15">
        <v>13.974203338391501</v>
      </c>
      <c r="AN70" s="15">
        <v>134.21767209452199</v>
      </c>
    </row>
    <row r="71" spans="1:40" x14ac:dyDescent="0.25">
      <c r="A71" s="35"/>
      <c r="B71" s="35"/>
      <c r="C71" s="284"/>
      <c r="D71" s="284"/>
      <c r="E71" s="284"/>
      <c r="F71" s="35"/>
      <c r="G71" s="35"/>
      <c r="H71" s="35"/>
      <c r="R71" s="147"/>
      <c r="S71" s="15"/>
      <c r="T71" s="15">
        <v>168</v>
      </c>
      <c r="U71" s="15">
        <v>36.6</v>
      </c>
      <c r="V71" s="15">
        <v>66.900000000000006</v>
      </c>
      <c r="W71" s="15">
        <v>25.6</v>
      </c>
      <c r="X71" s="15">
        <v>328</v>
      </c>
      <c r="Y71" s="15">
        <v>41</v>
      </c>
      <c r="Z71" s="15">
        <v>369</v>
      </c>
      <c r="AM71" s="15">
        <v>15.3869499241274</v>
      </c>
      <c r="AN71" s="15">
        <v>142.47340457477301</v>
      </c>
    </row>
    <row r="72" spans="1:40" x14ac:dyDescent="0.25">
      <c r="A72" s="35"/>
      <c r="B72" s="35"/>
      <c r="C72" s="284"/>
      <c r="D72" s="284"/>
      <c r="E72" s="284"/>
      <c r="F72" s="35"/>
      <c r="G72" s="35"/>
      <c r="H72" s="35"/>
      <c r="R72" s="147"/>
      <c r="S72" s="15"/>
      <c r="T72" s="15">
        <v>180</v>
      </c>
      <c r="U72" s="15">
        <v>38.299999999999997</v>
      </c>
      <c r="V72" s="15">
        <v>73.400000000000006</v>
      </c>
      <c r="W72" s="15">
        <v>27.5</v>
      </c>
      <c r="X72" s="15">
        <v>368</v>
      </c>
      <c r="Y72" s="15"/>
      <c r="Z72" s="15">
        <v>368</v>
      </c>
      <c r="AM72" s="15">
        <v>16.828528072837599</v>
      </c>
      <c r="AN72" s="15">
        <v>147.88001329270699</v>
      </c>
    </row>
    <row r="73" spans="1:40" x14ac:dyDescent="0.25">
      <c r="A73" s="35"/>
      <c r="B73" s="35"/>
      <c r="C73" s="284"/>
      <c r="D73" s="284"/>
      <c r="E73" s="284"/>
      <c r="F73" s="35"/>
      <c r="G73" s="35"/>
      <c r="H73" s="35"/>
      <c r="R73" s="147"/>
      <c r="AC73" s="15" t="s">
        <v>331</v>
      </c>
      <c r="AD73" s="15" t="s">
        <v>495</v>
      </c>
      <c r="AE73" s="15"/>
      <c r="AF73" s="15"/>
      <c r="AG73" s="15"/>
      <c r="AH73" s="15"/>
      <c r="AI73" s="15"/>
      <c r="AM73" s="15">
        <v>18.500758725341399</v>
      </c>
      <c r="AN73" s="15">
        <v>153.60708837648701</v>
      </c>
    </row>
    <row r="74" spans="1:40" x14ac:dyDescent="0.25">
      <c r="A74" s="35"/>
      <c r="B74" s="35"/>
      <c r="C74" s="284"/>
      <c r="D74" s="284"/>
      <c r="E74" s="284"/>
      <c r="F74" s="35"/>
      <c r="G74" s="35"/>
      <c r="H74" s="35"/>
      <c r="R74" s="147"/>
      <c r="S74" s="15" t="s">
        <v>6</v>
      </c>
      <c r="T74" s="15" t="s">
        <v>7</v>
      </c>
      <c r="U74" s="15" t="s">
        <v>193</v>
      </c>
      <c r="V74" s="15" t="s">
        <v>194</v>
      </c>
      <c r="W74" s="15" t="s">
        <v>195</v>
      </c>
      <c r="X74" s="15" t="s">
        <v>196</v>
      </c>
      <c r="Y74" s="15" t="s">
        <v>213</v>
      </c>
      <c r="Z74" s="15" t="s">
        <v>212</v>
      </c>
      <c r="AC74" s="15" t="s">
        <v>7</v>
      </c>
      <c r="AD74" s="15" t="s">
        <v>496</v>
      </c>
      <c r="AE74" s="15" t="s">
        <v>497</v>
      </c>
      <c r="AF74" s="15" t="s">
        <v>498</v>
      </c>
      <c r="AG74" s="15" t="s">
        <v>499</v>
      </c>
      <c r="AH74" s="15" t="s">
        <v>500</v>
      </c>
      <c r="AI74" s="15" t="s">
        <v>501</v>
      </c>
      <c r="AM74" s="15">
        <v>19.884673748103101</v>
      </c>
      <c r="AN74" s="15">
        <v>157.11300002802599</v>
      </c>
    </row>
    <row r="75" spans="1:40" x14ac:dyDescent="0.25">
      <c r="A75" s="35"/>
      <c r="B75" s="35"/>
      <c r="C75" s="284"/>
      <c r="D75" s="284"/>
      <c r="E75" s="284"/>
      <c r="F75" s="35"/>
      <c r="G75" s="35"/>
      <c r="H75" s="35"/>
      <c r="R75" s="147"/>
      <c r="S75" s="15">
        <v>3</v>
      </c>
      <c r="T75" s="15">
        <v>47</v>
      </c>
      <c r="U75" s="15">
        <v>14</v>
      </c>
      <c r="V75" s="15">
        <v>17.399999999999999</v>
      </c>
      <c r="W75" s="15">
        <v>15.7</v>
      </c>
      <c r="X75" s="15">
        <v>107.70199999999998</v>
      </c>
      <c r="Y75" s="15">
        <v>0</v>
      </c>
      <c r="Z75" s="15">
        <v>107.70199999999998</v>
      </c>
      <c r="AC75" s="15">
        <v>1</v>
      </c>
      <c r="AD75" s="15">
        <f>-0.0252*AC75^2+4.1054*AC75</f>
        <v>4.0802000000000005</v>
      </c>
      <c r="AE75" s="15">
        <f>AD75/PI()</f>
        <v>1.2987679976071029</v>
      </c>
      <c r="AF75" s="15">
        <f>-0.0116*AC75^2+1.1515*AC75</f>
        <v>1.1398999999999999</v>
      </c>
      <c r="AG75" s="15">
        <v>1600</v>
      </c>
      <c r="AH75" s="15">
        <f>0.496*(AF75*(AD75/100)^2)/(4*PI())</f>
        <v>7.4903389237564825E-5</v>
      </c>
      <c r="AI75" s="15">
        <f>AH75*AG75</f>
        <v>0.11984542278010372</v>
      </c>
      <c r="AM75" s="15">
        <v>21.239757207890701</v>
      </c>
      <c r="AN75" s="15">
        <v>160.61843122024601</v>
      </c>
    </row>
    <row r="76" spans="1:40" x14ac:dyDescent="0.25">
      <c r="A76" s="35"/>
      <c r="B76" s="35"/>
      <c r="C76" s="284"/>
      <c r="D76" s="284"/>
      <c r="E76" s="284"/>
      <c r="F76" s="35"/>
      <c r="G76" s="35"/>
      <c r="H76" s="35"/>
      <c r="R76" s="147"/>
      <c r="S76" s="15"/>
      <c r="T76" s="15">
        <v>55</v>
      </c>
      <c r="U76" s="15">
        <v>15.6</v>
      </c>
      <c r="V76" s="15">
        <v>20</v>
      </c>
      <c r="W76" s="15">
        <v>15.5</v>
      </c>
      <c r="X76" s="15">
        <v>118.48199999999999</v>
      </c>
      <c r="Y76" s="15">
        <v>0</v>
      </c>
      <c r="Z76" s="15">
        <v>118.48199999999999</v>
      </c>
      <c r="AC76" s="15">
        <v>2</v>
      </c>
      <c r="AD76" s="15">
        <f t="shared" ref="AD76:AD124" si="29">-0.0252*AC76^2+4.1054*AC76</f>
        <v>8.1100000000000012</v>
      </c>
      <c r="AE76" s="15">
        <f t="shared" ref="AE76:AE124" si="30">AD76/PI()</f>
        <v>2.5814931769505427</v>
      </c>
      <c r="AF76" s="15">
        <f t="shared" ref="AF76:AF124" si="31">-0.0116*AC76^2+1.1515*AC76</f>
        <v>2.2565999999999997</v>
      </c>
      <c r="AG76" s="15">
        <v>1600</v>
      </c>
      <c r="AH76" s="15">
        <f t="shared" ref="AH76:AH124" si="32">0.496*(AF76*(AD76/100)^2)/(4*PI())</f>
        <v>5.8582527450241147E-4</v>
      </c>
      <c r="AI76" s="15">
        <f t="shared" ref="AI76:AI89" si="33">AH76*AG76</f>
        <v>0.93732043920385832</v>
      </c>
      <c r="AM76" s="15">
        <v>22.306525037936201</v>
      </c>
      <c r="AN76" s="15">
        <v>162.85256705410299</v>
      </c>
    </row>
    <row r="77" spans="1:40" x14ac:dyDescent="0.25">
      <c r="A77" s="35"/>
      <c r="B77" s="35"/>
      <c r="C77" s="284"/>
      <c r="D77" s="284"/>
      <c r="E77" s="284"/>
      <c r="F77" s="35"/>
      <c r="G77" s="35"/>
      <c r="H77" s="35"/>
      <c r="R77" s="147"/>
      <c r="S77" s="15"/>
      <c r="T77" s="15">
        <v>63</v>
      </c>
      <c r="U77" s="15">
        <v>17.100000000000001</v>
      </c>
      <c r="V77" s="15">
        <v>22.9</v>
      </c>
      <c r="W77" s="15">
        <v>16.100000000000001</v>
      </c>
      <c r="X77" s="15">
        <v>92</v>
      </c>
      <c r="Y77" s="15">
        <v>24</v>
      </c>
      <c r="Z77" s="15">
        <v>116</v>
      </c>
      <c r="AC77" s="15">
        <v>3</v>
      </c>
      <c r="AD77" s="15">
        <f t="shared" si="29"/>
        <v>12.089400000000001</v>
      </c>
      <c r="AE77" s="15">
        <f t="shared" si="30"/>
        <v>3.8481755380303193</v>
      </c>
      <c r="AF77" s="15">
        <f t="shared" si="31"/>
        <v>3.3500999999999999</v>
      </c>
      <c r="AG77" s="15">
        <v>1600</v>
      </c>
      <c r="AH77" s="15">
        <f t="shared" si="32"/>
        <v>1.9325871067820773E-3</v>
      </c>
      <c r="AI77" s="15">
        <f t="shared" si="33"/>
        <v>3.0921393708513234</v>
      </c>
      <c r="AM77" s="15">
        <v>22.969650986342899</v>
      </c>
      <c r="AN77" s="15">
        <v>163.496863001029</v>
      </c>
    </row>
    <row r="78" spans="1:40" x14ac:dyDescent="0.25">
      <c r="A78" s="35"/>
      <c r="B78" s="35"/>
      <c r="C78" s="284"/>
      <c r="D78" s="284"/>
      <c r="E78" s="284"/>
      <c r="F78" s="35"/>
      <c r="G78" s="35"/>
      <c r="H78" s="35"/>
      <c r="R78" s="147"/>
      <c r="S78" s="15"/>
      <c r="T78" s="15">
        <v>73</v>
      </c>
      <c r="U78" s="15">
        <v>18.7</v>
      </c>
      <c r="V78" s="15">
        <v>26.4</v>
      </c>
      <c r="W78" s="15">
        <v>17.600000000000001</v>
      </c>
      <c r="X78" s="15">
        <v>112</v>
      </c>
      <c r="Y78" s="15">
        <v>25</v>
      </c>
      <c r="Z78" s="15">
        <v>137</v>
      </c>
      <c r="AC78" s="15">
        <v>4</v>
      </c>
      <c r="AD78" s="15">
        <f t="shared" si="29"/>
        <v>16.0184</v>
      </c>
      <c r="AE78" s="15">
        <f t="shared" si="30"/>
        <v>5.0988150808464328</v>
      </c>
      <c r="AF78" s="15">
        <f t="shared" si="31"/>
        <v>4.4203999999999999</v>
      </c>
      <c r="AG78" s="15">
        <v>1600</v>
      </c>
      <c r="AH78" s="15">
        <f t="shared" si="32"/>
        <v>4.4768408062874744E-3</v>
      </c>
      <c r="AI78" s="15">
        <f t="shared" si="33"/>
        <v>7.1629452900599588</v>
      </c>
    </row>
    <row r="79" spans="1:40" x14ac:dyDescent="0.25">
      <c r="A79" s="35"/>
      <c r="B79" s="35"/>
      <c r="C79" s="284"/>
      <c r="D79" s="284"/>
      <c r="E79" s="284"/>
      <c r="F79" s="35"/>
      <c r="G79" s="35"/>
      <c r="H79" s="35"/>
      <c r="R79" s="147"/>
      <c r="S79" s="15"/>
      <c r="T79" s="15">
        <v>83</v>
      </c>
      <c r="U79" s="15">
        <v>20.2</v>
      </c>
      <c r="V79" s="15">
        <v>29.8</v>
      </c>
      <c r="W79" s="15">
        <v>18.7</v>
      </c>
      <c r="X79" s="15">
        <v>129</v>
      </c>
      <c r="Y79" s="15">
        <v>27</v>
      </c>
      <c r="Z79" s="15">
        <v>156</v>
      </c>
      <c r="AC79" s="15">
        <v>5</v>
      </c>
      <c r="AD79" s="15">
        <f t="shared" si="29"/>
        <v>19.897000000000002</v>
      </c>
      <c r="AE79" s="15">
        <f t="shared" si="30"/>
        <v>6.3334118053988835</v>
      </c>
      <c r="AF79" s="15">
        <f t="shared" si="31"/>
        <v>5.4675000000000002</v>
      </c>
      <c r="AG79" s="15">
        <v>1600</v>
      </c>
      <c r="AH79" s="15">
        <f t="shared" si="32"/>
        <v>8.5434996124349877E-3</v>
      </c>
      <c r="AI79" s="15">
        <f t="shared" si="33"/>
        <v>13.669599379895981</v>
      </c>
    </row>
    <row r="80" spans="1:40" x14ac:dyDescent="0.25">
      <c r="A80" s="35"/>
      <c r="B80" s="35"/>
      <c r="C80" s="284"/>
      <c r="D80" s="284"/>
      <c r="E80" s="284"/>
      <c r="F80" s="35"/>
      <c r="G80" s="35"/>
      <c r="H80" s="35"/>
      <c r="R80" s="147"/>
      <c r="S80" s="15"/>
      <c r="T80" s="15">
        <v>93</v>
      </c>
      <c r="U80" s="15">
        <v>21.6</v>
      </c>
      <c r="V80" s="15">
        <v>33.200000000000003</v>
      </c>
      <c r="W80" s="15">
        <v>19.600000000000001</v>
      </c>
      <c r="X80" s="15">
        <v>145</v>
      </c>
      <c r="Y80" s="15">
        <v>28</v>
      </c>
      <c r="Z80" s="15">
        <v>173</v>
      </c>
      <c r="AC80" s="15">
        <v>6</v>
      </c>
      <c r="AD80" s="15">
        <f t="shared" si="29"/>
        <v>23.725200000000005</v>
      </c>
      <c r="AE80" s="15">
        <f t="shared" si="30"/>
        <v>7.5519657116876724</v>
      </c>
      <c r="AF80" s="15">
        <f t="shared" si="31"/>
        <v>6.4913999999999996</v>
      </c>
      <c r="AG80" s="15">
        <v>1600</v>
      </c>
      <c r="AH80" s="15">
        <f t="shared" si="32"/>
        <v>1.442214799929062E-2</v>
      </c>
      <c r="AI80" s="15">
        <f t="shared" si="33"/>
        <v>23.075436798864992</v>
      </c>
    </row>
    <row r="81" spans="1:35" x14ac:dyDescent="0.25">
      <c r="A81" s="35"/>
      <c r="B81" s="35"/>
      <c r="C81" s="284"/>
      <c r="D81" s="284"/>
      <c r="E81" s="284"/>
      <c r="F81" s="35"/>
      <c r="G81" s="35"/>
      <c r="H81" s="35"/>
      <c r="R81" s="147"/>
      <c r="S81" s="15"/>
      <c r="T81" s="15">
        <v>103</v>
      </c>
      <c r="U81" s="15">
        <v>22.9</v>
      </c>
      <c r="V81" s="15">
        <v>36.299999999999997</v>
      </c>
      <c r="W81" s="15">
        <v>20</v>
      </c>
      <c r="X81" s="15">
        <v>157</v>
      </c>
      <c r="Y81" s="15">
        <v>32</v>
      </c>
      <c r="Z81" s="15">
        <v>189</v>
      </c>
      <c r="AC81" s="15">
        <v>7</v>
      </c>
      <c r="AD81" s="15">
        <f t="shared" si="29"/>
        <v>27.503000000000004</v>
      </c>
      <c r="AE81" s="15">
        <f t="shared" si="30"/>
        <v>8.7544767997127959</v>
      </c>
      <c r="AF81" s="15">
        <f t="shared" si="31"/>
        <v>7.4920999999999989</v>
      </c>
      <c r="AG81" s="15">
        <v>1600</v>
      </c>
      <c r="AH81" s="15">
        <f t="shared" si="32"/>
        <v>2.2368430656476212E-2</v>
      </c>
      <c r="AI81" s="15">
        <f t="shared" si="33"/>
        <v>35.789489050361937</v>
      </c>
    </row>
    <row r="82" spans="1:35" x14ac:dyDescent="0.25">
      <c r="A82" s="35"/>
      <c r="B82" s="35"/>
      <c r="C82" s="284"/>
      <c r="D82" s="284"/>
      <c r="E82" s="284"/>
      <c r="F82" s="35"/>
      <c r="G82" s="35"/>
      <c r="H82" s="35"/>
      <c r="R82" s="147"/>
      <c r="S82" s="15"/>
      <c r="T82" s="15">
        <v>113</v>
      </c>
      <c r="U82" s="15">
        <v>24.1</v>
      </c>
      <c r="V82" s="15">
        <v>39.4</v>
      </c>
      <c r="W82" s="15">
        <v>20.5</v>
      </c>
      <c r="X82" s="15">
        <v>170</v>
      </c>
      <c r="Y82" s="15">
        <v>32</v>
      </c>
      <c r="Z82" s="15">
        <v>202</v>
      </c>
      <c r="AC82" s="15">
        <v>8</v>
      </c>
      <c r="AD82" s="15">
        <f t="shared" si="29"/>
        <v>31.230400000000003</v>
      </c>
      <c r="AE82" s="15">
        <f t="shared" si="30"/>
        <v>9.9409450694742567</v>
      </c>
      <c r="AF82" s="15">
        <f t="shared" si="31"/>
        <v>8.4695999999999998</v>
      </c>
      <c r="AG82" s="15">
        <v>1600</v>
      </c>
      <c r="AH82" s="15">
        <f t="shared" si="32"/>
        <v>3.2605420535537714E-2</v>
      </c>
      <c r="AI82" s="15">
        <f t="shared" si="33"/>
        <v>52.16867285686034</v>
      </c>
    </row>
    <row r="83" spans="1:35" x14ac:dyDescent="0.25">
      <c r="A83" s="353"/>
      <c r="B83" s="353"/>
      <c r="C83" s="353"/>
      <c r="D83" s="353"/>
      <c r="E83" s="284"/>
      <c r="F83" s="35"/>
      <c r="G83" s="35"/>
      <c r="H83" s="35"/>
      <c r="R83" s="147"/>
      <c r="S83" s="15"/>
      <c r="T83" s="15">
        <v>125</v>
      </c>
      <c r="U83" s="15">
        <v>25.6</v>
      </c>
      <c r="V83" s="15">
        <v>42.2</v>
      </c>
      <c r="W83" s="15">
        <v>21.1</v>
      </c>
      <c r="X83" s="15">
        <v>187</v>
      </c>
      <c r="Y83" s="15">
        <v>38</v>
      </c>
      <c r="Z83" s="15">
        <v>225</v>
      </c>
      <c r="AC83" s="15">
        <v>9</v>
      </c>
      <c r="AD83" s="15">
        <f t="shared" si="29"/>
        <v>34.90740000000001</v>
      </c>
      <c r="AE83" s="15">
        <f t="shared" si="30"/>
        <v>11.111370520972057</v>
      </c>
      <c r="AF83" s="15">
        <f t="shared" si="31"/>
        <v>9.4238999999999997</v>
      </c>
      <c r="AG83" s="15">
        <v>1600</v>
      </c>
      <c r="AH83" s="15">
        <f t="shared" si="32"/>
        <v>4.5324965961775571E-2</v>
      </c>
      <c r="AI83" s="15">
        <f t="shared" si="33"/>
        <v>72.519945538840915</v>
      </c>
    </row>
    <row r="84" spans="1:35" x14ac:dyDescent="0.25">
      <c r="A84" s="35"/>
      <c r="B84" s="35"/>
      <c r="C84" s="35"/>
      <c r="D84" s="35"/>
      <c r="E84" s="35"/>
      <c r="F84" s="35"/>
      <c r="G84" s="35"/>
      <c r="H84" s="35"/>
      <c r="R84" s="147"/>
      <c r="S84" s="15"/>
      <c r="T84" s="15">
        <v>137</v>
      </c>
      <c r="U84" s="15">
        <v>27</v>
      </c>
      <c r="V84" s="15">
        <v>44.6</v>
      </c>
      <c r="W84" s="15">
        <v>21.7</v>
      </c>
      <c r="X84" s="15">
        <v>203</v>
      </c>
      <c r="Y84" s="15">
        <v>40</v>
      </c>
      <c r="Z84" s="15">
        <v>243</v>
      </c>
      <c r="AC84" s="15">
        <v>10</v>
      </c>
      <c r="AD84" s="15">
        <f t="shared" si="29"/>
        <v>38.533999999999999</v>
      </c>
      <c r="AE84" s="15">
        <f t="shared" si="30"/>
        <v>12.265753154206189</v>
      </c>
      <c r="AF84" s="15">
        <f t="shared" si="31"/>
        <v>10.355</v>
      </c>
      <c r="AG84" s="15">
        <v>1600</v>
      </c>
      <c r="AH84" s="15">
        <f t="shared" si="32"/>
        <v>6.0689016811536982E-2</v>
      </c>
      <c r="AI84" s="15">
        <f t="shared" si="33"/>
        <v>97.102426898459171</v>
      </c>
    </row>
    <row r="85" spans="1:35" x14ac:dyDescent="0.25">
      <c r="A85" s="35"/>
      <c r="B85" s="35"/>
      <c r="C85" s="35"/>
      <c r="D85" s="35"/>
      <c r="E85" s="35"/>
      <c r="F85" s="35"/>
      <c r="G85" s="35"/>
      <c r="H85" s="35"/>
      <c r="R85" s="147"/>
      <c r="S85" s="15"/>
      <c r="T85" s="15">
        <v>149</v>
      </c>
      <c r="U85" s="15">
        <v>28.5</v>
      </c>
      <c r="V85" s="15">
        <v>47.3</v>
      </c>
      <c r="W85" s="15">
        <v>22.3</v>
      </c>
      <c r="X85" s="15">
        <v>220</v>
      </c>
      <c r="Y85" s="15">
        <v>40</v>
      </c>
      <c r="Z85" s="15">
        <v>260</v>
      </c>
      <c r="AC85" s="15">
        <v>11</v>
      </c>
      <c r="AD85" s="15">
        <f t="shared" si="29"/>
        <v>42.110200000000006</v>
      </c>
      <c r="AE85" s="15">
        <f t="shared" si="30"/>
        <v>13.404092969176665</v>
      </c>
      <c r="AF85" s="15">
        <f t="shared" si="31"/>
        <v>11.262899999999998</v>
      </c>
      <c r="AG85" s="15">
        <v>1600</v>
      </c>
      <c r="AH85" s="15">
        <f t="shared" si="32"/>
        <v>7.8830929754970608E-2</v>
      </c>
      <c r="AI85" s="15">
        <f t="shared" si="33"/>
        <v>126.12948760795297</v>
      </c>
    </row>
    <row r="86" spans="1:35" x14ac:dyDescent="0.25">
      <c r="A86" s="35"/>
      <c r="B86" s="35"/>
      <c r="C86" s="284"/>
      <c r="D86" s="284"/>
      <c r="E86" s="284"/>
      <c r="F86" s="35"/>
      <c r="G86" s="35"/>
      <c r="H86" s="35"/>
      <c r="R86" s="147"/>
      <c r="S86" s="15"/>
      <c r="T86" s="15">
        <v>164</v>
      </c>
      <c r="U86" s="15">
        <v>30.2</v>
      </c>
      <c r="V86" s="15">
        <v>50.9</v>
      </c>
      <c r="W86" s="15">
        <v>23.1</v>
      </c>
      <c r="X86" s="15">
        <v>244</v>
      </c>
      <c r="Y86" s="15">
        <v>52</v>
      </c>
      <c r="Z86" s="15">
        <v>296</v>
      </c>
      <c r="AC86" s="15">
        <v>12</v>
      </c>
      <c r="AD86" s="15">
        <f t="shared" si="29"/>
        <v>45.63600000000001</v>
      </c>
      <c r="AE86" s="15">
        <f t="shared" si="30"/>
        <v>14.526389965883475</v>
      </c>
      <c r="AF86" s="15">
        <f t="shared" si="31"/>
        <v>12.147600000000001</v>
      </c>
      <c r="AG86" s="15">
        <v>1600</v>
      </c>
      <c r="AH86" s="15">
        <f t="shared" si="32"/>
        <v>9.9856752564242882E-2</v>
      </c>
      <c r="AI86" s="15">
        <f t="shared" si="33"/>
        <v>159.77080410278862</v>
      </c>
    </row>
    <row r="87" spans="1:35" x14ac:dyDescent="0.25">
      <c r="A87" s="35"/>
      <c r="B87" s="35"/>
      <c r="C87" s="284"/>
      <c r="D87" s="284"/>
      <c r="E87" s="284"/>
      <c r="F87" s="35"/>
      <c r="G87" s="35"/>
      <c r="H87" s="35"/>
      <c r="R87" s="147"/>
      <c r="S87" s="15"/>
      <c r="T87" s="15">
        <v>179</v>
      </c>
      <c r="U87" s="15">
        <v>32</v>
      </c>
      <c r="V87" s="15">
        <v>54.9</v>
      </c>
      <c r="W87" s="15">
        <v>23.7</v>
      </c>
      <c r="X87" s="15">
        <v>266</v>
      </c>
      <c r="Y87" s="15">
        <v>56</v>
      </c>
      <c r="Z87" s="15">
        <v>322</v>
      </c>
      <c r="AC87" s="15">
        <v>13</v>
      </c>
      <c r="AD87" s="15">
        <f t="shared" si="29"/>
        <v>49.111400000000003</v>
      </c>
      <c r="AE87" s="15">
        <f t="shared" si="30"/>
        <v>15.632644144326619</v>
      </c>
      <c r="AF87" s="15">
        <f t="shared" si="31"/>
        <v>13.0091</v>
      </c>
      <c r="AG87" s="15">
        <v>1600</v>
      </c>
      <c r="AH87" s="15">
        <f t="shared" si="32"/>
        <v>0.12384648748721662</v>
      </c>
      <c r="AI87" s="15">
        <f t="shared" si="33"/>
        <v>198.1543799795466</v>
      </c>
    </row>
    <row r="88" spans="1:35" x14ac:dyDescent="0.25">
      <c r="A88" s="35"/>
      <c r="B88" s="35"/>
      <c r="C88" s="284"/>
      <c r="D88" s="284"/>
      <c r="E88" s="284"/>
      <c r="F88" s="35"/>
      <c r="G88" s="35"/>
      <c r="H88" s="35"/>
      <c r="R88" s="147"/>
      <c r="S88" s="15"/>
      <c r="T88" s="15">
        <v>190</v>
      </c>
      <c r="U88" s="15">
        <v>33.299999999999997</v>
      </c>
      <c r="V88" s="15">
        <v>59.3</v>
      </c>
      <c r="W88" s="15">
        <v>27.6</v>
      </c>
      <c r="X88" s="15">
        <v>323</v>
      </c>
      <c r="Y88" s="15"/>
      <c r="Z88" s="15">
        <v>323</v>
      </c>
      <c r="AC88" s="15">
        <v>14</v>
      </c>
      <c r="AD88" s="15">
        <f t="shared" si="29"/>
        <v>52.536400000000008</v>
      </c>
      <c r="AE88" s="15">
        <f t="shared" si="30"/>
        <v>16.722855504506104</v>
      </c>
      <c r="AF88" s="15">
        <f t="shared" si="31"/>
        <v>13.847399999999999</v>
      </c>
      <c r="AG88" s="15">
        <v>1600</v>
      </c>
      <c r="AH88" s="15">
        <f t="shared" si="32"/>
        <v>0.15085533368659185</v>
      </c>
      <c r="AI88" s="15">
        <f t="shared" si="33"/>
        <v>241.36853389854696</v>
      </c>
    </row>
    <row r="89" spans="1:35" x14ac:dyDescent="0.25">
      <c r="A89" s="35"/>
      <c r="B89" s="35"/>
      <c r="C89" s="284"/>
      <c r="D89" s="284"/>
      <c r="E89" s="284"/>
      <c r="F89" s="35"/>
      <c r="G89" s="35"/>
      <c r="H89" s="35"/>
      <c r="R89" s="147"/>
      <c r="S89" s="147"/>
      <c r="T89" s="147"/>
      <c r="U89" s="147"/>
      <c r="V89" s="147"/>
      <c r="AC89" s="15">
        <v>15</v>
      </c>
      <c r="AD89" s="15">
        <f t="shared" si="29"/>
        <v>55.911000000000001</v>
      </c>
      <c r="AE89" s="15">
        <f t="shared" si="30"/>
        <v>17.797024046421921</v>
      </c>
      <c r="AF89" s="15">
        <f t="shared" si="31"/>
        <v>14.662500000000001</v>
      </c>
      <c r="AG89" s="15">
        <f>AG75-(AG75*0.25)</f>
        <v>1200</v>
      </c>
      <c r="AH89" s="15">
        <f t="shared" si="32"/>
        <v>0.1809149087445083</v>
      </c>
      <c r="AI89" s="15">
        <f t="shared" si="33"/>
        <v>217.09789049340995</v>
      </c>
    </row>
    <row r="90" spans="1:35" x14ac:dyDescent="0.25">
      <c r="A90" s="35"/>
      <c r="B90" s="35"/>
      <c r="C90" s="284"/>
      <c r="D90" s="284"/>
      <c r="E90" s="284"/>
      <c r="F90" s="35"/>
      <c r="G90" s="35"/>
      <c r="H90" s="35"/>
      <c r="R90" s="147"/>
      <c r="S90" s="147"/>
      <c r="T90" s="147"/>
      <c r="U90" s="147"/>
      <c r="V90" s="147"/>
      <c r="AC90" s="15">
        <v>16</v>
      </c>
      <c r="AD90" s="15">
        <f t="shared" si="29"/>
        <v>59.235200000000006</v>
      </c>
      <c r="AE90" s="15">
        <f t="shared" si="30"/>
        <v>18.855149770074078</v>
      </c>
      <c r="AF90" s="15">
        <f t="shared" si="31"/>
        <v>15.4544</v>
      </c>
      <c r="AG90" s="15">
        <f t="shared" ref="AG90:AG98" si="34">AG76-(AG76*0.25)</f>
        <v>1200</v>
      </c>
      <c r="AH90" s="15">
        <f t="shared" si="32"/>
        <v>0.21403444923261036</v>
      </c>
      <c r="AI90" s="15">
        <f>AH90*AG90</f>
        <v>256.84133907913241</v>
      </c>
    </row>
    <row r="91" spans="1:35" x14ac:dyDescent="0.25">
      <c r="A91" s="35"/>
      <c r="B91" s="35"/>
      <c r="C91" s="284"/>
      <c r="D91" s="284"/>
      <c r="E91" s="284"/>
      <c r="F91" s="35"/>
      <c r="G91" s="35"/>
      <c r="H91" s="35"/>
      <c r="R91" s="147"/>
      <c r="S91" s="147"/>
      <c r="T91" s="147"/>
      <c r="U91" s="147"/>
      <c r="V91" s="147"/>
      <c r="AC91" s="15">
        <v>17</v>
      </c>
      <c r="AD91" s="15">
        <f t="shared" si="29"/>
        <v>62.509000000000007</v>
      </c>
      <c r="AE91" s="15">
        <f t="shared" si="30"/>
        <v>19.897232675462575</v>
      </c>
      <c r="AF91" s="15">
        <f t="shared" si="31"/>
        <v>16.223099999999999</v>
      </c>
      <c r="AG91" s="15">
        <f t="shared" si="34"/>
        <v>1200</v>
      </c>
      <c r="AH91" s="15">
        <f t="shared" si="32"/>
        <v>0.25020199034757362</v>
      </c>
      <c r="AI91" s="15">
        <f t="shared" ref="AI91:AI119" si="35">AH91*AG91</f>
        <v>300.24238841708836</v>
      </c>
    </row>
    <row r="92" spans="1:35" x14ac:dyDescent="0.25">
      <c r="A92" s="35"/>
      <c r="B92" s="35"/>
      <c r="C92" s="284"/>
      <c r="D92" s="284"/>
      <c r="E92" s="284"/>
      <c r="F92" s="35"/>
      <c r="G92" s="35"/>
      <c r="H92" s="35"/>
      <c r="R92" s="147"/>
      <c r="S92" s="147"/>
      <c r="T92" s="147"/>
      <c r="U92" s="147"/>
      <c r="V92" s="147"/>
      <c r="AC92" s="15">
        <v>18</v>
      </c>
      <c r="AD92" s="15">
        <f t="shared" si="29"/>
        <v>65.732400000000013</v>
      </c>
      <c r="AE92" s="15">
        <f t="shared" si="30"/>
        <v>20.923272762587406</v>
      </c>
      <c r="AF92" s="15">
        <f t="shared" si="31"/>
        <v>16.968600000000002</v>
      </c>
      <c r="AG92" s="15">
        <f t="shared" si="34"/>
        <v>1200</v>
      </c>
      <c r="AH92" s="15">
        <f t="shared" si="32"/>
        <v>0.28938552461209449</v>
      </c>
      <c r="AI92" s="15">
        <f t="shared" si="35"/>
        <v>347.26262953451339</v>
      </c>
    </row>
    <row r="93" spans="1:35" x14ac:dyDescent="0.25">
      <c r="A93" s="35"/>
      <c r="B93" s="35"/>
      <c r="C93" s="284"/>
      <c r="D93" s="284"/>
      <c r="E93" s="284"/>
      <c r="F93" s="35"/>
      <c r="G93" s="35"/>
      <c r="H93" s="35"/>
      <c r="R93" s="147"/>
      <c r="S93" s="147"/>
      <c r="T93" s="147"/>
      <c r="U93" s="147"/>
      <c r="V93" s="147"/>
      <c r="AC93" s="15">
        <v>19</v>
      </c>
      <c r="AD93" s="15">
        <f t="shared" si="29"/>
        <v>68.9054</v>
      </c>
      <c r="AE93" s="15">
        <f t="shared" si="30"/>
        <v>21.933270031448572</v>
      </c>
      <c r="AF93" s="15">
        <f t="shared" si="31"/>
        <v>17.690899999999999</v>
      </c>
      <c r="AG93" s="15">
        <f t="shared" si="34"/>
        <v>1200</v>
      </c>
      <c r="AH93" s="15">
        <f t="shared" si="32"/>
        <v>0.33153413964133976</v>
      </c>
      <c r="AI93" s="15">
        <f t="shared" si="35"/>
        <v>397.8409675696077</v>
      </c>
    </row>
    <row r="94" spans="1:35" x14ac:dyDescent="0.25">
      <c r="A94" s="35"/>
      <c r="B94" s="35"/>
      <c r="C94" s="284"/>
      <c r="D94" s="284"/>
      <c r="E94" s="284"/>
      <c r="F94" s="35"/>
      <c r="G94" s="35"/>
      <c r="H94" s="35"/>
      <c r="R94" s="147"/>
      <c r="S94" s="147"/>
      <c r="T94" s="147"/>
      <c r="U94" s="147"/>
      <c r="V94" s="147"/>
      <c r="AC94" s="15">
        <v>20</v>
      </c>
      <c r="AD94" s="15">
        <f t="shared" si="29"/>
        <v>72.028000000000006</v>
      </c>
      <c r="AE94" s="15">
        <f t="shared" si="30"/>
        <v>22.927224482046078</v>
      </c>
      <c r="AF94" s="15">
        <f t="shared" si="31"/>
        <v>18.39</v>
      </c>
      <c r="AG94" s="15">
        <f t="shared" si="34"/>
        <v>1200</v>
      </c>
      <c r="AH94" s="15">
        <f t="shared" si="32"/>
        <v>0.37657913497486156</v>
      </c>
      <c r="AI94" s="15">
        <f t="shared" si="35"/>
        <v>451.8949619698339</v>
      </c>
    </row>
    <row r="95" spans="1:35" x14ac:dyDescent="0.25">
      <c r="A95" s="35"/>
      <c r="B95" s="35"/>
      <c r="C95" s="284"/>
      <c r="D95" s="284"/>
      <c r="E95" s="284"/>
      <c r="F95" s="35"/>
      <c r="G95" s="35"/>
      <c r="H95" s="35"/>
      <c r="R95" s="147"/>
      <c r="S95" s="147"/>
      <c r="T95" s="147"/>
      <c r="U95" s="147"/>
      <c r="V95" s="147"/>
      <c r="AC95" s="15">
        <v>21</v>
      </c>
      <c r="AD95" s="15">
        <f t="shared" si="29"/>
        <v>75.100200000000001</v>
      </c>
      <c r="AE95" s="15">
        <f t="shared" si="30"/>
        <v>23.905136114379918</v>
      </c>
      <c r="AF95" s="15">
        <f t="shared" si="31"/>
        <v>19.065899999999999</v>
      </c>
      <c r="AG95" s="15">
        <f t="shared" si="34"/>
        <v>1200</v>
      </c>
      <c r="AH95" s="15">
        <f t="shared" si="32"/>
        <v>0.4244351179739706</v>
      </c>
      <c r="AI95" s="15">
        <f t="shared" si="35"/>
        <v>509.32214156876472</v>
      </c>
    </row>
    <row r="96" spans="1:35" x14ac:dyDescent="0.25">
      <c r="A96" s="35"/>
      <c r="B96" s="35"/>
      <c r="C96" s="284"/>
      <c r="D96" s="284"/>
      <c r="E96" s="284"/>
      <c r="F96" s="35"/>
      <c r="G96" s="35"/>
      <c r="H96" s="35"/>
      <c r="R96" s="147"/>
      <c r="S96" s="147"/>
      <c r="T96" s="147"/>
      <c r="U96" s="147"/>
      <c r="V96" s="147"/>
      <c r="AC96" s="15">
        <v>22</v>
      </c>
      <c r="AD96" s="15">
        <f t="shared" si="29"/>
        <v>78.122000000000014</v>
      </c>
      <c r="AE96" s="15">
        <f t="shared" si="30"/>
        <v>24.8670049284501</v>
      </c>
      <c r="AF96" s="15">
        <f t="shared" si="31"/>
        <v>19.718599999999999</v>
      </c>
      <c r="AG96" s="15">
        <f t="shared" si="34"/>
        <v>1200</v>
      </c>
      <c r="AH96" s="15">
        <f t="shared" si="32"/>
        <v>0.47500107878457459</v>
      </c>
      <c r="AI96" s="15">
        <f t="shared" si="35"/>
        <v>570.00129454148953</v>
      </c>
    </row>
    <row r="97" spans="1:35" x14ac:dyDescent="0.25">
      <c r="A97" s="35"/>
      <c r="B97" s="35"/>
      <c r="C97" s="284"/>
      <c r="D97" s="284"/>
      <c r="E97" s="284"/>
      <c r="F97" s="35"/>
      <c r="G97" s="35"/>
      <c r="H97" s="35"/>
      <c r="R97" s="147"/>
      <c r="S97" s="147"/>
      <c r="T97" s="147"/>
      <c r="U97" s="147"/>
      <c r="V97" s="147"/>
      <c r="AC97" s="15">
        <v>23</v>
      </c>
      <c r="AD97" s="15">
        <f t="shared" si="29"/>
        <v>81.093400000000017</v>
      </c>
      <c r="AE97" s="15">
        <f t="shared" si="30"/>
        <v>25.812830924256616</v>
      </c>
      <c r="AF97" s="15">
        <f t="shared" si="31"/>
        <v>20.348100000000002</v>
      </c>
      <c r="AG97" s="15">
        <f t="shared" si="34"/>
        <v>1200</v>
      </c>
      <c r="AH97" s="15">
        <f t="shared" si="32"/>
        <v>0.52816144436547685</v>
      </c>
      <c r="AI97" s="15">
        <f t="shared" si="35"/>
        <v>633.79373323857226</v>
      </c>
    </row>
    <row r="98" spans="1:35" x14ac:dyDescent="0.25">
      <c r="A98" s="35"/>
      <c r="B98" s="35"/>
      <c r="C98" s="284"/>
      <c r="D98" s="284"/>
      <c r="E98" s="284"/>
      <c r="F98" s="35"/>
      <c r="G98" s="35"/>
      <c r="H98" s="35"/>
      <c r="R98" s="147"/>
      <c r="S98" s="147"/>
      <c r="T98" s="147"/>
      <c r="U98" s="147"/>
      <c r="V98" s="147"/>
      <c r="AC98" s="15">
        <v>24</v>
      </c>
      <c r="AD98" s="15">
        <f t="shared" si="29"/>
        <v>84.014400000000023</v>
      </c>
      <c r="AE98" s="15">
        <f t="shared" si="30"/>
        <v>26.742614101799472</v>
      </c>
      <c r="AF98" s="15">
        <f t="shared" si="31"/>
        <v>20.9544</v>
      </c>
      <c r="AG98" s="15">
        <f t="shared" si="34"/>
        <v>1200</v>
      </c>
      <c r="AH98" s="15">
        <f t="shared" si="32"/>
        <v>0.58378711158213725</v>
      </c>
      <c r="AI98" s="15">
        <f t="shared" si="35"/>
        <v>700.54453389856474</v>
      </c>
    </row>
    <row r="99" spans="1:35" x14ac:dyDescent="0.25">
      <c r="A99" s="35"/>
      <c r="B99" s="35"/>
      <c r="C99" s="284"/>
      <c r="D99" s="284"/>
      <c r="E99" s="284"/>
      <c r="F99" s="35"/>
      <c r="G99" s="35"/>
      <c r="H99" s="35"/>
      <c r="R99" s="147"/>
      <c r="S99" s="147"/>
      <c r="T99" s="147"/>
      <c r="U99" s="147"/>
      <c r="V99" s="147"/>
      <c r="AC99" s="15">
        <v>25</v>
      </c>
      <c r="AD99" s="15">
        <f t="shared" si="29"/>
        <v>86.885000000000005</v>
      </c>
      <c r="AE99" s="15">
        <f t="shared" si="30"/>
        <v>27.656354461078656</v>
      </c>
      <c r="AF99" s="15">
        <f t="shared" si="31"/>
        <v>21.537499999999998</v>
      </c>
      <c r="AG99" s="15">
        <f>AG89-(AG89*0.25)</f>
        <v>900</v>
      </c>
      <c r="AH99" s="15">
        <f t="shared" si="32"/>
        <v>0.64173645936589641</v>
      </c>
      <c r="AI99" s="15">
        <f t="shared" si="35"/>
        <v>577.56281342930674</v>
      </c>
    </row>
    <row r="100" spans="1:35" x14ac:dyDescent="0.25">
      <c r="A100" s="35"/>
      <c r="B100" s="35"/>
      <c r="C100" s="284"/>
      <c r="D100" s="284"/>
      <c r="E100" s="284"/>
      <c r="F100" s="35"/>
      <c r="G100" s="35"/>
      <c r="H100" s="35"/>
      <c r="R100" s="147"/>
      <c r="S100" s="147"/>
      <c r="T100" s="147"/>
      <c r="U100" s="147"/>
      <c r="V100" s="147"/>
      <c r="AC100" s="15">
        <v>26</v>
      </c>
      <c r="AD100" s="15">
        <f t="shared" si="29"/>
        <v>89.705200000000005</v>
      </c>
      <c r="AE100" s="15">
        <f t="shared" si="30"/>
        <v>28.554052002094181</v>
      </c>
      <c r="AF100" s="15">
        <f t="shared" si="31"/>
        <v>22.0974</v>
      </c>
      <c r="AG100" s="15">
        <f t="shared" ref="AG100:AG108" si="36">AG90-(AG90*0.25)</f>
        <v>900</v>
      </c>
      <c r="AH100" s="15">
        <f t="shared" si="32"/>
        <v>0.70185633993866148</v>
      </c>
      <c r="AI100" s="15">
        <f t="shared" si="35"/>
        <v>631.67070594479537</v>
      </c>
    </row>
    <row r="101" spans="1:35" x14ac:dyDescent="0.25">
      <c r="A101" s="35"/>
      <c r="B101" s="353"/>
      <c r="C101" s="353"/>
      <c r="D101" s="353"/>
      <c r="E101" s="284"/>
      <c r="F101" s="35"/>
      <c r="G101" s="35"/>
      <c r="H101" s="35"/>
      <c r="R101" s="147"/>
      <c r="S101" s="147"/>
      <c r="T101" s="147"/>
      <c r="U101" s="147"/>
      <c r="V101" s="147"/>
      <c r="AC101" s="15">
        <v>27</v>
      </c>
      <c r="AD101" s="15">
        <f t="shared" si="29"/>
        <v>92.475000000000009</v>
      </c>
      <c r="AE101" s="15">
        <f t="shared" si="30"/>
        <v>29.435706724846046</v>
      </c>
      <c r="AF101" s="15">
        <f t="shared" si="31"/>
        <v>22.6341</v>
      </c>
      <c r="AG101" s="15">
        <f t="shared" si="36"/>
        <v>900</v>
      </c>
      <c r="AH101" s="15">
        <f t="shared" si="32"/>
        <v>0.76398304910305104</v>
      </c>
      <c r="AI101" s="15">
        <f t="shared" si="35"/>
        <v>687.58474419274592</v>
      </c>
    </row>
    <row r="102" spans="1:35" x14ac:dyDescent="0.25">
      <c r="A102" s="35"/>
      <c r="B102" s="35"/>
      <c r="C102" s="35"/>
      <c r="D102" s="35"/>
      <c r="E102" s="35"/>
      <c r="F102" s="35"/>
      <c r="G102" s="35"/>
      <c r="H102" s="35"/>
      <c r="R102" s="147"/>
      <c r="S102" s="147"/>
      <c r="T102" s="147"/>
      <c r="U102" s="147"/>
      <c r="V102" s="147"/>
      <c r="AC102" s="15">
        <v>28</v>
      </c>
      <c r="AD102" s="15">
        <f t="shared" si="29"/>
        <v>95.194400000000016</v>
      </c>
      <c r="AE102" s="15">
        <f t="shared" si="30"/>
        <v>30.301318629334251</v>
      </c>
      <c r="AF102" s="15">
        <f t="shared" si="31"/>
        <v>23.147599999999997</v>
      </c>
      <c r="AG102" s="15">
        <f t="shared" si="36"/>
        <v>900</v>
      </c>
      <c r="AH102" s="15">
        <f t="shared" si="32"/>
        <v>0.82794327559800784</v>
      </c>
      <c r="AI102" s="15">
        <f t="shared" si="35"/>
        <v>745.1489480382071</v>
      </c>
    </row>
    <row r="103" spans="1:35" ht="16.5" x14ac:dyDescent="0.3">
      <c r="A103" s="85"/>
      <c r="B103" s="35"/>
      <c r="C103" s="35"/>
      <c r="D103" s="35"/>
      <c r="E103" s="35"/>
      <c r="F103" s="35"/>
      <c r="G103" s="35"/>
      <c r="H103" s="35"/>
      <c r="R103" s="147"/>
      <c r="S103" s="147"/>
      <c r="T103" s="147"/>
      <c r="U103" s="147"/>
      <c r="V103" s="147"/>
      <c r="AC103" s="15">
        <v>29</v>
      </c>
      <c r="AD103" s="15">
        <f t="shared" si="29"/>
        <v>97.863400000000013</v>
      </c>
      <c r="AE103" s="15">
        <f t="shared" si="30"/>
        <v>31.150887715558785</v>
      </c>
      <c r="AF103" s="15">
        <f t="shared" si="31"/>
        <v>23.637899999999995</v>
      </c>
      <c r="AG103" s="15">
        <f t="shared" si="36"/>
        <v>900</v>
      </c>
      <c r="AH103" s="15">
        <f t="shared" si="32"/>
        <v>0.89355502951986854</v>
      </c>
      <c r="AI103" s="15">
        <f t="shared" si="35"/>
        <v>804.19952656788166</v>
      </c>
    </row>
    <row r="104" spans="1:35" x14ac:dyDescent="0.25">
      <c r="A104" s="35"/>
      <c r="B104" s="35"/>
      <c r="C104" s="35"/>
      <c r="D104" s="35"/>
      <c r="E104" s="35"/>
      <c r="F104" s="35"/>
      <c r="G104" s="35"/>
      <c r="H104" s="35"/>
      <c r="R104" s="147"/>
      <c r="S104" s="147"/>
      <c r="T104" s="147"/>
      <c r="U104" s="147"/>
      <c r="V104" s="147"/>
      <c r="AC104" s="15">
        <v>30</v>
      </c>
      <c r="AD104" s="15">
        <f t="shared" si="29"/>
        <v>100.482</v>
      </c>
      <c r="AE104" s="15">
        <f t="shared" si="30"/>
        <v>31.984413983519655</v>
      </c>
      <c r="AF104" s="15">
        <f t="shared" si="31"/>
        <v>24.105000000000004</v>
      </c>
      <c r="AG104" s="15">
        <f t="shared" si="36"/>
        <v>900</v>
      </c>
      <c r="AH104" s="15">
        <f t="shared" si="32"/>
        <v>0.96062854980889745</v>
      </c>
      <c r="AI104" s="74">
        <f t="shared" si="35"/>
        <v>864.56569482800774</v>
      </c>
    </row>
    <row r="105" spans="1:35" x14ac:dyDescent="0.25">
      <c r="A105" s="35"/>
      <c r="B105" s="35"/>
      <c r="C105" s="35"/>
      <c r="D105" s="35"/>
      <c r="E105" s="35"/>
      <c r="F105" s="35"/>
      <c r="G105" s="35"/>
      <c r="H105" s="35"/>
      <c r="R105" s="147"/>
      <c r="S105" s="147"/>
      <c r="T105" s="147"/>
      <c r="U105" s="147"/>
      <c r="V105" s="147"/>
      <c r="AC105" s="15">
        <v>31</v>
      </c>
      <c r="AD105" s="15">
        <f t="shared" si="29"/>
        <v>103.0502</v>
      </c>
      <c r="AE105" s="15">
        <f t="shared" si="30"/>
        <v>32.801897433216865</v>
      </c>
      <c r="AF105" s="15">
        <f t="shared" si="31"/>
        <v>24.548900000000003</v>
      </c>
      <c r="AG105" s="15">
        <f t="shared" si="36"/>
        <v>900</v>
      </c>
      <c r="AH105" s="15">
        <f t="shared" si="32"/>
        <v>1.0289671908012825</v>
      </c>
      <c r="AI105" s="15">
        <f t="shared" si="35"/>
        <v>926.07047172115426</v>
      </c>
    </row>
    <row r="106" spans="1:35" x14ac:dyDescent="0.25">
      <c r="A106" s="35"/>
      <c r="B106" s="79"/>
      <c r="C106" s="35"/>
      <c r="D106" s="35"/>
      <c r="E106" s="35"/>
      <c r="F106" s="35"/>
      <c r="G106" s="35"/>
      <c r="H106" s="35"/>
      <c r="R106" s="147"/>
      <c r="S106" s="147"/>
      <c r="T106" s="147"/>
      <c r="U106" s="147"/>
      <c r="V106" s="147"/>
      <c r="AC106" s="15">
        <v>32</v>
      </c>
      <c r="AD106" s="15">
        <f t="shared" si="29"/>
        <v>105.56800000000001</v>
      </c>
      <c r="AE106" s="15">
        <f t="shared" si="30"/>
        <v>33.603338064650416</v>
      </c>
      <c r="AF106" s="15">
        <f t="shared" si="31"/>
        <v>24.9696</v>
      </c>
      <c r="AG106" s="15">
        <f t="shared" si="36"/>
        <v>900</v>
      </c>
      <c r="AH106" s="15">
        <f t="shared" si="32"/>
        <v>1.0983682878465937</v>
      </c>
      <c r="AI106" s="15">
        <f t="shared" si="35"/>
        <v>988.53145906193436</v>
      </c>
    </row>
    <row r="107" spans="1:35" x14ac:dyDescent="0.25">
      <c r="A107" s="35"/>
      <c r="B107" s="79"/>
      <c r="C107" s="35"/>
      <c r="D107" s="35"/>
      <c r="E107" s="79"/>
      <c r="F107" s="35"/>
      <c r="G107" s="35"/>
      <c r="H107" s="35"/>
      <c r="R107" s="147"/>
      <c r="S107" s="147"/>
      <c r="T107" s="147"/>
      <c r="U107" s="147"/>
      <c r="V107" s="147"/>
      <c r="AC107" s="15">
        <v>33</v>
      </c>
      <c r="AD107" s="15">
        <f t="shared" si="29"/>
        <v>108.03540000000001</v>
      </c>
      <c r="AE107" s="15">
        <f t="shared" si="30"/>
        <v>34.388735877820302</v>
      </c>
      <c r="AF107" s="15">
        <f t="shared" si="31"/>
        <v>25.367100000000001</v>
      </c>
      <c r="AG107" s="15">
        <f t="shared" si="36"/>
        <v>900</v>
      </c>
      <c r="AH107" s="15">
        <f t="shared" si="32"/>
        <v>1.1686240019907013</v>
      </c>
      <c r="AI107" s="15">
        <f t="shared" si="35"/>
        <v>1051.7616017916312</v>
      </c>
    </row>
    <row r="108" spans="1:35" x14ac:dyDescent="0.25">
      <c r="A108" s="35"/>
      <c r="B108" s="79"/>
      <c r="C108" s="35"/>
      <c r="D108" s="35"/>
      <c r="E108" s="79"/>
      <c r="F108" s="35"/>
      <c r="G108" s="35"/>
      <c r="H108" s="35"/>
      <c r="R108" s="147"/>
      <c r="S108" s="147"/>
      <c r="T108" s="147"/>
      <c r="U108" s="147"/>
      <c r="V108" s="147"/>
      <c r="AC108" s="15">
        <v>34</v>
      </c>
      <c r="AD108" s="15">
        <f t="shared" si="29"/>
        <v>110.45240000000001</v>
      </c>
      <c r="AE108" s="15">
        <f t="shared" si="30"/>
        <v>35.158090872726525</v>
      </c>
      <c r="AF108" s="15">
        <f t="shared" si="31"/>
        <v>25.741399999999999</v>
      </c>
      <c r="AG108" s="15">
        <f t="shared" si="36"/>
        <v>900</v>
      </c>
      <c r="AH108" s="15">
        <f t="shared" si="32"/>
        <v>1.2395221437241595</v>
      </c>
      <c r="AI108" s="15">
        <f t="shared" si="35"/>
        <v>1115.5699293517434</v>
      </c>
    </row>
    <row r="109" spans="1:35" x14ac:dyDescent="0.25">
      <c r="A109" s="35"/>
      <c r="B109" s="79"/>
      <c r="C109" s="35"/>
      <c r="D109" s="35"/>
      <c r="E109" s="35"/>
      <c r="R109" s="147"/>
      <c r="S109" s="147"/>
      <c r="T109" s="147"/>
      <c r="U109" s="147"/>
      <c r="V109" s="147"/>
      <c r="AC109" s="15">
        <v>35</v>
      </c>
      <c r="AD109" s="15">
        <f t="shared" si="29"/>
        <v>112.81900000000002</v>
      </c>
      <c r="AE109" s="15">
        <f t="shared" si="30"/>
        <v>35.911403049369085</v>
      </c>
      <c r="AF109" s="15">
        <f t="shared" si="31"/>
        <v>26.092500000000001</v>
      </c>
      <c r="AG109" s="15">
        <f>AG99-(AG99*0.25)</f>
        <v>675</v>
      </c>
      <c r="AH109" s="15">
        <f t="shared" si="32"/>
        <v>1.3108469757960501</v>
      </c>
      <c r="AI109" s="15">
        <f t="shared" si="35"/>
        <v>884.82170866233389</v>
      </c>
    </row>
    <row r="110" spans="1:35" x14ac:dyDescent="0.25">
      <c r="A110" s="35"/>
      <c r="B110" s="35"/>
      <c r="C110" s="35"/>
      <c r="D110" s="35"/>
      <c r="E110" s="35"/>
      <c r="R110" s="147"/>
      <c r="S110" s="147"/>
      <c r="T110" s="147"/>
      <c r="U110" s="147"/>
      <c r="V110" s="147"/>
      <c r="AC110" s="15">
        <v>36</v>
      </c>
      <c r="AD110" s="15">
        <f t="shared" si="29"/>
        <v>115.13520000000003</v>
      </c>
      <c r="AE110" s="15">
        <f t="shared" si="30"/>
        <v>36.648672407747988</v>
      </c>
      <c r="AF110" s="15">
        <f t="shared" si="31"/>
        <v>26.420400000000001</v>
      </c>
      <c r="AG110" s="15">
        <f t="shared" ref="AG110:AG118" si="37">AG100-(AG100*0.25)</f>
        <v>675</v>
      </c>
      <c r="AH110" s="15">
        <f t="shared" si="32"/>
        <v>1.382379995093286</v>
      </c>
      <c r="AI110" s="15">
        <f t="shared" si="35"/>
        <v>933.10649668796805</v>
      </c>
    </row>
    <row r="111" spans="1:35" x14ac:dyDescent="0.25">
      <c r="A111" s="35"/>
      <c r="B111" s="35"/>
      <c r="C111" s="35"/>
      <c r="D111" s="35"/>
      <c r="E111" s="35"/>
      <c r="R111" s="147"/>
      <c r="S111" s="147"/>
      <c r="T111" s="147"/>
      <c r="U111" s="147"/>
      <c r="V111" s="147"/>
      <c r="AC111" s="15">
        <v>37</v>
      </c>
      <c r="AD111" s="15">
        <f t="shared" si="29"/>
        <v>117.40100000000002</v>
      </c>
      <c r="AE111" s="15">
        <f t="shared" si="30"/>
        <v>37.36989894786322</v>
      </c>
      <c r="AF111" s="15">
        <f t="shared" si="31"/>
        <v>26.725100000000001</v>
      </c>
      <c r="AG111" s="15">
        <f t="shared" si="37"/>
        <v>675</v>
      </c>
      <c r="AH111" s="15">
        <f t="shared" si="32"/>
        <v>1.4539006935853835</v>
      </c>
      <c r="AI111" s="15">
        <f t="shared" si="35"/>
        <v>981.38296817013384</v>
      </c>
    </row>
    <row r="112" spans="1:35" x14ac:dyDescent="0.25">
      <c r="A112" s="35"/>
      <c r="B112" s="35"/>
      <c r="C112" s="35"/>
      <c r="D112" s="35"/>
      <c r="E112" s="35"/>
      <c r="R112" s="147"/>
      <c r="S112" s="147"/>
      <c r="T112" s="147"/>
      <c r="U112" s="147"/>
      <c r="V112" s="147"/>
      <c r="AC112" s="15">
        <v>38</v>
      </c>
      <c r="AD112" s="15">
        <f t="shared" si="29"/>
        <v>119.6164</v>
      </c>
      <c r="AE112" s="15">
        <f t="shared" si="30"/>
        <v>38.075082669714782</v>
      </c>
      <c r="AF112" s="15">
        <f t="shared" si="31"/>
        <v>27.006599999999999</v>
      </c>
      <c r="AG112" s="15">
        <f t="shared" si="37"/>
        <v>675</v>
      </c>
      <c r="AH112" s="15">
        <f t="shared" si="32"/>
        <v>1.5251872983346877</v>
      </c>
      <c r="AI112" s="15">
        <f t="shared" si="35"/>
        <v>1029.5014263759142</v>
      </c>
    </row>
    <row r="113" spans="1:35" x14ac:dyDescent="0.25">
      <c r="A113" s="35"/>
      <c r="B113" s="79"/>
      <c r="C113" s="35"/>
      <c r="D113" s="35"/>
      <c r="E113" s="35"/>
      <c r="R113" s="147"/>
      <c r="S113" s="147"/>
      <c r="T113" s="147"/>
      <c r="U113" s="147"/>
      <c r="V113" s="147"/>
      <c r="AC113" s="15">
        <v>39</v>
      </c>
      <c r="AD113" s="15">
        <f t="shared" si="29"/>
        <v>121.7814</v>
      </c>
      <c r="AE113" s="15">
        <f t="shared" si="30"/>
        <v>38.764223573302687</v>
      </c>
      <c r="AF113" s="15">
        <f t="shared" si="31"/>
        <v>27.264899999999997</v>
      </c>
      <c r="AG113" s="15">
        <f t="shared" si="37"/>
        <v>675</v>
      </c>
      <c r="AH113" s="15">
        <f t="shared" si="32"/>
        <v>1.5960174905720703</v>
      </c>
      <c r="AI113" s="15">
        <f t="shared" si="35"/>
        <v>1077.3118061361474</v>
      </c>
    </row>
    <row r="114" spans="1:35" x14ac:dyDescent="0.25">
      <c r="A114" s="35"/>
      <c r="B114" s="79"/>
      <c r="C114" s="35"/>
      <c r="D114" s="35"/>
      <c r="E114" s="35"/>
      <c r="R114" s="147"/>
      <c r="S114" s="147"/>
      <c r="T114" s="147"/>
      <c r="U114" s="147"/>
      <c r="V114" s="147"/>
      <c r="AC114" s="15">
        <v>40</v>
      </c>
      <c r="AD114" s="15">
        <f t="shared" si="29"/>
        <v>123.89600000000002</v>
      </c>
      <c r="AE114" s="15">
        <f t="shared" si="30"/>
        <v>39.437321658626935</v>
      </c>
      <c r="AF114" s="15">
        <f t="shared" si="31"/>
        <v>27.500000000000004</v>
      </c>
      <c r="AG114" s="15">
        <f t="shared" si="37"/>
        <v>675</v>
      </c>
      <c r="AH114" s="15">
        <f t="shared" si="32"/>
        <v>1.6661691038380797</v>
      </c>
      <c r="AI114" s="15">
        <f t="shared" si="35"/>
        <v>1124.6641450907039</v>
      </c>
    </row>
    <row r="115" spans="1:35" x14ac:dyDescent="0.25">
      <c r="A115" s="35"/>
      <c r="B115" s="79"/>
      <c r="C115" s="35"/>
      <c r="D115" s="35"/>
      <c r="E115" s="35"/>
      <c r="R115" s="147"/>
      <c r="S115" s="147"/>
      <c r="T115" s="147"/>
      <c r="U115" s="147"/>
      <c r="V115" s="147"/>
      <c r="AC115" s="15">
        <v>41</v>
      </c>
      <c r="AD115" s="15">
        <f t="shared" si="29"/>
        <v>125.96020000000001</v>
      </c>
      <c r="AE115" s="15">
        <f t="shared" si="30"/>
        <v>40.094376925687513</v>
      </c>
      <c r="AF115" s="15">
        <f t="shared" si="31"/>
        <v>27.711900000000004</v>
      </c>
      <c r="AG115" s="15">
        <f t="shared" si="37"/>
        <v>675</v>
      </c>
      <c r="AH115" s="15">
        <f t="shared" si="32"/>
        <v>1.7354208011895573</v>
      </c>
      <c r="AI115" s="15">
        <f t="shared" si="35"/>
        <v>1171.4090408029513</v>
      </c>
    </row>
    <row r="116" spans="1:35" x14ac:dyDescent="0.25">
      <c r="A116" s="35"/>
      <c r="B116" s="79"/>
      <c r="C116" s="35"/>
      <c r="D116" s="35"/>
      <c r="E116" s="35"/>
      <c r="R116" s="147"/>
      <c r="S116" s="147"/>
      <c r="T116" s="147"/>
      <c r="U116" s="147"/>
      <c r="V116" s="147"/>
      <c r="AC116" s="15">
        <v>42</v>
      </c>
      <c r="AD116" s="15">
        <f t="shared" si="29"/>
        <v>127.97400000000002</v>
      </c>
      <c r="AE116" s="15">
        <f t="shared" si="30"/>
        <v>40.735389374484434</v>
      </c>
      <c r="AF116" s="15">
        <f t="shared" si="31"/>
        <v>27.900600000000001</v>
      </c>
      <c r="AG116" s="15">
        <f t="shared" si="37"/>
        <v>675</v>
      </c>
      <c r="AH116" s="15">
        <f t="shared" si="32"/>
        <v>1.8035527314717168</v>
      </c>
      <c r="AI116" s="15">
        <f t="shared" si="35"/>
        <v>1217.3980937434089</v>
      </c>
    </row>
    <row r="117" spans="1:35" x14ac:dyDescent="0.25">
      <c r="A117" s="35"/>
      <c r="B117" s="35"/>
      <c r="C117" s="35"/>
      <c r="D117" s="35"/>
      <c r="E117" s="35"/>
      <c r="R117" s="147"/>
      <c r="S117" s="147"/>
      <c r="T117" s="147"/>
      <c r="U117" s="147"/>
      <c r="V117" s="147"/>
      <c r="AC117" s="15">
        <v>43</v>
      </c>
      <c r="AD117" s="15">
        <f t="shared" si="29"/>
        <v>129.93740000000003</v>
      </c>
      <c r="AE117" s="15">
        <f t="shared" si="30"/>
        <v>41.360359005017692</v>
      </c>
      <c r="AF117" s="15">
        <f t="shared" si="31"/>
        <v>28.066099999999999</v>
      </c>
      <c r="AG117" s="15">
        <f t="shared" si="37"/>
        <v>675</v>
      </c>
      <c r="AH117" s="15">
        <f t="shared" si="32"/>
        <v>1.8703471646556873</v>
      </c>
      <c r="AI117" s="15">
        <f t="shared" si="35"/>
        <v>1262.484336142589</v>
      </c>
    </row>
    <row r="118" spans="1:35" x14ac:dyDescent="0.25">
      <c r="A118" s="35"/>
      <c r="B118" s="35"/>
      <c r="C118" s="35"/>
      <c r="D118" s="35"/>
      <c r="E118" s="35"/>
      <c r="R118" s="147"/>
      <c r="S118" s="147"/>
      <c r="T118" s="147"/>
      <c r="U118" s="147"/>
      <c r="V118" s="147"/>
      <c r="AC118" s="15">
        <v>44</v>
      </c>
      <c r="AD118" s="15">
        <f t="shared" si="29"/>
        <v>131.85040000000004</v>
      </c>
      <c r="AE118" s="15">
        <f t="shared" si="30"/>
        <v>41.969285817287286</v>
      </c>
      <c r="AF118" s="15">
        <f t="shared" si="31"/>
        <v>28.208399999999997</v>
      </c>
      <c r="AG118" s="15">
        <f t="shared" si="37"/>
        <v>675</v>
      </c>
      <c r="AH118" s="15">
        <f t="shared" si="32"/>
        <v>1.9355891062415109</v>
      </c>
      <c r="AI118" s="15">
        <f t="shared" si="35"/>
        <v>1306.5226467130199</v>
      </c>
    </row>
    <row r="119" spans="1:35" x14ac:dyDescent="0.25">
      <c r="A119" s="35"/>
      <c r="B119" s="35"/>
      <c r="C119" s="35"/>
      <c r="D119" s="35"/>
      <c r="E119" s="35"/>
      <c r="R119" s="147"/>
      <c r="S119" s="147"/>
      <c r="T119" s="147"/>
      <c r="U119" s="147"/>
      <c r="V119" s="147"/>
      <c r="AC119" s="15">
        <v>45</v>
      </c>
      <c r="AD119" s="15">
        <f t="shared" si="29"/>
        <v>133.71300000000002</v>
      </c>
      <c r="AE119" s="15">
        <f t="shared" si="30"/>
        <v>42.562169811293209</v>
      </c>
      <c r="AF119" s="15">
        <f t="shared" si="31"/>
        <v>28.327499999999997</v>
      </c>
      <c r="AG119" s="16">
        <f>AG109-(AG109*0.25)</f>
        <v>506.25</v>
      </c>
      <c r="AH119" s="15">
        <f t="shared" si="32"/>
        <v>1.9990668907266107</v>
      </c>
      <c r="AI119" s="15">
        <f t="shared" si="35"/>
        <v>1012.0276134303467</v>
      </c>
    </row>
    <row r="120" spans="1:35" x14ac:dyDescent="0.25">
      <c r="A120" s="35"/>
      <c r="B120" s="79"/>
      <c r="C120" s="35"/>
      <c r="D120" s="35"/>
      <c r="E120" s="35"/>
      <c r="R120" s="147"/>
      <c r="S120" s="147"/>
      <c r="T120" s="147"/>
      <c r="U120" s="147"/>
      <c r="V120" s="147"/>
      <c r="AC120" s="15">
        <v>46</v>
      </c>
      <c r="AD120" s="15">
        <f t="shared" si="29"/>
        <v>135.52520000000004</v>
      </c>
      <c r="AE120" s="15">
        <f t="shared" si="30"/>
        <v>43.139010987035483</v>
      </c>
      <c r="AF120" s="15">
        <f t="shared" si="31"/>
        <v>28.423400000000004</v>
      </c>
      <c r="AG120" s="16">
        <f t="shared" ref="AG120:AG123" si="38">AG110-(AG110*0.25)</f>
        <v>506.25</v>
      </c>
      <c r="AH120" s="15">
        <f t="shared" si="32"/>
        <v>2.0605727541397183</v>
      </c>
      <c r="AI120" s="15">
        <f>AH120*AG120</f>
        <v>1043.1649567832324</v>
      </c>
    </row>
    <row r="121" spans="1:35" x14ac:dyDescent="0.25">
      <c r="A121" s="35"/>
      <c r="B121" s="79"/>
      <c r="C121" s="35"/>
      <c r="D121" s="35"/>
      <c r="E121" s="35"/>
      <c r="R121" s="147"/>
      <c r="S121" s="147"/>
      <c r="T121" s="147"/>
      <c r="U121" s="147"/>
      <c r="V121" s="147"/>
      <c r="AC121" s="15">
        <v>47</v>
      </c>
      <c r="AD121" s="15">
        <f t="shared" si="29"/>
        <v>137.28700000000003</v>
      </c>
      <c r="AE121" s="15">
        <f t="shared" si="30"/>
        <v>43.69980934451408</v>
      </c>
      <c r="AF121" s="15">
        <f t="shared" si="31"/>
        <v>28.496100000000002</v>
      </c>
      <c r="AG121" s="16">
        <f t="shared" si="38"/>
        <v>506.25</v>
      </c>
      <c r="AH121" s="15">
        <f t="shared" si="32"/>
        <v>2.119903385640256</v>
      </c>
      <c r="AI121" s="15">
        <f t="shared" ref="AI121:AI124" si="39">AH121*AG121</f>
        <v>1073.2010889803796</v>
      </c>
    </row>
    <row r="122" spans="1:35" x14ac:dyDescent="0.25">
      <c r="A122" s="35"/>
      <c r="B122" s="79"/>
      <c r="C122" s="35"/>
      <c r="D122" s="35"/>
      <c r="E122" s="35"/>
      <c r="R122" s="147"/>
      <c r="S122" s="147"/>
      <c r="T122" s="147"/>
      <c r="U122" s="147"/>
      <c r="V122" s="147"/>
      <c r="AC122" s="15">
        <v>48</v>
      </c>
      <c r="AD122" s="15">
        <f t="shared" si="29"/>
        <v>138.99840000000003</v>
      </c>
      <c r="AE122" s="15">
        <f t="shared" si="30"/>
        <v>44.244564883729019</v>
      </c>
      <c r="AF122" s="15">
        <f t="shared" si="31"/>
        <v>28.5456</v>
      </c>
      <c r="AG122" s="16">
        <f t="shared" si="38"/>
        <v>506.25</v>
      </c>
      <c r="AH122" s="15">
        <f t="shared" si="32"/>
        <v>2.1768604581831972</v>
      </c>
      <c r="AI122" s="15">
        <f t="shared" si="39"/>
        <v>1102.0356069552436</v>
      </c>
    </row>
    <row r="123" spans="1:35" x14ac:dyDescent="0.25">
      <c r="A123" s="35"/>
      <c r="B123" s="79"/>
      <c r="C123" s="35"/>
      <c r="D123" s="35"/>
      <c r="E123" s="35"/>
      <c r="R123" s="147"/>
      <c r="S123" s="147"/>
      <c r="T123" s="147"/>
      <c r="U123" s="147"/>
      <c r="V123" s="147"/>
      <c r="AC123" s="15">
        <v>49</v>
      </c>
      <c r="AD123" s="15">
        <f t="shared" si="29"/>
        <v>140.65940000000001</v>
      </c>
      <c r="AE123" s="15">
        <f t="shared" si="30"/>
        <v>44.773277604680288</v>
      </c>
      <c r="AF123" s="15">
        <f t="shared" si="31"/>
        <v>28.571899999999999</v>
      </c>
      <c r="AG123" s="16">
        <f t="shared" si="38"/>
        <v>506.25</v>
      </c>
      <c r="AH123" s="15">
        <f t="shared" si="32"/>
        <v>2.2312511382493705</v>
      </c>
      <c r="AI123" s="15">
        <f t="shared" si="39"/>
        <v>1129.5708887387439</v>
      </c>
    </row>
    <row r="124" spans="1:35" x14ac:dyDescent="0.25">
      <c r="A124" s="35"/>
      <c r="B124" s="35"/>
      <c r="C124" s="35"/>
      <c r="D124" s="35"/>
      <c r="E124" s="35"/>
      <c r="R124" s="147"/>
      <c r="S124" s="147"/>
      <c r="T124" s="147"/>
      <c r="U124" s="147"/>
      <c r="V124" s="147"/>
      <c r="AC124" s="15">
        <v>50</v>
      </c>
      <c r="AD124" s="15">
        <f t="shared" si="29"/>
        <v>142.27000000000001</v>
      </c>
      <c r="AE124" s="15">
        <f t="shared" si="30"/>
        <v>45.285947507367901</v>
      </c>
      <c r="AF124" s="15">
        <f t="shared" si="31"/>
        <v>28.574999999999999</v>
      </c>
      <c r="AG124" s="16">
        <f>AG119-(AG119*0.25)</f>
        <v>379.6875</v>
      </c>
      <c r="AH124" s="15">
        <f t="shared" si="32"/>
        <v>2.282888574641242</v>
      </c>
      <c r="AI124" s="15">
        <f t="shared" si="39"/>
        <v>866.78425568409659</v>
      </c>
    </row>
    <row r="125" spans="1:35" x14ac:dyDescent="0.25">
      <c r="A125" s="35"/>
      <c r="B125" s="79"/>
      <c r="C125" s="35"/>
      <c r="D125" s="35"/>
      <c r="E125" s="35"/>
      <c r="R125" s="147"/>
      <c r="S125" s="147"/>
      <c r="T125" s="147"/>
      <c r="U125" s="147"/>
      <c r="V125" s="147"/>
    </row>
    <row r="126" spans="1:35" x14ac:dyDescent="0.25">
      <c r="A126" s="35"/>
      <c r="B126" s="35"/>
      <c r="C126" s="35"/>
      <c r="D126" s="35"/>
      <c r="E126" s="35"/>
      <c r="R126" s="147"/>
      <c r="S126" s="147"/>
      <c r="T126" s="147"/>
      <c r="U126" s="147"/>
      <c r="V126" s="147"/>
      <c r="AC126" s="15" t="s">
        <v>232</v>
      </c>
      <c r="AD126" s="15" t="s">
        <v>495</v>
      </c>
      <c r="AE126" s="15"/>
      <c r="AF126" s="15"/>
      <c r="AG126" s="15"/>
      <c r="AH126" s="15"/>
      <c r="AI126" s="15"/>
    </row>
    <row r="127" spans="1:35" x14ac:dyDescent="0.25">
      <c r="A127" s="35"/>
      <c r="B127" s="35"/>
      <c r="C127" s="35"/>
      <c r="D127" s="35"/>
      <c r="E127" s="35"/>
      <c r="R127" s="147"/>
      <c r="S127" s="147"/>
      <c r="T127" s="147"/>
      <c r="U127" s="147"/>
      <c r="V127" s="147"/>
      <c r="AC127" s="15" t="s">
        <v>7</v>
      </c>
      <c r="AD127" s="15" t="s">
        <v>496</v>
      </c>
      <c r="AE127" s="15" t="s">
        <v>497</v>
      </c>
      <c r="AF127" s="15" t="s">
        <v>498</v>
      </c>
      <c r="AG127" s="15" t="s">
        <v>499</v>
      </c>
      <c r="AH127" s="15" t="s">
        <v>500</v>
      </c>
      <c r="AI127" s="15" t="s">
        <v>501</v>
      </c>
    </row>
    <row r="128" spans="1:35" x14ac:dyDescent="0.25">
      <c r="R128" s="147"/>
      <c r="S128" s="147"/>
      <c r="T128" s="147"/>
      <c r="U128" s="147"/>
      <c r="V128" s="147"/>
      <c r="AC128" s="15">
        <v>1</v>
      </c>
      <c r="AD128" s="15">
        <f>-0.0222*AC128^2+3.5848*AC128</f>
        <v>3.5625999999999998</v>
      </c>
      <c r="AE128" s="15">
        <f>AD128/PI()</f>
        <v>1.1340108005183727</v>
      </c>
      <c r="AF128" s="15">
        <f>-0.0102*AC128^2+1.0048*AC128</f>
        <v>0.99459999999999993</v>
      </c>
      <c r="AG128" s="15">
        <v>1600</v>
      </c>
      <c r="AH128" s="15">
        <f>0.496*(AF128*(AD128/100)^2)/(4*PI())</f>
        <v>4.982581308654577E-5</v>
      </c>
      <c r="AI128" s="15">
        <f>AH128*AG128</f>
        <v>7.9721300938473239E-2</v>
      </c>
    </row>
    <row r="129" spans="18:35" x14ac:dyDescent="0.25">
      <c r="R129" s="147"/>
      <c r="S129" s="147"/>
      <c r="T129" s="147"/>
      <c r="U129" s="147"/>
      <c r="V129" s="147"/>
      <c r="AC129" s="15">
        <v>2</v>
      </c>
      <c r="AD129" s="15">
        <f t="shared" ref="AD129:AD177" si="40">-0.0222*AC129^2+3.5848*AC129</f>
        <v>7.0808</v>
      </c>
      <c r="AE129" s="15">
        <f t="shared" ref="AE129:AE177" si="41">AD129/PI()</f>
        <v>2.2538886420901849</v>
      </c>
      <c r="AF129" s="15">
        <f t="shared" ref="AF129:AF177" si="42">-0.0102*AC129^2+1.0048*AC129</f>
        <v>1.9687999999999999</v>
      </c>
      <c r="AG129" s="15">
        <v>1600</v>
      </c>
      <c r="AH129" s="15">
        <f t="shared" ref="AH129:AH177" si="43">0.496*(AF129*(AD129/100)^2)/(4*PI())</f>
        <v>3.8961715307588067E-4</v>
      </c>
      <c r="AI129" s="15">
        <f t="shared" ref="AI129:AI142" si="44">AH129*AG129</f>
        <v>0.62338744492140907</v>
      </c>
    </row>
    <row r="130" spans="18:35" x14ac:dyDescent="0.25">
      <c r="R130" s="147"/>
      <c r="S130" s="147"/>
      <c r="T130" s="147"/>
      <c r="U130" s="147"/>
      <c r="V130" s="147"/>
      <c r="AC130" s="15">
        <v>3</v>
      </c>
      <c r="AD130" s="15">
        <f t="shared" si="40"/>
        <v>10.554600000000001</v>
      </c>
      <c r="AE130" s="15">
        <f t="shared" si="41"/>
        <v>3.3596335247154374</v>
      </c>
      <c r="AF130" s="15">
        <f t="shared" si="42"/>
        <v>2.9225999999999996</v>
      </c>
      <c r="AG130" s="15">
        <v>1600</v>
      </c>
      <c r="AH130" s="15">
        <f t="shared" si="43"/>
        <v>1.2850639794197262E-3</v>
      </c>
      <c r="AI130" s="15">
        <f t="shared" si="44"/>
        <v>2.0561023670715621</v>
      </c>
    </row>
    <row r="131" spans="18:35" x14ac:dyDescent="0.25">
      <c r="R131" s="147"/>
      <c r="S131" s="147"/>
      <c r="T131" s="147"/>
      <c r="U131" s="147"/>
      <c r="V131" s="147"/>
      <c r="AC131" s="15">
        <v>4</v>
      </c>
      <c r="AD131" s="15">
        <f t="shared" si="40"/>
        <v>13.984</v>
      </c>
      <c r="AE131" s="15">
        <f t="shared" si="41"/>
        <v>4.4512454483941291</v>
      </c>
      <c r="AF131" s="15">
        <f t="shared" si="42"/>
        <v>3.8559999999999999</v>
      </c>
      <c r="AG131" s="15">
        <v>1600</v>
      </c>
      <c r="AH131" s="15">
        <f t="shared" si="43"/>
        <v>2.9762654870618636E-3</v>
      </c>
      <c r="AI131" s="15">
        <f t="shared" si="44"/>
        <v>4.762024779298982</v>
      </c>
    </row>
    <row r="132" spans="18:35" x14ac:dyDescent="0.25">
      <c r="R132" s="147"/>
      <c r="S132" s="147"/>
      <c r="T132" s="147"/>
      <c r="U132" s="147"/>
      <c r="V132" s="147"/>
      <c r="AC132" s="15">
        <v>5</v>
      </c>
      <c r="AD132" s="15">
        <f t="shared" si="40"/>
        <v>17.369</v>
      </c>
      <c r="AE132" s="15">
        <f t="shared" si="41"/>
        <v>5.5287244131262607</v>
      </c>
      <c r="AF132" s="15">
        <f t="shared" si="42"/>
        <v>4.7689999999999992</v>
      </c>
      <c r="AG132" s="15">
        <v>1600</v>
      </c>
      <c r="AH132" s="15">
        <f t="shared" si="43"/>
        <v>5.6786978985471741E-3</v>
      </c>
      <c r="AI132" s="15">
        <f t="shared" si="44"/>
        <v>9.0859166376754779</v>
      </c>
    </row>
    <row r="133" spans="18:35" x14ac:dyDescent="0.25">
      <c r="R133" s="147"/>
      <c r="S133" s="147"/>
      <c r="T133" s="147"/>
      <c r="U133" s="147"/>
      <c r="V133" s="147"/>
      <c r="AC133" s="15">
        <v>6</v>
      </c>
      <c r="AD133" s="15">
        <f t="shared" si="40"/>
        <v>20.709600000000002</v>
      </c>
      <c r="AE133" s="15">
        <f t="shared" si="41"/>
        <v>6.592070418911832</v>
      </c>
      <c r="AF133" s="15">
        <f t="shared" si="42"/>
        <v>5.6615999999999991</v>
      </c>
      <c r="AG133" s="15">
        <v>1600</v>
      </c>
      <c r="AH133" s="15">
        <f t="shared" si="43"/>
        <v>9.5841679701377958E-3</v>
      </c>
      <c r="AI133" s="15">
        <f t="shared" si="44"/>
        <v>15.334668752220473</v>
      </c>
    </row>
    <row r="134" spans="18:35" x14ac:dyDescent="0.25">
      <c r="R134" s="147"/>
      <c r="S134" s="147"/>
      <c r="T134" s="147"/>
      <c r="U134" s="147"/>
      <c r="V134" s="147"/>
      <c r="AC134" s="15">
        <v>7</v>
      </c>
      <c r="AD134" s="15">
        <f t="shared" si="40"/>
        <v>24.005799999999997</v>
      </c>
      <c r="AE134" s="15">
        <f t="shared" si="41"/>
        <v>7.6412834657508411</v>
      </c>
      <c r="AF134" s="15">
        <f t="shared" si="42"/>
        <v>6.5337999999999994</v>
      </c>
      <c r="AG134" s="15">
        <v>1600</v>
      </c>
      <c r="AH134" s="15">
        <f t="shared" si="43"/>
        <v>1.4861752211936375E-2</v>
      </c>
      <c r="AI134" s="15">
        <f t="shared" si="44"/>
        <v>23.778803539098199</v>
      </c>
    </row>
    <row r="135" spans="18:35" x14ac:dyDescent="0.25">
      <c r="R135" s="147"/>
      <c r="S135" s="147"/>
      <c r="T135" s="147"/>
      <c r="U135" s="147"/>
      <c r="V135" s="147"/>
      <c r="AC135" s="15">
        <v>8</v>
      </c>
      <c r="AD135" s="15">
        <f t="shared" si="40"/>
        <v>27.2576</v>
      </c>
      <c r="AE135" s="15">
        <f t="shared" si="41"/>
        <v>8.6763635536432933</v>
      </c>
      <c r="AF135" s="15">
        <f t="shared" si="42"/>
        <v>7.3855999999999993</v>
      </c>
      <c r="AG135" s="15">
        <v>1600</v>
      </c>
      <c r="AH135" s="15">
        <f t="shared" si="43"/>
        <v>2.1658721822016495E-2</v>
      </c>
      <c r="AI135" s="15">
        <f t="shared" si="44"/>
        <v>34.653954915226393</v>
      </c>
    </row>
    <row r="136" spans="18:35" x14ac:dyDescent="0.25">
      <c r="R136" s="147"/>
      <c r="S136" s="147"/>
      <c r="T136" s="147"/>
      <c r="U136" s="147"/>
      <c r="V136" s="147"/>
      <c r="AC136" s="15">
        <v>9</v>
      </c>
      <c r="AD136" s="15">
        <f t="shared" si="40"/>
        <v>30.464999999999996</v>
      </c>
      <c r="AE136" s="15">
        <f t="shared" si="41"/>
        <v>9.6973106825891815</v>
      </c>
      <c r="AF136" s="15">
        <f t="shared" si="42"/>
        <v>8.2169999999999987</v>
      </c>
      <c r="AG136" s="15">
        <v>1600</v>
      </c>
      <c r="AH136" s="15">
        <f t="shared" si="43"/>
        <v>3.0101453334560095E-2</v>
      </c>
      <c r="AI136" s="15">
        <f t="shared" si="44"/>
        <v>48.162325335296153</v>
      </c>
    </row>
    <row r="137" spans="18:35" x14ac:dyDescent="0.25">
      <c r="R137" s="147"/>
      <c r="S137" s="147"/>
      <c r="T137" s="147"/>
      <c r="U137" s="147"/>
      <c r="V137" s="147"/>
      <c r="AC137" s="15">
        <v>10</v>
      </c>
      <c r="AD137" s="15">
        <f t="shared" si="40"/>
        <v>33.628</v>
      </c>
      <c r="AE137" s="15">
        <f t="shared" si="41"/>
        <v>10.704124852588514</v>
      </c>
      <c r="AF137" s="15">
        <f t="shared" si="42"/>
        <v>9.0279999999999987</v>
      </c>
      <c r="AG137" s="15">
        <v>1600</v>
      </c>
      <c r="AH137" s="15">
        <f t="shared" si="43"/>
        <v>4.0296324982002141E-2</v>
      </c>
      <c r="AI137" s="15">
        <f t="shared" si="44"/>
        <v>64.474119971203422</v>
      </c>
    </row>
    <row r="138" spans="18:35" x14ac:dyDescent="0.25">
      <c r="R138" s="147"/>
      <c r="S138" s="147"/>
      <c r="T138" s="147"/>
      <c r="U138" s="147"/>
      <c r="V138" s="147"/>
      <c r="AC138" s="15">
        <v>11</v>
      </c>
      <c r="AD138" s="15">
        <f t="shared" si="40"/>
        <v>36.746600000000001</v>
      </c>
      <c r="AE138" s="15">
        <f t="shared" si="41"/>
        <v>11.696806063641283</v>
      </c>
      <c r="AF138" s="15">
        <f t="shared" si="42"/>
        <v>9.8186</v>
      </c>
      <c r="AG138" s="15">
        <v>1600</v>
      </c>
      <c r="AH138" s="15">
        <f t="shared" si="43"/>
        <v>5.2330598771182311E-2</v>
      </c>
      <c r="AI138" s="15">
        <f t="shared" si="44"/>
        <v>83.728958033891701</v>
      </c>
    </row>
    <row r="139" spans="18:35" x14ac:dyDescent="0.25">
      <c r="R139" s="147"/>
      <c r="S139" s="147"/>
      <c r="T139" s="147"/>
      <c r="U139" s="147"/>
      <c r="V139" s="147"/>
      <c r="AC139" s="15">
        <v>12</v>
      </c>
      <c r="AD139" s="15">
        <f t="shared" si="40"/>
        <v>39.820799999999998</v>
      </c>
      <c r="AE139" s="15">
        <f t="shared" si="41"/>
        <v>12.675354315747491</v>
      </c>
      <c r="AF139" s="15">
        <f t="shared" si="42"/>
        <v>10.588799999999999</v>
      </c>
      <c r="AG139" s="15">
        <v>1600</v>
      </c>
      <c r="AH139" s="15">
        <f t="shared" si="43"/>
        <v>6.6273288273503816E-2</v>
      </c>
      <c r="AI139" s="15">
        <f t="shared" si="44"/>
        <v>106.0372612376061</v>
      </c>
    </row>
    <row r="140" spans="18:35" x14ac:dyDescent="0.25">
      <c r="AC140" s="15">
        <v>13</v>
      </c>
      <c r="AD140" s="15">
        <f t="shared" si="40"/>
        <v>42.8506</v>
      </c>
      <c r="AE140" s="15">
        <f t="shared" si="41"/>
        <v>13.639769608907141</v>
      </c>
      <c r="AF140" s="15">
        <f t="shared" si="42"/>
        <v>11.338599999999998</v>
      </c>
      <c r="AG140" s="15">
        <v>1600</v>
      </c>
      <c r="AH140" s="15">
        <f t="shared" si="43"/>
        <v>8.2176012129099349E-2</v>
      </c>
      <c r="AI140" s="15">
        <f t="shared" si="44"/>
        <v>131.48161940655896</v>
      </c>
    </row>
    <row r="141" spans="18:35" x14ac:dyDescent="0.25">
      <c r="AC141" s="15">
        <v>14</v>
      </c>
      <c r="AD141" s="15">
        <f t="shared" si="40"/>
        <v>45.835999999999999</v>
      </c>
      <c r="AE141" s="15">
        <f t="shared" si="41"/>
        <v>14.59005194312023</v>
      </c>
      <c r="AF141" s="15">
        <f t="shared" si="42"/>
        <v>12.068</v>
      </c>
      <c r="AG141" s="15">
        <v>1600</v>
      </c>
      <c r="AH141" s="15">
        <f t="shared" si="43"/>
        <v>0.10007383326500424</v>
      </c>
      <c r="AI141" s="15">
        <f t="shared" si="44"/>
        <v>160.11813322400678</v>
      </c>
    </row>
    <row r="142" spans="18:35" x14ac:dyDescent="0.25">
      <c r="AC142" s="15">
        <v>15</v>
      </c>
      <c r="AD142" s="15">
        <f t="shared" si="40"/>
        <v>48.777000000000001</v>
      </c>
      <c r="AE142" s="15">
        <f t="shared" si="41"/>
        <v>15.526201318386759</v>
      </c>
      <c r="AF142" s="15">
        <f t="shared" si="42"/>
        <v>12.776999999999999</v>
      </c>
      <c r="AG142" s="15">
        <f>AG128-(AG128*0.25)</f>
        <v>1200</v>
      </c>
      <c r="AH142" s="15">
        <f t="shared" si="43"/>
        <v>0.11998608382733643</v>
      </c>
      <c r="AI142" s="15">
        <f t="shared" si="44"/>
        <v>143.98330059280372</v>
      </c>
    </row>
    <row r="143" spans="18:35" x14ac:dyDescent="0.25">
      <c r="AC143" s="15">
        <v>16</v>
      </c>
      <c r="AD143" s="15">
        <f t="shared" si="40"/>
        <v>51.6736</v>
      </c>
      <c r="AE143" s="15">
        <f t="shared" si="41"/>
        <v>16.448217734706727</v>
      </c>
      <c r="AF143" s="15">
        <f t="shared" si="42"/>
        <v>13.465599999999998</v>
      </c>
      <c r="AG143" s="15">
        <f t="shared" ref="AG143:AG151" si="45">AG129-(AG129*0.25)</f>
        <v>1200</v>
      </c>
      <c r="AH143" s="15">
        <f t="shared" si="43"/>
        <v>0.14191717582748387</v>
      </c>
      <c r="AI143" s="15">
        <f>AH143*AG143</f>
        <v>170.30061099298064</v>
      </c>
    </row>
    <row r="144" spans="18:35" x14ac:dyDescent="0.25">
      <c r="AC144" s="15">
        <v>17</v>
      </c>
      <c r="AD144" s="15">
        <f t="shared" si="40"/>
        <v>54.525800000000004</v>
      </c>
      <c r="AE144" s="15">
        <f t="shared" si="41"/>
        <v>17.356101192080136</v>
      </c>
      <c r="AF144" s="15">
        <f t="shared" si="42"/>
        <v>14.133799999999997</v>
      </c>
      <c r="AG144" s="15">
        <f t="shared" si="45"/>
        <v>1200</v>
      </c>
      <c r="AH144" s="15">
        <f t="shared" si="43"/>
        <v>0.165857397502299</v>
      </c>
      <c r="AI144" s="15">
        <f t="shared" ref="AI144:AI172" si="46">AH144*AG144</f>
        <v>199.0288770027588</v>
      </c>
    </row>
    <row r="145" spans="29:35" x14ac:dyDescent="0.25">
      <c r="AC145" s="15">
        <v>18</v>
      </c>
      <c r="AD145" s="15">
        <f t="shared" si="40"/>
        <v>57.333599999999997</v>
      </c>
      <c r="AE145" s="15">
        <f t="shared" si="41"/>
        <v>18.249851690506979</v>
      </c>
      <c r="AF145" s="15">
        <f t="shared" si="42"/>
        <v>14.781599999999997</v>
      </c>
      <c r="AG145" s="15">
        <f t="shared" si="45"/>
        <v>1200</v>
      </c>
      <c r="AH145" s="15">
        <f t="shared" si="43"/>
        <v>0.19178369538829998</v>
      </c>
      <c r="AI145" s="15">
        <f t="shared" si="46"/>
        <v>230.14043446595997</v>
      </c>
    </row>
    <row r="146" spans="29:35" x14ac:dyDescent="0.25">
      <c r="AC146" s="15">
        <v>19</v>
      </c>
      <c r="AD146" s="15">
        <f t="shared" si="40"/>
        <v>60.096999999999994</v>
      </c>
      <c r="AE146" s="15">
        <f t="shared" si="41"/>
        <v>19.129469229987269</v>
      </c>
      <c r="AF146" s="15">
        <f t="shared" si="42"/>
        <v>15.408999999999997</v>
      </c>
      <c r="AG146" s="15">
        <f t="shared" si="45"/>
        <v>1200</v>
      </c>
      <c r="AH146" s="15">
        <f t="shared" si="43"/>
        <v>0.21966044210987967</v>
      </c>
      <c r="AI146" s="15">
        <f t="shared" si="46"/>
        <v>263.59253053185563</v>
      </c>
    </row>
    <row r="147" spans="29:35" x14ac:dyDescent="0.25">
      <c r="AC147" s="15">
        <v>20</v>
      </c>
      <c r="AD147" s="15">
        <f t="shared" si="40"/>
        <v>62.815999999999995</v>
      </c>
      <c r="AE147" s="15">
        <f t="shared" si="41"/>
        <v>19.994953810520993</v>
      </c>
      <c r="AF147" s="15">
        <f t="shared" si="42"/>
        <v>16.015999999999998</v>
      </c>
      <c r="AG147" s="15">
        <f t="shared" si="45"/>
        <v>1200</v>
      </c>
      <c r="AH147" s="15">
        <f t="shared" si="43"/>
        <v>0.24944018988152122</v>
      </c>
      <c r="AI147" s="15">
        <f t="shared" si="46"/>
        <v>299.32822785782548</v>
      </c>
    </row>
    <row r="148" spans="29:35" x14ac:dyDescent="0.25">
      <c r="AC148" s="15">
        <v>21</v>
      </c>
      <c r="AD148" s="15">
        <f t="shared" si="40"/>
        <v>65.490600000000001</v>
      </c>
      <c r="AE148" s="15">
        <f t="shared" si="41"/>
        <v>20.846305432108164</v>
      </c>
      <c r="AF148" s="15">
        <f t="shared" si="42"/>
        <v>16.602599999999999</v>
      </c>
      <c r="AG148" s="15">
        <f t="shared" si="45"/>
        <v>1200</v>
      </c>
      <c r="AH148" s="15">
        <f t="shared" si="43"/>
        <v>0.28106440972402075</v>
      </c>
      <c r="AI148" s="15">
        <f t="shared" si="46"/>
        <v>337.27729166882489</v>
      </c>
    </row>
    <row r="149" spans="29:35" x14ac:dyDescent="0.25">
      <c r="AC149" s="15">
        <v>22</v>
      </c>
      <c r="AD149" s="15">
        <f t="shared" si="40"/>
        <v>68.120800000000003</v>
      </c>
      <c r="AE149" s="15">
        <f t="shared" si="41"/>
        <v>21.683524094748769</v>
      </c>
      <c r="AF149" s="15">
        <f t="shared" si="42"/>
        <v>17.168799999999997</v>
      </c>
      <c r="AG149" s="15">
        <f t="shared" si="45"/>
        <v>1200</v>
      </c>
      <c r="AH149" s="15">
        <f t="shared" si="43"/>
        <v>0.31446421639471722</v>
      </c>
      <c r="AI149" s="15">
        <f t="shared" si="46"/>
        <v>377.35705967366067</v>
      </c>
    </row>
    <row r="150" spans="29:35" x14ac:dyDescent="0.25">
      <c r="AC150" s="15">
        <v>23</v>
      </c>
      <c r="AD150" s="15">
        <f t="shared" si="40"/>
        <v>70.706600000000009</v>
      </c>
      <c r="AE150" s="15">
        <f t="shared" si="41"/>
        <v>22.506609798442817</v>
      </c>
      <c r="AF150" s="15">
        <f t="shared" si="42"/>
        <v>17.714599999999997</v>
      </c>
      <c r="AG150" s="15">
        <f t="shared" si="45"/>
        <v>1200</v>
      </c>
      <c r="AH150" s="15">
        <f t="shared" si="43"/>
        <v>0.34956107903173023</v>
      </c>
      <c r="AI150" s="15">
        <f t="shared" si="46"/>
        <v>419.4732948380763</v>
      </c>
    </row>
    <row r="151" spans="29:35" x14ac:dyDescent="0.25">
      <c r="AC151" s="15">
        <v>24</v>
      </c>
      <c r="AD151" s="15">
        <f t="shared" si="40"/>
        <v>73.248000000000005</v>
      </c>
      <c r="AE151" s="15">
        <f t="shared" si="41"/>
        <v>23.3155625431903</v>
      </c>
      <c r="AF151" s="15">
        <f t="shared" si="42"/>
        <v>18.239999999999998</v>
      </c>
      <c r="AG151" s="15">
        <f t="shared" si="45"/>
        <v>1200</v>
      </c>
      <c r="AH151" s="15">
        <f t="shared" si="43"/>
        <v>0.38626751751220306</v>
      </c>
      <c r="AI151" s="15">
        <f t="shared" si="46"/>
        <v>463.52102101464368</v>
      </c>
    </row>
    <row r="152" spans="29:35" x14ac:dyDescent="0.25">
      <c r="AC152" s="15">
        <v>25</v>
      </c>
      <c r="AD152" s="15">
        <f t="shared" si="40"/>
        <v>75.745000000000005</v>
      </c>
      <c r="AE152" s="15">
        <f t="shared" si="41"/>
        <v>24.110382328991228</v>
      </c>
      <c r="AF152" s="15">
        <f t="shared" si="42"/>
        <v>18.744999999999997</v>
      </c>
      <c r="AG152" s="15">
        <f>AG142-(AG142*0.25)</f>
        <v>900</v>
      </c>
      <c r="AH152" s="15">
        <f t="shared" si="43"/>
        <v>0.42448778452455532</v>
      </c>
      <c r="AI152" s="15">
        <f t="shared" si="46"/>
        <v>382.03900607209977</v>
      </c>
    </row>
    <row r="153" spans="29:35" x14ac:dyDescent="0.25">
      <c r="AC153" s="15">
        <v>26</v>
      </c>
      <c r="AD153" s="15">
        <f t="shared" si="40"/>
        <v>78.197600000000008</v>
      </c>
      <c r="AE153" s="15">
        <f t="shared" si="41"/>
        <v>24.891069155845592</v>
      </c>
      <c r="AF153" s="15">
        <f t="shared" si="42"/>
        <v>19.229599999999998</v>
      </c>
      <c r="AG153" s="15">
        <f t="shared" ref="AG153:AG161" si="47">AG143-(AG143*0.25)</f>
        <v>900</v>
      </c>
      <c r="AH153" s="15">
        <f t="shared" si="43"/>
        <v>0.46411853335474007</v>
      </c>
      <c r="AI153" s="15">
        <f t="shared" si="46"/>
        <v>417.70668001926606</v>
      </c>
    </row>
    <row r="154" spans="29:35" x14ac:dyDescent="0.25">
      <c r="AC154" s="15">
        <v>27</v>
      </c>
      <c r="AD154" s="15">
        <f t="shared" si="40"/>
        <v>80.605799999999988</v>
      </c>
      <c r="AE154" s="15">
        <f t="shared" si="41"/>
        <v>25.657623023753391</v>
      </c>
      <c r="AF154" s="15">
        <f t="shared" si="42"/>
        <v>19.693799999999996</v>
      </c>
      <c r="AG154" s="15">
        <f t="shared" si="47"/>
        <v>900</v>
      </c>
      <c r="AH154" s="15">
        <f t="shared" si="43"/>
        <v>0.50504947138650969</v>
      </c>
      <c r="AI154" s="15">
        <f t="shared" si="46"/>
        <v>454.5445242478587</v>
      </c>
    </row>
    <row r="155" spans="29:35" x14ac:dyDescent="0.25">
      <c r="AC155" s="15">
        <v>28</v>
      </c>
      <c r="AD155" s="15">
        <f t="shared" si="40"/>
        <v>82.969599999999986</v>
      </c>
      <c r="AE155" s="15">
        <f t="shared" si="41"/>
        <v>26.410043932714636</v>
      </c>
      <c r="AF155" s="15">
        <f t="shared" si="42"/>
        <v>20.137599999999999</v>
      </c>
      <c r="AG155" s="15">
        <f t="shared" si="47"/>
        <v>900</v>
      </c>
      <c r="AH155" s="15">
        <f t="shared" si="43"/>
        <v>0.54716399931568993</v>
      </c>
      <c r="AI155" s="15">
        <f t="shared" si="46"/>
        <v>492.44759938412096</v>
      </c>
    </row>
    <row r="156" spans="29:35" x14ac:dyDescent="0.25">
      <c r="AC156" s="15">
        <v>29</v>
      </c>
      <c r="AD156" s="15">
        <f t="shared" si="40"/>
        <v>85.288999999999987</v>
      </c>
      <c r="AE156" s="15">
        <f t="shared" si="41"/>
        <v>27.14833188272932</v>
      </c>
      <c r="AF156" s="15">
        <f t="shared" si="42"/>
        <v>20.561</v>
      </c>
      <c r="AG156" s="15">
        <f t="shared" si="47"/>
        <v>900</v>
      </c>
      <c r="AH156" s="15">
        <f t="shared" si="43"/>
        <v>0.5903398360784573</v>
      </c>
      <c r="AI156" s="15">
        <f t="shared" si="46"/>
        <v>531.30585247061163</v>
      </c>
    </row>
    <row r="157" spans="29:35" x14ac:dyDescent="0.25">
      <c r="AC157" s="15">
        <v>30</v>
      </c>
      <c r="AD157" s="15">
        <f t="shared" si="40"/>
        <v>87.563999999999993</v>
      </c>
      <c r="AE157" s="15">
        <f t="shared" si="41"/>
        <v>27.872486873797445</v>
      </c>
      <c r="AF157" s="15">
        <f t="shared" si="42"/>
        <v>20.963999999999999</v>
      </c>
      <c r="AG157" s="15">
        <f t="shared" si="47"/>
        <v>900</v>
      </c>
      <c r="AH157" s="15">
        <f t="shared" si="43"/>
        <v>0.63444962949362727</v>
      </c>
      <c r="AI157" s="74">
        <f t="shared" si="46"/>
        <v>571.00466654426452</v>
      </c>
    </row>
    <row r="158" spans="29:35" x14ac:dyDescent="0.25">
      <c r="AC158" s="15">
        <v>31</v>
      </c>
      <c r="AD158" s="15">
        <f t="shared" si="40"/>
        <v>89.794600000000003</v>
      </c>
      <c r="AE158" s="15">
        <f t="shared" si="41"/>
        <v>28.582508905919013</v>
      </c>
      <c r="AF158" s="15">
        <f t="shared" si="42"/>
        <v>21.346599999999995</v>
      </c>
      <c r="AG158" s="15">
        <f t="shared" si="47"/>
        <v>900</v>
      </c>
      <c r="AH158" s="15">
        <f t="shared" si="43"/>
        <v>0.67936155261894804</v>
      </c>
      <c r="AI158" s="15">
        <f t="shared" si="46"/>
        <v>611.42539735705327</v>
      </c>
    </row>
    <row r="159" spans="29:35" x14ac:dyDescent="0.25">
      <c r="AC159" s="15">
        <v>32</v>
      </c>
      <c r="AD159" s="15">
        <f t="shared" si="40"/>
        <v>91.980800000000002</v>
      </c>
      <c r="AE159" s="15">
        <f t="shared" si="41"/>
        <v>29.278397979094017</v>
      </c>
      <c r="AF159" s="15">
        <f t="shared" si="42"/>
        <v>21.708799999999997</v>
      </c>
      <c r="AG159" s="15">
        <f t="shared" si="47"/>
        <v>900</v>
      </c>
      <c r="AH159" s="15">
        <f t="shared" si="43"/>
        <v>0.72493988582140234</v>
      </c>
      <c r="AI159" s="15">
        <f t="shared" si="46"/>
        <v>652.44589723926208</v>
      </c>
    </row>
    <row r="160" spans="29:35" x14ac:dyDescent="0.25">
      <c r="AC160" s="15">
        <v>33</v>
      </c>
      <c r="AD160" s="15">
        <f t="shared" si="40"/>
        <v>94.122600000000006</v>
      </c>
      <c r="AE160" s="15">
        <f t="shared" si="41"/>
        <v>29.960154093322458</v>
      </c>
      <c r="AF160" s="15">
        <f t="shared" si="42"/>
        <v>22.050599999999999</v>
      </c>
      <c r="AG160" s="15">
        <f t="shared" si="47"/>
        <v>900</v>
      </c>
      <c r="AH160" s="15">
        <f t="shared" si="43"/>
        <v>0.77104558456151395</v>
      </c>
      <c r="AI160" s="15">
        <f t="shared" si="46"/>
        <v>693.94102610536254</v>
      </c>
    </row>
    <row r="161" spans="29:35" x14ac:dyDescent="0.25">
      <c r="AC161" s="15">
        <v>34</v>
      </c>
      <c r="AD161" s="15">
        <f t="shared" si="40"/>
        <v>96.22</v>
      </c>
      <c r="AE161" s="15">
        <f t="shared" si="41"/>
        <v>30.627777248604339</v>
      </c>
      <c r="AF161" s="15">
        <f t="shared" si="42"/>
        <v>22.371999999999993</v>
      </c>
      <c r="AG161" s="15">
        <f t="shared" si="47"/>
        <v>900</v>
      </c>
      <c r="AH161" s="15">
        <f t="shared" si="43"/>
        <v>0.81753683289166434</v>
      </c>
      <c r="AI161" s="15">
        <f t="shared" si="46"/>
        <v>735.78314960249793</v>
      </c>
    </row>
    <row r="162" spans="29:35" x14ac:dyDescent="0.25">
      <c r="AC162" s="15">
        <v>35</v>
      </c>
      <c r="AD162" s="15">
        <f t="shared" si="40"/>
        <v>98.272999999999996</v>
      </c>
      <c r="AE162" s="15">
        <f t="shared" si="41"/>
        <v>31.281267444939662</v>
      </c>
      <c r="AF162" s="15">
        <f t="shared" si="42"/>
        <v>22.672999999999998</v>
      </c>
      <c r="AG162" s="15">
        <f>AG152-(AG152*0.25)</f>
        <v>675</v>
      </c>
      <c r="AH162" s="15">
        <f t="shared" si="43"/>
        <v>0.86426958266841536</v>
      </c>
      <c r="AI162" s="15">
        <f t="shared" si="46"/>
        <v>583.38196830118034</v>
      </c>
    </row>
    <row r="163" spans="29:35" x14ac:dyDescent="0.25">
      <c r="AC163" s="15">
        <v>36</v>
      </c>
      <c r="AD163" s="15">
        <f t="shared" si="40"/>
        <v>100.2816</v>
      </c>
      <c r="AE163" s="15">
        <f t="shared" si="41"/>
        <v>31.920624682328423</v>
      </c>
      <c r="AF163" s="15">
        <f t="shared" si="42"/>
        <v>22.953599999999994</v>
      </c>
      <c r="AG163" s="15">
        <f t="shared" ref="AG163:AG171" si="48">AG153-(AG153*0.25)</f>
        <v>675</v>
      </c>
      <c r="AH163" s="15">
        <f t="shared" si="43"/>
        <v>0.91109807847883717</v>
      </c>
      <c r="AI163" s="15">
        <f t="shared" si="46"/>
        <v>614.99120297321508</v>
      </c>
    </row>
    <row r="164" spans="29:35" x14ac:dyDescent="0.25">
      <c r="AC164" s="15">
        <v>37</v>
      </c>
      <c r="AD164" s="15">
        <f t="shared" si="40"/>
        <v>102.24579999999999</v>
      </c>
      <c r="AE164" s="15">
        <f t="shared" si="41"/>
        <v>32.54584896077062</v>
      </c>
      <c r="AF164" s="15">
        <f t="shared" si="42"/>
        <v>23.213799999999999</v>
      </c>
      <c r="AG164" s="15">
        <f t="shared" si="48"/>
        <v>675</v>
      </c>
      <c r="AH164" s="15">
        <f t="shared" si="43"/>
        <v>0.95787536828084641</v>
      </c>
      <c r="AI164" s="15">
        <f t="shared" si="46"/>
        <v>646.56587358957131</v>
      </c>
    </row>
    <row r="165" spans="29:35" x14ac:dyDescent="0.25">
      <c r="AC165" s="15">
        <v>38</v>
      </c>
      <c r="AD165" s="15">
        <f t="shared" si="40"/>
        <v>104.16559999999998</v>
      </c>
      <c r="AE165" s="15">
        <f t="shared" si="41"/>
        <v>33.156940280266262</v>
      </c>
      <c r="AF165" s="15">
        <f t="shared" si="42"/>
        <v>23.453599999999994</v>
      </c>
      <c r="AG165" s="15">
        <f t="shared" si="48"/>
        <v>675</v>
      </c>
      <c r="AH165" s="15">
        <f t="shared" si="43"/>
        <v>1.0044537997575496</v>
      </c>
      <c r="AI165" s="15">
        <f t="shared" si="46"/>
        <v>678.00631483634595</v>
      </c>
    </row>
    <row r="166" spans="29:35" x14ac:dyDescent="0.25">
      <c r="AC166" s="15">
        <v>39</v>
      </c>
      <c r="AD166" s="15">
        <f t="shared" si="40"/>
        <v>106.041</v>
      </c>
      <c r="AE166" s="15">
        <f t="shared" si="41"/>
        <v>33.753898640815343</v>
      </c>
      <c r="AF166" s="15">
        <f t="shared" si="42"/>
        <v>23.672999999999995</v>
      </c>
      <c r="AG166" s="15">
        <f t="shared" si="48"/>
        <v>675</v>
      </c>
      <c r="AH166" s="15">
        <f t="shared" si="43"/>
        <v>1.0506855023855934</v>
      </c>
      <c r="AI166" s="15">
        <f t="shared" si="46"/>
        <v>709.21271411027556</v>
      </c>
    </row>
    <row r="167" spans="29:35" x14ac:dyDescent="0.25">
      <c r="AC167" s="15">
        <v>40</v>
      </c>
      <c r="AD167" s="15">
        <f t="shared" si="40"/>
        <v>107.87199999999999</v>
      </c>
      <c r="AE167" s="15">
        <f t="shared" si="41"/>
        <v>34.336724042417863</v>
      </c>
      <c r="AF167" s="15">
        <f t="shared" si="42"/>
        <v>23.871999999999993</v>
      </c>
      <c r="AG167" s="15">
        <f t="shared" si="48"/>
        <v>675</v>
      </c>
      <c r="AH167" s="15">
        <f t="shared" si="43"/>
        <v>1.0964228552175224</v>
      </c>
      <c r="AI167" s="15">
        <f t="shared" si="46"/>
        <v>740.0854272718276</v>
      </c>
    </row>
    <row r="168" spans="29:35" x14ac:dyDescent="0.25">
      <c r="AC168" s="15">
        <v>41</v>
      </c>
      <c r="AD168" s="15">
        <f t="shared" si="40"/>
        <v>109.65859999999999</v>
      </c>
      <c r="AE168" s="15">
        <f t="shared" si="41"/>
        <v>34.905416485073829</v>
      </c>
      <c r="AF168" s="15">
        <f t="shared" si="42"/>
        <v>24.050599999999996</v>
      </c>
      <c r="AG168" s="15">
        <f t="shared" si="48"/>
        <v>675</v>
      </c>
      <c r="AH168" s="15">
        <f t="shared" si="43"/>
        <v>1.1415189403781467</v>
      </c>
      <c r="AI168" s="15">
        <f t="shared" si="46"/>
        <v>770.525284755249</v>
      </c>
    </row>
    <row r="169" spans="29:35" x14ac:dyDescent="0.25">
      <c r="AC169" s="15">
        <v>42</v>
      </c>
      <c r="AD169" s="15">
        <f t="shared" si="40"/>
        <v>111.4008</v>
      </c>
      <c r="AE169" s="15">
        <f t="shared" si="41"/>
        <v>35.459975968783233</v>
      </c>
      <c r="AF169" s="15">
        <f t="shared" si="42"/>
        <v>24.208799999999997</v>
      </c>
      <c r="AG169" s="15">
        <f t="shared" si="48"/>
        <v>675</v>
      </c>
      <c r="AH169" s="15">
        <f t="shared" si="43"/>
        <v>1.1858279822749116</v>
      </c>
      <c r="AI169" s="15">
        <f t="shared" si="46"/>
        <v>800.43388803556536</v>
      </c>
    </row>
    <row r="170" spans="29:35" x14ac:dyDescent="0.25">
      <c r="AC170" s="15">
        <v>43</v>
      </c>
      <c r="AD170" s="15">
        <f t="shared" si="40"/>
        <v>113.0986</v>
      </c>
      <c r="AE170" s="15">
        <f t="shared" si="41"/>
        <v>36.000402493546069</v>
      </c>
      <c r="AF170" s="15">
        <f t="shared" si="42"/>
        <v>24.346599999999995</v>
      </c>
      <c r="AG170" s="15">
        <f t="shared" si="48"/>
        <v>675</v>
      </c>
      <c r="AH170" s="15">
        <f t="shared" si="43"/>
        <v>1.2292057725222758</v>
      </c>
      <c r="AI170" s="15">
        <f t="shared" si="46"/>
        <v>829.71389645253612</v>
      </c>
    </row>
    <row r="171" spans="29:35" x14ac:dyDescent="0.25">
      <c r="AC171" s="15">
        <v>44</v>
      </c>
      <c r="AD171" s="15">
        <f t="shared" si="40"/>
        <v>114.75200000000001</v>
      </c>
      <c r="AE171" s="15">
        <f t="shared" si="41"/>
        <v>36.526696059362351</v>
      </c>
      <c r="AF171" s="15">
        <f t="shared" si="42"/>
        <v>24.463999999999995</v>
      </c>
      <c r="AG171" s="15">
        <f t="shared" si="48"/>
        <v>675</v>
      </c>
      <c r="AH171" s="15">
        <f t="shared" si="43"/>
        <v>1.2715100805801018</v>
      </c>
      <c r="AI171" s="15">
        <f t="shared" si="46"/>
        <v>858.26930439156877</v>
      </c>
    </row>
    <row r="172" spans="29:35" x14ac:dyDescent="0.25">
      <c r="AC172" s="15">
        <v>45</v>
      </c>
      <c r="AD172" s="15">
        <f t="shared" si="40"/>
        <v>116.36099999999999</v>
      </c>
      <c r="AE172" s="15">
        <f t="shared" si="41"/>
        <v>37.038856666232064</v>
      </c>
      <c r="AF172" s="15">
        <f t="shared" si="42"/>
        <v>24.560999999999993</v>
      </c>
      <c r="AG172" s="16">
        <f>AG162-(AG162*0.25)</f>
        <v>506.25</v>
      </c>
      <c r="AH172" s="15">
        <f t="shared" si="43"/>
        <v>1.3126010501060459</v>
      </c>
      <c r="AI172" s="15">
        <f t="shared" si="46"/>
        <v>664.50428161618572</v>
      </c>
    </row>
    <row r="173" spans="29:35" x14ac:dyDescent="0.25">
      <c r="AC173" s="15">
        <v>46</v>
      </c>
      <c r="AD173" s="15">
        <f t="shared" si="40"/>
        <v>117.9256</v>
      </c>
      <c r="AE173" s="15">
        <f t="shared" si="41"/>
        <v>37.53688431415523</v>
      </c>
      <c r="AF173" s="15">
        <f t="shared" si="42"/>
        <v>24.637599999999996</v>
      </c>
      <c r="AG173" s="16">
        <f t="shared" ref="AG173:AG176" si="49">AG163-(AG163*0.25)</f>
        <v>506.25</v>
      </c>
      <c r="AH173" s="15">
        <f t="shared" si="43"/>
        <v>1.352341581021963</v>
      </c>
      <c r="AI173" s="15">
        <f>AH173*AG173</f>
        <v>684.62292539236876</v>
      </c>
    </row>
    <row r="174" spans="29:35" x14ac:dyDescent="0.25">
      <c r="AC174" s="15">
        <v>47</v>
      </c>
      <c r="AD174" s="15">
        <f t="shared" si="40"/>
        <v>119.44580000000001</v>
      </c>
      <c r="AE174" s="15">
        <f t="shared" si="41"/>
        <v>38.020779003131828</v>
      </c>
      <c r="AF174" s="15">
        <f t="shared" si="42"/>
        <v>24.693799999999992</v>
      </c>
      <c r="AG174" s="16">
        <f t="shared" si="49"/>
        <v>506.25</v>
      </c>
      <c r="AH174" s="15">
        <f t="shared" si="43"/>
        <v>1.3905976972943066</v>
      </c>
      <c r="AI174" s="15">
        <f t="shared" ref="AI174:AI177" si="50">AH174*AG174</f>
        <v>703.99008425524266</v>
      </c>
    </row>
    <row r="175" spans="29:35" x14ac:dyDescent="0.25">
      <c r="AC175" s="15">
        <v>48</v>
      </c>
      <c r="AD175" s="15">
        <f t="shared" si="40"/>
        <v>120.92160000000001</v>
      </c>
      <c r="AE175" s="15">
        <f t="shared" si="41"/>
        <v>38.490540733161865</v>
      </c>
      <c r="AF175" s="15">
        <f t="shared" si="42"/>
        <v>24.729599999999994</v>
      </c>
      <c r="AG175" s="16">
        <f t="shared" si="49"/>
        <v>506.25</v>
      </c>
      <c r="AH175" s="15">
        <f t="shared" si="43"/>
        <v>1.4272389004285533</v>
      </c>
      <c r="AI175" s="15">
        <f t="shared" si="50"/>
        <v>722.53969334195506</v>
      </c>
    </row>
    <row r="176" spans="29:35" x14ac:dyDescent="0.25">
      <c r="AC176" s="15">
        <v>49</v>
      </c>
      <c r="AD176" s="15">
        <f t="shared" si="40"/>
        <v>122.35300000000001</v>
      </c>
      <c r="AE176" s="15">
        <f t="shared" si="41"/>
        <v>38.946169504245347</v>
      </c>
      <c r="AF176" s="15">
        <f t="shared" si="42"/>
        <v>24.744999999999997</v>
      </c>
      <c r="AG176" s="16">
        <f t="shared" si="49"/>
        <v>506.25</v>
      </c>
      <c r="AH176" s="15">
        <f t="shared" si="43"/>
        <v>1.4621385086776186</v>
      </c>
      <c r="AI176" s="15">
        <f t="shared" si="50"/>
        <v>740.20762001804439</v>
      </c>
    </row>
    <row r="177" spans="29:35" x14ac:dyDescent="0.25">
      <c r="AC177" s="15">
        <v>50</v>
      </c>
      <c r="AD177" s="15">
        <f t="shared" si="40"/>
        <v>123.74000000000001</v>
      </c>
      <c r="AE177" s="15">
        <f t="shared" si="41"/>
        <v>39.387665316382261</v>
      </c>
      <c r="AF177" s="15">
        <f t="shared" si="42"/>
        <v>24.739999999999991</v>
      </c>
      <c r="AG177" s="16">
        <f>AG172-(AG172*0.25)</f>
        <v>379.6875</v>
      </c>
      <c r="AH177" s="15">
        <f t="shared" si="43"/>
        <v>1.495173981964286</v>
      </c>
      <c r="AI177" s="15">
        <f t="shared" si="50"/>
        <v>567.69887127706488</v>
      </c>
    </row>
    <row r="179" spans="29:35" x14ac:dyDescent="0.25">
      <c r="AC179" s="15" t="s">
        <v>327</v>
      </c>
      <c r="AD179" s="15" t="s">
        <v>495</v>
      </c>
      <c r="AE179" s="15"/>
      <c r="AF179" s="15"/>
      <c r="AG179" s="15"/>
      <c r="AH179" s="15"/>
      <c r="AI179" s="15"/>
    </row>
    <row r="180" spans="29:35" x14ac:dyDescent="0.25">
      <c r="AC180" s="15" t="s">
        <v>7</v>
      </c>
      <c r="AD180" s="15" t="s">
        <v>496</v>
      </c>
      <c r="AE180" s="15" t="s">
        <v>497</v>
      </c>
      <c r="AF180" s="15" t="s">
        <v>498</v>
      </c>
      <c r="AG180" s="15" t="s">
        <v>499</v>
      </c>
      <c r="AH180" s="15" t="s">
        <v>500</v>
      </c>
      <c r="AI180" s="15" t="s">
        <v>501</v>
      </c>
    </row>
    <row r="181" spans="29:35" x14ac:dyDescent="0.25">
      <c r="AC181" s="15">
        <v>1</v>
      </c>
      <c r="AD181" s="15">
        <f>-0.0188*AC181^2+3.0484*AC181</f>
        <v>3.0295999999999998</v>
      </c>
      <c r="AE181" s="15">
        <f>AD181/PI()</f>
        <v>0.96435163118241218</v>
      </c>
      <c r="AF181" s="15">
        <f>-0.0085*AC181^2+0.8473*AC181</f>
        <v>0.8388000000000001</v>
      </c>
      <c r="AG181" s="15">
        <v>1600</v>
      </c>
      <c r="AH181" s="15">
        <f>0.496*(AF181*(AD181/100)^2)/(4*PI())</f>
        <v>3.038790909070051E-5</v>
      </c>
      <c r="AI181" s="15">
        <f>AH181*AG181</f>
        <v>4.8620654545120816E-2</v>
      </c>
    </row>
    <row r="182" spans="29:35" x14ac:dyDescent="0.25">
      <c r="AC182" s="15">
        <v>2</v>
      </c>
      <c r="AD182" s="15">
        <f t="shared" ref="AD182:AD230" si="51">-0.0188*AC182^2+3.0484*AC182</f>
        <v>6.0216000000000003</v>
      </c>
      <c r="AE182" s="15">
        <f t="shared" ref="AE182:AE230" si="52">AD182/PI()</f>
        <v>1.9167348106443141</v>
      </c>
      <c r="AF182" s="15">
        <f t="shared" ref="AF182:AF230" si="53">-0.0085*AC182^2+0.8473*AC182</f>
        <v>1.6606000000000001</v>
      </c>
      <c r="AG182" s="15">
        <v>1600</v>
      </c>
      <c r="AH182" s="15">
        <f t="shared" ref="AH182:AH230" si="54">0.496*(AF182*(AD182/100)^2)/(4*PI())</f>
        <v>2.3766249502050731E-4</v>
      </c>
      <c r="AI182" s="15">
        <f t="shared" ref="AI182:AI195" si="55">AH182*AG182</f>
        <v>0.38025999203281169</v>
      </c>
    </row>
    <row r="183" spans="29:35" x14ac:dyDescent="0.25">
      <c r="AC183" s="15">
        <v>3</v>
      </c>
      <c r="AD183" s="15">
        <f t="shared" si="51"/>
        <v>8.9759999999999991</v>
      </c>
      <c r="AE183" s="15">
        <f t="shared" si="52"/>
        <v>2.8571495383857051</v>
      </c>
      <c r="AF183" s="15">
        <f t="shared" si="53"/>
        <v>2.4653999999999998</v>
      </c>
      <c r="AG183" s="15">
        <v>1600</v>
      </c>
      <c r="AH183" s="15">
        <f t="shared" si="54"/>
        <v>7.8401593896602222E-4</v>
      </c>
      <c r="AI183" s="15">
        <f t="shared" si="55"/>
        <v>1.2544255023456357</v>
      </c>
    </row>
    <row r="184" spans="29:35" x14ac:dyDescent="0.25">
      <c r="AC184" s="15">
        <v>4</v>
      </c>
      <c r="AD184" s="15">
        <f t="shared" si="51"/>
        <v>11.892799999999999</v>
      </c>
      <c r="AE184" s="15">
        <f t="shared" si="52"/>
        <v>3.7855958144065855</v>
      </c>
      <c r="AF184" s="15">
        <f t="shared" si="53"/>
        <v>3.2532000000000001</v>
      </c>
      <c r="AG184" s="15">
        <v>1600</v>
      </c>
      <c r="AH184" s="15">
        <f t="shared" si="54"/>
        <v>1.8161462027626724E-3</v>
      </c>
      <c r="AI184" s="15">
        <f t="shared" si="55"/>
        <v>2.9058339244202758</v>
      </c>
    </row>
    <row r="185" spans="29:35" x14ac:dyDescent="0.25">
      <c r="AC185" s="15">
        <v>5</v>
      </c>
      <c r="AD185" s="15">
        <f t="shared" si="51"/>
        <v>14.772</v>
      </c>
      <c r="AE185" s="15">
        <f t="shared" si="52"/>
        <v>4.7020736387069562</v>
      </c>
      <c r="AF185" s="15">
        <f t="shared" si="53"/>
        <v>4.024</v>
      </c>
      <c r="AG185" s="15">
        <v>1600</v>
      </c>
      <c r="AH185" s="15">
        <f t="shared" si="54"/>
        <v>3.4658389846935612E-3</v>
      </c>
      <c r="AI185" s="15">
        <f t="shared" si="55"/>
        <v>5.5453423755096978</v>
      </c>
    </row>
    <row r="186" spans="29:35" x14ac:dyDescent="0.25">
      <c r="AC186" s="15">
        <v>6</v>
      </c>
      <c r="AD186" s="15">
        <f t="shared" si="51"/>
        <v>17.613599999999998</v>
      </c>
      <c r="AE186" s="15">
        <f t="shared" si="52"/>
        <v>5.6065830112868147</v>
      </c>
      <c r="AF186" s="15">
        <f t="shared" si="53"/>
        <v>4.7778</v>
      </c>
      <c r="AG186" s="15">
        <v>1600</v>
      </c>
      <c r="AH186" s="15">
        <f t="shared" si="54"/>
        <v>5.8505411376168007E-3</v>
      </c>
      <c r="AI186" s="15">
        <f t="shared" si="55"/>
        <v>9.3608658201868806</v>
      </c>
    </row>
    <row r="187" spans="29:35" x14ac:dyDescent="0.25">
      <c r="AC187" s="15">
        <v>7</v>
      </c>
      <c r="AD187" s="15">
        <f t="shared" si="51"/>
        <v>20.4176</v>
      </c>
      <c r="AE187" s="15">
        <f t="shared" si="52"/>
        <v>6.4991239321461647</v>
      </c>
      <c r="AF187" s="15">
        <f t="shared" si="53"/>
        <v>5.5146000000000006</v>
      </c>
      <c r="AG187" s="15">
        <v>1600</v>
      </c>
      <c r="AH187" s="15">
        <f t="shared" si="54"/>
        <v>9.0739255494313182E-3</v>
      </c>
      <c r="AI187" s="15">
        <f t="shared" si="55"/>
        <v>14.51828087909011</v>
      </c>
    </row>
    <row r="188" spans="29:35" x14ac:dyDescent="0.25">
      <c r="AC188" s="15">
        <v>8</v>
      </c>
      <c r="AD188" s="15">
        <f t="shared" si="51"/>
        <v>23.184000000000001</v>
      </c>
      <c r="AE188" s="15">
        <f t="shared" si="52"/>
        <v>7.3796964012850035</v>
      </c>
      <c r="AF188" s="15">
        <f t="shared" si="53"/>
        <v>6.2344000000000008</v>
      </c>
      <c r="AG188" s="15">
        <v>1600</v>
      </c>
      <c r="AH188" s="15">
        <f t="shared" si="54"/>
        <v>1.3226447485881136E-2</v>
      </c>
      <c r="AI188" s="15">
        <f t="shared" si="55"/>
        <v>21.162315977409818</v>
      </c>
    </row>
    <row r="189" spans="29:35" x14ac:dyDescent="0.25">
      <c r="AC189" s="15">
        <v>9</v>
      </c>
      <c r="AD189" s="15">
        <f t="shared" si="51"/>
        <v>25.912800000000001</v>
      </c>
      <c r="AE189" s="15">
        <f t="shared" si="52"/>
        <v>8.248300418703332</v>
      </c>
      <c r="AF189" s="15">
        <f t="shared" si="53"/>
        <v>6.9371999999999998</v>
      </c>
      <c r="AG189" s="15">
        <v>1600</v>
      </c>
      <c r="AH189" s="15">
        <f t="shared" si="54"/>
        <v>1.8385892395698142E-2</v>
      </c>
      <c r="AI189" s="15">
        <f t="shared" si="55"/>
        <v>29.417427833117028</v>
      </c>
    </row>
    <row r="190" spans="29:35" x14ac:dyDescent="0.25">
      <c r="AC190" s="15">
        <v>10</v>
      </c>
      <c r="AD190" s="15">
        <f t="shared" si="51"/>
        <v>28.604000000000003</v>
      </c>
      <c r="AE190" s="15">
        <f t="shared" si="52"/>
        <v>9.1049359844011502</v>
      </c>
      <c r="AF190" s="15">
        <f t="shared" si="53"/>
        <v>7.6230000000000011</v>
      </c>
      <c r="AG190" s="15">
        <v>1600</v>
      </c>
      <c r="AH190" s="15">
        <f t="shared" si="54"/>
        <v>2.4617915178083316E-2</v>
      </c>
      <c r="AI190" s="15">
        <f t="shared" si="55"/>
        <v>39.388664284933306</v>
      </c>
    </row>
    <row r="191" spans="29:35" x14ac:dyDescent="0.25">
      <c r="AC191" s="15">
        <v>11</v>
      </c>
      <c r="AD191" s="15">
        <f t="shared" si="51"/>
        <v>31.257600000000004</v>
      </c>
      <c r="AE191" s="15">
        <f t="shared" si="52"/>
        <v>9.9496030983784571</v>
      </c>
      <c r="AF191" s="15">
        <f t="shared" si="53"/>
        <v>8.2918000000000021</v>
      </c>
      <c r="AG191" s="15">
        <v>1600</v>
      </c>
      <c r="AH191" s="15">
        <f t="shared" si="54"/>
        <v>3.1976570912526467E-2</v>
      </c>
      <c r="AI191" s="15">
        <f t="shared" si="55"/>
        <v>51.162513460042348</v>
      </c>
    </row>
    <row r="192" spans="29:35" x14ac:dyDescent="0.25">
      <c r="AC192" s="15">
        <v>12</v>
      </c>
      <c r="AD192" s="15">
        <f t="shared" si="51"/>
        <v>33.873599999999996</v>
      </c>
      <c r="AE192" s="15">
        <f t="shared" si="52"/>
        <v>10.782301760635251</v>
      </c>
      <c r="AF192" s="15">
        <f t="shared" si="53"/>
        <v>8.9436</v>
      </c>
      <c r="AG192" s="15">
        <v>1600</v>
      </c>
      <c r="AH192" s="15">
        <f t="shared" si="54"/>
        <v>4.0504837050964353E-2</v>
      </c>
      <c r="AI192" s="15">
        <f t="shared" si="55"/>
        <v>64.807739281542965</v>
      </c>
    </row>
    <row r="193" spans="29:35" x14ac:dyDescent="0.25">
      <c r="AC193" s="15">
        <v>13</v>
      </c>
      <c r="AD193" s="15">
        <f t="shared" si="51"/>
        <v>36.451999999999998</v>
      </c>
      <c r="AE193" s="15">
        <f t="shared" si="52"/>
        <v>11.603031971171538</v>
      </c>
      <c r="AF193" s="15">
        <f t="shared" si="53"/>
        <v>9.5784000000000002</v>
      </c>
      <c r="AG193" s="15">
        <v>1600</v>
      </c>
      <c r="AH193" s="15">
        <f t="shared" si="54"/>
        <v>5.0235127072277459E-2</v>
      </c>
      <c r="AI193" s="15">
        <f t="shared" si="55"/>
        <v>80.376203315643934</v>
      </c>
    </row>
    <row r="194" spans="29:35" x14ac:dyDescent="0.25">
      <c r="AC194" s="15">
        <v>14</v>
      </c>
      <c r="AD194" s="15">
        <f t="shared" si="51"/>
        <v>38.992799999999995</v>
      </c>
      <c r="AE194" s="15">
        <f t="shared" si="52"/>
        <v>12.411793729987313</v>
      </c>
      <c r="AF194" s="15">
        <f t="shared" si="53"/>
        <v>10.196200000000001</v>
      </c>
      <c r="AG194" s="15">
        <v>1600</v>
      </c>
      <c r="AH194" s="15">
        <f t="shared" si="54"/>
        <v>6.1189795599125102E-2</v>
      </c>
      <c r="AI194" s="15">
        <f t="shared" si="55"/>
        <v>97.903672958600168</v>
      </c>
    </row>
    <row r="195" spans="29:35" x14ac:dyDescent="0.25">
      <c r="AC195" s="15">
        <v>15</v>
      </c>
      <c r="AD195" s="15">
        <f t="shared" si="51"/>
        <v>41.495999999999995</v>
      </c>
      <c r="AE195" s="15">
        <f t="shared" si="52"/>
        <v>13.208587037082577</v>
      </c>
      <c r="AF195" s="15">
        <f t="shared" si="53"/>
        <v>10.797000000000001</v>
      </c>
      <c r="AG195" s="15">
        <f>AG181-(AG181*0.25)</f>
        <v>1200</v>
      </c>
      <c r="AH195" s="15">
        <f t="shared" si="54"/>
        <v>7.3381634977118956E-2</v>
      </c>
      <c r="AI195" s="15">
        <f t="shared" si="55"/>
        <v>88.057961972542742</v>
      </c>
    </row>
    <row r="196" spans="29:35" x14ac:dyDescent="0.25">
      <c r="AC196" s="15">
        <v>16</v>
      </c>
      <c r="AD196" s="15">
        <f t="shared" si="51"/>
        <v>43.961599999999997</v>
      </c>
      <c r="AE196" s="15">
        <f t="shared" si="52"/>
        <v>13.993411892457331</v>
      </c>
      <c r="AF196" s="15">
        <f t="shared" si="53"/>
        <v>11.380800000000001</v>
      </c>
      <c r="AG196" s="15">
        <f t="shared" ref="AG196:AG204" si="56">AG182-(AG182*0.25)</f>
        <v>1200</v>
      </c>
      <c r="AH196" s="15">
        <f t="shared" si="54"/>
        <v>8.6814363316335338E-2</v>
      </c>
      <c r="AI196" s="15">
        <f>AH196*AG196</f>
        <v>104.1772359796024</v>
      </c>
    </row>
    <row r="197" spans="29:35" x14ac:dyDescent="0.25">
      <c r="AC197" s="15">
        <v>17</v>
      </c>
      <c r="AD197" s="15">
        <f t="shared" si="51"/>
        <v>46.389600000000002</v>
      </c>
      <c r="AE197" s="15">
        <f t="shared" si="52"/>
        <v>14.766268296111576</v>
      </c>
      <c r="AF197" s="15">
        <f t="shared" si="53"/>
        <v>11.947600000000001</v>
      </c>
      <c r="AG197" s="15">
        <f t="shared" si="56"/>
        <v>1200</v>
      </c>
      <c r="AH197" s="15">
        <f t="shared" si="54"/>
        <v>0.10148310399516561</v>
      </c>
      <c r="AI197" s="15">
        <f t="shared" ref="AI197:AI225" si="57">AH197*AG197</f>
        <v>121.77972479419873</v>
      </c>
    </row>
    <row r="198" spans="29:35" x14ac:dyDescent="0.25">
      <c r="AC198" s="15">
        <v>18</v>
      </c>
      <c r="AD198" s="15">
        <f t="shared" si="51"/>
        <v>48.78</v>
      </c>
      <c r="AE198" s="15">
        <f t="shared" si="52"/>
        <v>15.52715624804531</v>
      </c>
      <c r="AF198" s="15">
        <f t="shared" si="53"/>
        <v>12.497400000000001</v>
      </c>
      <c r="AG198" s="15">
        <f t="shared" si="56"/>
        <v>1200</v>
      </c>
      <c r="AH198" s="15">
        <f t="shared" si="54"/>
        <v>0.11737485662650522</v>
      </c>
      <c r="AI198" s="15">
        <f t="shared" si="57"/>
        <v>140.84982795180628</v>
      </c>
    </row>
    <row r="199" spans="29:35" x14ac:dyDescent="0.25">
      <c r="AC199" s="15">
        <v>19</v>
      </c>
      <c r="AD199" s="15">
        <f t="shared" si="51"/>
        <v>51.132800000000003</v>
      </c>
      <c r="AE199" s="15">
        <f t="shared" si="52"/>
        <v>16.276075748258535</v>
      </c>
      <c r="AF199" s="15">
        <f t="shared" si="53"/>
        <v>13.030200000000001</v>
      </c>
      <c r="AG199" s="15">
        <f t="shared" si="56"/>
        <v>1200</v>
      </c>
      <c r="AH199" s="15">
        <f t="shared" si="54"/>
        <v>0.13446895948628149</v>
      </c>
      <c r="AI199" s="15">
        <f t="shared" si="57"/>
        <v>161.36275138353778</v>
      </c>
    </row>
    <row r="200" spans="29:35" x14ac:dyDescent="0.25">
      <c r="AC200" s="15">
        <v>20</v>
      </c>
      <c r="AD200" s="15">
        <f t="shared" si="51"/>
        <v>53.448</v>
      </c>
      <c r="AE200" s="15">
        <f t="shared" si="52"/>
        <v>17.013026796751245</v>
      </c>
      <c r="AF200" s="15">
        <f t="shared" si="53"/>
        <v>13.546000000000001</v>
      </c>
      <c r="AG200" s="15">
        <f t="shared" si="56"/>
        <v>1200</v>
      </c>
      <c r="AH200" s="15">
        <f t="shared" si="54"/>
        <v>0.15273754340431925</v>
      </c>
      <c r="AI200" s="15">
        <f t="shared" si="57"/>
        <v>183.28505208518311</v>
      </c>
    </row>
    <row r="201" spans="29:35" x14ac:dyDescent="0.25">
      <c r="AC201" s="15">
        <v>21</v>
      </c>
      <c r="AD201" s="15">
        <f t="shared" si="51"/>
        <v>55.7256</v>
      </c>
      <c r="AE201" s="15">
        <f t="shared" si="52"/>
        <v>17.738009393523445</v>
      </c>
      <c r="AF201" s="15">
        <f t="shared" si="53"/>
        <v>14.044800000000002</v>
      </c>
      <c r="AG201" s="15">
        <f t="shared" si="56"/>
        <v>1200</v>
      </c>
      <c r="AH201" s="15">
        <f t="shared" si="54"/>
        <v>0.17214597711754576</v>
      </c>
      <c r="AI201" s="15">
        <f t="shared" si="57"/>
        <v>206.57517254105491</v>
      </c>
    </row>
    <row r="202" spans="29:35" x14ac:dyDescent="0.25">
      <c r="AC202" s="15">
        <v>22</v>
      </c>
      <c r="AD202" s="15">
        <f t="shared" si="51"/>
        <v>57.965600000000009</v>
      </c>
      <c r="AE202" s="15">
        <f t="shared" si="52"/>
        <v>18.451023538575139</v>
      </c>
      <c r="AF202" s="15">
        <f t="shared" si="53"/>
        <v>14.526600000000002</v>
      </c>
      <c r="AG202" s="15">
        <f t="shared" si="56"/>
        <v>1200</v>
      </c>
      <c r="AH202" s="15">
        <f t="shared" si="54"/>
        <v>0.19265330408553322</v>
      </c>
      <c r="AI202" s="15">
        <f t="shared" si="57"/>
        <v>231.18396490263987</v>
      </c>
    </row>
    <row r="203" spans="29:35" x14ac:dyDescent="0.25">
      <c r="AC203" s="15">
        <v>23</v>
      </c>
      <c r="AD203" s="15">
        <f t="shared" si="51"/>
        <v>60.168000000000006</v>
      </c>
      <c r="AE203" s="15">
        <f t="shared" si="52"/>
        <v>19.152069231906321</v>
      </c>
      <c r="AF203" s="15">
        <f t="shared" si="53"/>
        <v>14.991399999999999</v>
      </c>
      <c r="AG203" s="15">
        <f t="shared" si="56"/>
        <v>1200</v>
      </c>
      <c r="AH203" s="15">
        <f t="shared" si="54"/>
        <v>0.21421267076838038</v>
      </c>
      <c r="AI203" s="15">
        <f t="shared" si="57"/>
        <v>257.05520492205648</v>
      </c>
    </row>
    <row r="204" spans="29:35" x14ac:dyDescent="0.25">
      <c r="AC204" s="15">
        <v>24</v>
      </c>
      <c r="AD204" s="15">
        <f t="shared" si="51"/>
        <v>62.332799999999992</v>
      </c>
      <c r="AE204" s="15">
        <f t="shared" si="52"/>
        <v>19.841146473516986</v>
      </c>
      <c r="AF204" s="15">
        <f t="shared" si="53"/>
        <v>15.4392</v>
      </c>
      <c r="AG204" s="15">
        <f t="shared" si="56"/>
        <v>1200</v>
      </c>
      <c r="AH204" s="15">
        <f t="shared" si="54"/>
        <v>0.23677174636693246</v>
      </c>
      <c r="AI204" s="15">
        <f t="shared" si="57"/>
        <v>284.12609564031897</v>
      </c>
    </row>
    <row r="205" spans="29:35" x14ac:dyDescent="0.25">
      <c r="AC205" s="15">
        <v>25</v>
      </c>
      <c r="AD205" s="15">
        <f t="shared" si="51"/>
        <v>64.459999999999994</v>
      </c>
      <c r="AE205" s="15">
        <f t="shared" si="52"/>
        <v>20.518255263407145</v>
      </c>
      <c r="AF205" s="15">
        <f t="shared" si="53"/>
        <v>15.870000000000001</v>
      </c>
      <c r="AG205" s="15">
        <f>AG195-(AG195*0.25)</f>
        <v>900</v>
      </c>
      <c r="AH205" s="15">
        <f t="shared" si="54"/>
        <v>0.26027313402534008</v>
      </c>
      <c r="AI205" s="15">
        <f t="shared" si="57"/>
        <v>234.24582062280606</v>
      </c>
    </row>
    <row r="206" spans="29:35" x14ac:dyDescent="0.25">
      <c r="AC206" s="15">
        <v>26</v>
      </c>
      <c r="AD206" s="15">
        <f t="shared" si="51"/>
        <v>66.549599999999998</v>
      </c>
      <c r="AE206" s="15">
        <f t="shared" si="52"/>
        <v>21.183395601576795</v>
      </c>
      <c r="AF206" s="15">
        <f t="shared" si="53"/>
        <v>16.283799999999999</v>
      </c>
      <c r="AG206" s="15">
        <f t="shared" ref="AG206:AG214" si="58">AG196-(AG196*0.25)</f>
        <v>900</v>
      </c>
      <c r="AH206" s="15">
        <f t="shared" si="54"/>
        <v>0.2846547734959548</v>
      </c>
      <c r="AI206" s="15">
        <f t="shared" si="57"/>
        <v>256.18929614635931</v>
      </c>
    </row>
    <row r="207" spans="29:35" x14ac:dyDescent="0.25">
      <c r="AC207" s="15">
        <v>27</v>
      </c>
      <c r="AD207" s="15">
        <f t="shared" si="51"/>
        <v>68.601599999999991</v>
      </c>
      <c r="AE207" s="15">
        <f t="shared" si="52"/>
        <v>21.836567488025931</v>
      </c>
      <c r="AF207" s="15">
        <f t="shared" si="53"/>
        <v>16.680600000000002</v>
      </c>
      <c r="AG207" s="15">
        <f t="shared" si="58"/>
        <v>900</v>
      </c>
      <c r="AH207" s="15">
        <f t="shared" si="54"/>
        <v>0.30985033526656586</v>
      </c>
      <c r="AI207" s="15">
        <f t="shared" si="57"/>
        <v>278.86530173990928</v>
      </c>
    </row>
    <row r="208" spans="29:35" x14ac:dyDescent="0.25">
      <c r="AC208" s="15">
        <v>28</v>
      </c>
      <c r="AD208" s="15">
        <f t="shared" si="51"/>
        <v>70.616</v>
      </c>
      <c r="AE208" s="15">
        <f t="shared" si="52"/>
        <v>22.477770922754562</v>
      </c>
      <c r="AF208" s="15">
        <f t="shared" si="53"/>
        <v>17.060400000000001</v>
      </c>
      <c r="AG208" s="15">
        <f t="shared" si="58"/>
        <v>900</v>
      </c>
      <c r="AH208" s="15">
        <f t="shared" si="54"/>
        <v>0.33578960614997327</v>
      </c>
      <c r="AI208" s="15">
        <f t="shared" si="57"/>
        <v>302.21064553497592</v>
      </c>
    </row>
    <row r="209" spans="29:35" x14ac:dyDescent="0.25">
      <c r="AC209" s="15">
        <v>29</v>
      </c>
      <c r="AD209" s="15">
        <f t="shared" si="51"/>
        <v>72.592799999999997</v>
      </c>
      <c r="AE209" s="15">
        <f t="shared" si="52"/>
        <v>23.10700590576268</v>
      </c>
      <c r="AF209" s="15">
        <f t="shared" si="53"/>
        <v>17.423200000000001</v>
      </c>
      <c r="AG209" s="15">
        <f t="shared" si="58"/>
        <v>900</v>
      </c>
      <c r="AH209" s="15">
        <f t="shared" si="54"/>
        <v>0.36239886633590002</v>
      </c>
      <c r="AI209" s="15">
        <f t="shared" si="57"/>
        <v>326.15897970231003</v>
      </c>
    </row>
    <row r="210" spans="29:35" x14ac:dyDescent="0.25">
      <c r="AC210" s="15">
        <v>30</v>
      </c>
      <c r="AD210" s="15">
        <f t="shared" si="51"/>
        <v>74.531999999999996</v>
      </c>
      <c r="AE210" s="15">
        <f t="shared" si="52"/>
        <v>23.724272437050285</v>
      </c>
      <c r="AF210" s="15">
        <f t="shared" si="53"/>
        <v>17.768999999999998</v>
      </c>
      <c r="AG210" s="15">
        <f t="shared" si="58"/>
        <v>900</v>
      </c>
      <c r="AH210" s="15">
        <f t="shared" si="54"/>
        <v>0.38960125790524308</v>
      </c>
      <c r="AI210" s="74">
        <f t="shared" si="57"/>
        <v>350.6411321147188</v>
      </c>
    </row>
    <row r="211" spans="29:35" x14ac:dyDescent="0.25">
      <c r="AC211" s="15">
        <v>31</v>
      </c>
      <c r="AD211" s="15">
        <f t="shared" si="51"/>
        <v>76.433599999999998</v>
      </c>
      <c r="AE211" s="15">
        <f t="shared" si="52"/>
        <v>24.329570516617384</v>
      </c>
      <c r="AF211" s="15">
        <f t="shared" si="53"/>
        <v>18.097799999999999</v>
      </c>
      <c r="AG211" s="15">
        <f t="shared" si="58"/>
        <v>900</v>
      </c>
      <c r="AH211" s="15">
        <f t="shared" si="54"/>
        <v>0.41731714480666349</v>
      </c>
      <c r="AI211" s="15">
        <f t="shared" si="57"/>
        <v>375.58543032599715</v>
      </c>
    </row>
    <row r="212" spans="29:35" x14ac:dyDescent="0.25">
      <c r="AC212" s="15">
        <v>32</v>
      </c>
      <c r="AD212" s="15">
        <f t="shared" si="51"/>
        <v>78.297600000000003</v>
      </c>
      <c r="AE212" s="15">
        <f t="shared" si="52"/>
        <v>24.92290014446397</v>
      </c>
      <c r="AF212" s="15">
        <f t="shared" si="53"/>
        <v>18.409600000000001</v>
      </c>
      <c r="AG212" s="15">
        <f t="shared" si="58"/>
        <v>900</v>
      </c>
      <c r="AH212" s="15">
        <f t="shared" si="54"/>
        <v>0.44546446429551217</v>
      </c>
      <c r="AI212" s="15">
        <f t="shared" si="57"/>
        <v>400.91801786596096</v>
      </c>
    </row>
    <row r="213" spans="29:35" x14ac:dyDescent="0.25">
      <c r="AC213" s="15">
        <v>33</v>
      </c>
      <c r="AD213" s="15">
        <f t="shared" si="51"/>
        <v>80.123999999999995</v>
      </c>
      <c r="AE213" s="15">
        <f t="shared" si="52"/>
        <v>25.504261320590043</v>
      </c>
      <c r="AF213" s="15">
        <f t="shared" si="53"/>
        <v>18.7044</v>
      </c>
      <c r="AG213" s="15">
        <f t="shared" si="58"/>
        <v>900</v>
      </c>
      <c r="AH213" s="15">
        <f t="shared" si="54"/>
        <v>0.47395906983509756</v>
      </c>
      <c r="AI213" s="15">
        <f t="shared" si="57"/>
        <v>426.56316285158778</v>
      </c>
    </row>
    <row r="214" spans="29:35" x14ac:dyDescent="0.25">
      <c r="AC214" s="15">
        <v>34</v>
      </c>
      <c r="AD214" s="15">
        <f t="shared" si="51"/>
        <v>81.912800000000004</v>
      </c>
      <c r="AE214" s="15">
        <f t="shared" si="52"/>
        <v>26.07365404499561</v>
      </c>
      <c r="AF214" s="15">
        <f t="shared" si="53"/>
        <v>18.982200000000002</v>
      </c>
      <c r="AG214" s="15">
        <f t="shared" si="58"/>
        <v>900</v>
      </c>
      <c r="AH214" s="15">
        <f t="shared" si="54"/>
        <v>0.50271506546029054</v>
      </c>
      <c r="AI214" s="15">
        <f t="shared" si="57"/>
        <v>452.44355891426147</v>
      </c>
    </row>
    <row r="215" spans="29:35" x14ac:dyDescent="0.25">
      <c r="AC215" s="15">
        <v>35</v>
      </c>
      <c r="AD215" s="15">
        <f t="shared" si="51"/>
        <v>83.664000000000001</v>
      </c>
      <c r="AE215" s="15">
        <f t="shared" si="52"/>
        <v>26.631078317680664</v>
      </c>
      <c r="AF215" s="15">
        <f t="shared" si="53"/>
        <v>19.243000000000002</v>
      </c>
      <c r="AG215" s="15">
        <f>AG205-(AG205*0.25)</f>
        <v>675</v>
      </c>
      <c r="AH215" s="15">
        <f t="shared" si="54"/>
        <v>0.53164513160346605</v>
      </c>
      <c r="AI215" s="15">
        <f t="shared" si="57"/>
        <v>358.86046383233958</v>
      </c>
    </row>
    <row r="216" spans="29:35" x14ac:dyDescent="0.25">
      <c r="AC216" s="15">
        <v>36</v>
      </c>
      <c r="AD216" s="15">
        <f t="shared" si="51"/>
        <v>85.377600000000001</v>
      </c>
      <c r="AE216" s="15">
        <f t="shared" si="52"/>
        <v>27.176534138645209</v>
      </c>
      <c r="AF216" s="15">
        <f t="shared" si="53"/>
        <v>19.486800000000002</v>
      </c>
      <c r="AG216" s="15">
        <f t="shared" ref="AG216:AG224" si="59">AG206-(AG206*0.25)</f>
        <v>675</v>
      </c>
      <c r="AH216" s="15">
        <f t="shared" si="54"/>
        <v>0.56066084238278602</v>
      </c>
      <c r="AI216" s="15">
        <f t="shared" si="57"/>
        <v>378.44606860838059</v>
      </c>
    </row>
    <row r="217" spans="29:35" x14ac:dyDescent="0.25">
      <c r="AC217" s="15">
        <v>37</v>
      </c>
      <c r="AD217" s="15">
        <f t="shared" si="51"/>
        <v>87.053600000000003</v>
      </c>
      <c r="AE217" s="15">
        <f t="shared" si="52"/>
        <v>27.710021507889241</v>
      </c>
      <c r="AF217" s="15">
        <f t="shared" si="53"/>
        <v>19.7136</v>
      </c>
      <c r="AG217" s="15">
        <f t="shared" si="59"/>
        <v>675</v>
      </c>
      <c r="AH217" s="15">
        <f t="shared" si="54"/>
        <v>0.58967297435281962</v>
      </c>
      <c r="AI217" s="15">
        <f t="shared" si="57"/>
        <v>398.02925768815322</v>
      </c>
    </row>
    <row r="218" spans="29:35" x14ac:dyDescent="0.25">
      <c r="AC218" s="15">
        <v>38</v>
      </c>
      <c r="AD218" s="15">
        <f t="shared" si="51"/>
        <v>88.692000000000007</v>
      </c>
      <c r="AE218" s="15">
        <f t="shared" si="52"/>
        <v>28.231540425412767</v>
      </c>
      <c r="AF218" s="15">
        <f t="shared" si="53"/>
        <v>19.923400000000001</v>
      </c>
      <c r="AG218" s="15">
        <f t="shared" si="59"/>
        <v>675</v>
      </c>
      <c r="AH218" s="15">
        <f t="shared" si="54"/>
        <v>0.61859180671750102</v>
      </c>
      <c r="AI218" s="15">
        <f t="shared" si="57"/>
        <v>417.54946953431318</v>
      </c>
    </row>
    <row r="219" spans="29:35" x14ac:dyDescent="0.25">
      <c r="AC219" s="15">
        <v>39</v>
      </c>
      <c r="AD219" s="15">
        <f t="shared" si="51"/>
        <v>90.2928</v>
      </c>
      <c r="AE219" s="15">
        <f t="shared" si="52"/>
        <v>28.741090891215777</v>
      </c>
      <c r="AF219" s="15">
        <f t="shared" si="53"/>
        <v>20.116199999999999</v>
      </c>
      <c r="AG219" s="15">
        <f t="shared" si="59"/>
        <v>675</v>
      </c>
      <c r="AH219" s="15">
        <f t="shared" si="54"/>
        <v>0.6473274130054264</v>
      </c>
      <c r="AI219" s="15">
        <f t="shared" si="57"/>
        <v>436.94600377866283</v>
      </c>
    </row>
    <row r="220" spans="29:35" x14ac:dyDescent="0.25">
      <c r="AC220" s="15">
        <v>40</v>
      </c>
      <c r="AD220" s="15">
        <f t="shared" si="51"/>
        <v>91.856000000000009</v>
      </c>
      <c r="AE220" s="15">
        <f t="shared" si="52"/>
        <v>29.23867290529828</v>
      </c>
      <c r="AF220" s="15">
        <f t="shared" si="53"/>
        <v>20.292000000000002</v>
      </c>
      <c r="AG220" s="15">
        <f t="shared" si="59"/>
        <v>675</v>
      </c>
      <c r="AH220" s="15">
        <f t="shared" si="54"/>
        <v>0.67578994420749072</v>
      </c>
      <c r="AI220" s="15">
        <f t="shared" si="57"/>
        <v>456.15821234005625</v>
      </c>
    </row>
    <row r="221" spans="29:35" x14ac:dyDescent="0.25">
      <c r="AC221" s="15">
        <v>41</v>
      </c>
      <c r="AD221" s="15">
        <f t="shared" si="51"/>
        <v>93.381599999999992</v>
      </c>
      <c r="AE221" s="15">
        <f t="shared" si="52"/>
        <v>29.724286467660267</v>
      </c>
      <c r="AF221" s="15">
        <f t="shared" si="53"/>
        <v>20.450800000000001</v>
      </c>
      <c r="AG221" s="15">
        <f t="shared" si="59"/>
        <v>675</v>
      </c>
      <c r="AH221" s="15">
        <f t="shared" si="54"/>
        <v>0.70388990337685986</v>
      </c>
      <c r="AI221" s="15">
        <f t="shared" si="57"/>
        <v>475.12568477938038</v>
      </c>
    </row>
    <row r="222" spans="29:35" x14ac:dyDescent="0.25">
      <c r="AC222" s="15">
        <v>42</v>
      </c>
      <c r="AD222" s="15">
        <f t="shared" si="51"/>
        <v>94.869600000000005</v>
      </c>
      <c r="AE222" s="15">
        <f t="shared" si="52"/>
        <v>30.197931578301752</v>
      </c>
      <c r="AF222" s="15">
        <f t="shared" si="53"/>
        <v>20.592600000000004</v>
      </c>
      <c r="AG222" s="15">
        <f t="shared" si="59"/>
        <v>675</v>
      </c>
      <c r="AH222" s="15">
        <f t="shared" si="54"/>
        <v>0.73153841169128608</v>
      </c>
      <c r="AI222" s="15">
        <f t="shared" si="57"/>
        <v>493.78842789161808</v>
      </c>
    </row>
    <row r="223" spans="29:35" x14ac:dyDescent="0.25">
      <c r="AC223" s="15">
        <v>43</v>
      </c>
      <c r="AD223" s="15">
        <f t="shared" si="51"/>
        <v>96.32</v>
      </c>
      <c r="AE223" s="15">
        <f t="shared" si="52"/>
        <v>30.659608237222717</v>
      </c>
      <c r="AF223" s="15">
        <f t="shared" si="53"/>
        <v>20.717399999999998</v>
      </c>
      <c r="AG223" s="15">
        <f t="shared" si="59"/>
        <v>675</v>
      </c>
      <c r="AH223" s="15">
        <f t="shared" si="54"/>
        <v>0.75864746597775357</v>
      </c>
      <c r="AI223" s="15">
        <f t="shared" si="57"/>
        <v>512.08703953498366</v>
      </c>
    </row>
    <row r="224" spans="29:35" x14ac:dyDescent="0.25">
      <c r="AC224" s="15">
        <v>44</v>
      </c>
      <c r="AD224" s="15">
        <f t="shared" si="51"/>
        <v>97.732800000000012</v>
      </c>
      <c r="AE224" s="15">
        <f t="shared" si="52"/>
        <v>31.109316444423182</v>
      </c>
      <c r="AF224" s="15">
        <f t="shared" si="53"/>
        <v>20.825200000000006</v>
      </c>
      <c r="AG224" s="15">
        <f t="shared" si="59"/>
        <v>675</v>
      </c>
      <c r="AH224" s="15">
        <f t="shared" si="54"/>
        <v>0.78513018769947629</v>
      </c>
      <c r="AI224" s="15">
        <f t="shared" si="57"/>
        <v>529.9628766971465</v>
      </c>
    </row>
    <row r="225" spans="29:35" x14ac:dyDescent="0.25">
      <c r="AC225" s="15">
        <v>45</v>
      </c>
      <c r="AD225" s="15">
        <f t="shared" si="51"/>
        <v>99.108000000000004</v>
      </c>
      <c r="AE225" s="15">
        <f t="shared" si="52"/>
        <v>31.547056199903128</v>
      </c>
      <c r="AF225" s="15">
        <f t="shared" si="53"/>
        <v>20.916</v>
      </c>
      <c r="AG225" s="16">
        <f>AG215-(AG215*0.25)</f>
        <v>506.25</v>
      </c>
      <c r="AH225" s="15">
        <f t="shared" si="54"/>
        <v>0.81090106340521617</v>
      </c>
      <c r="AI225" s="15">
        <f t="shared" si="57"/>
        <v>410.5186633488907</v>
      </c>
    </row>
    <row r="226" spans="29:35" x14ac:dyDescent="0.25">
      <c r="AC226" s="15">
        <v>46</v>
      </c>
      <c r="AD226" s="15">
        <f t="shared" si="51"/>
        <v>100.44560000000001</v>
      </c>
      <c r="AE226" s="15">
        <f t="shared" si="52"/>
        <v>31.972827503662568</v>
      </c>
      <c r="AF226" s="15">
        <f t="shared" si="53"/>
        <v>20.989799999999999</v>
      </c>
      <c r="AG226" s="16">
        <f t="shared" ref="AG226:AG229" si="60">AG216-(AG216*0.25)</f>
        <v>506.25</v>
      </c>
      <c r="AH226" s="15">
        <f t="shared" si="54"/>
        <v>0.8358761766409577</v>
      </c>
      <c r="AI226" s="15">
        <f>AH226*AG226</f>
        <v>423.16231442448486</v>
      </c>
    </row>
    <row r="227" spans="29:35" x14ac:dyDescent="0.25">
      <c r="AC227" s="15">
        <v>47</v>
      </c>
      <c r="AD227" s="15">
        <f t="shared" si="51"/>
        <v>101.7456</v>
      </c>
      <c r="AE227" s="15">
        <f t="shared" si="52"/>
        <v>32.386630355701492</v>
      </c>
      <c r="AF227" s="15">
        <f t="shared" si="53"/>
        <v>21.046600000000002</v>
      </c>
      <c r="AG227" s="16">
        <f t="shared" si="60"/>
        <v>506.25</v>
      </c>
      <c r="AH227" s="15">
        <f t="shared" si="54"/>
        <v>0.85997343132390769</v>
      </c>
      <c r="AI227" s="15">
        <f t="shared" ref="AI227:AI230" si="61">AH227*AG227</f>
        <v>435.36154960772825</v>
      </c>
    </row>
    <row r="228" spans="29:35" x14ac:dyDescent="0.25">
      <c r="AC228" s="15">
        <v>48</v>
      </c>
      <c r="AD228" s="15">
        <f t="shared" si="51"/>
        <v>103.00799999999998</v>
      </c>
      <c r="AE228" s="15">
        <f t="shared" si="52"/>
        <v>32.788464756019906</v>
      </c>
      <c r="AF228" s="15">
        <f t="shared" si="53"/>
        <v>21.086399999999998</v>
      </c>
      <c r="AG228" s="16">
        <f t="shared" si="60"/>
        <v>506.25</v>
      </c>
      <c r="AH228" s="15">
        <f t="shared" si="54"/>
        <v>0.8831127665788413</v>
      </c>
      <c r="AI228" s="15">
        <f t="shared" si="61"/>
        <v>447.0758380805384</v>
      </c>
    </row>
    <row r="229" spans="29:35" x14ac:dyDescent="0.25">
      <c r="AC229" s="15">
        <v>49</v>
      </c>
      <c r="AD229" s="15">
        <f t="shared" si="51"/>
        <v>104.2328</v>
      </c>
      <c r="AE229" s="15">
        <f t="shared" si="52"/>
        <v>33.178330704617814</v>
      </c>
      <c r="AF229" s="15">
        <f t="shared" si="53"/>
        <v>21.109200000000005</v>
      </c>
      <c r="AG229" s="16">
        <f t="shared" si="60"/>
        <v>506.25</v>
      </c>
      <c r="AH229" s="15">
        <f t="shared" si="54"/>
        <v>0.90521636303678388</v>
      </c>
      <c r="AI229" s="15">
        <f t="shared" si="61"/>
        <v>458.26578378737184</v>
      </c>
    </row>
    <row r="230" spans="29:35" x14ac:dyDescent="0.25">
      <c r="AC230" s="15">
        <v>50</v>
      </c>
      <c r="AD230" s="15">
        <f t="shared" si="51"/>
        <v>105.41999999999999</v>
      </c>
      <c r="AE230" s="15">
        <f t="shared" si="52"/>
        <v>33.556228201495209</v>
      </c>
      <c r="AF230" s="15">
        <f t="shared" si="53"/>
        <v>21.115000000000002</v>
      </c>
      <c r="AG230" s="16">
        <f>AG225-(AG225*0.25)</f>
        <v>379.6875</v>
      </c>
      <c r="AH230" s="15">
        <f t="shared" si="54"/>
        <v>0.92620884059602748</v>
      </c>
      <c r="AI230" s="15">
        <f t="shared" si="61"/>
        <v>351.6699191638042</v>
      </c>
    </row>
    <row r="232" spans="29:35" x14ac:dyDescent="0.25">
      <c r="AC232" s="15" t="s">
        <v>502</v>
      </c>
      <c r="AD232" s="15" t="s">
        <v>495</v>
      </c>
      <c r="AE232" s="15"/>
      <c r="AF232" s="15"/>
      <c r="AG232" s="15"/>
      <c r="AH232" s="15"/>
      <c r="AI232" s="15"/>
    </row>
    <row r="233" spans="29:35" x14ac:dyDescent="0.25">
      <c r="AC233" s="15" t="s">
        <v>7</v>
      </c>
      <c r="AD233" s="15" t="s">
        <v>496</v>
      </c>
      <c r="AE233" s="15" t="s">
        <v>497</v>
      </c>
      <c r="AF233" s="15" t="s">
        <v>498</v>
      </c>
      <c r="AG233" s="15" t="s">
        <v>499</v>
      </c>
      <c r="AH233" s="15" t="s">
        <v>500</v>
      </c>
      <c r="AI233" s="15" t="s">
        <v>501</v>
      </c>
    </row>
    <row r="234" spans="29:35" x14ac:dyDescent="0.25">
      <c r="AC234" s="15">
        <v>1</v>
      </c>
      <c r="AD234" s="15">
        <f>-0.0147*AC234^2+2.476*AC234</f>
        <v>2.4613</v>
      </c>
      <c r="AE234" s="15">
        <f>AD234/PI()</f>
        <v>0.783456122864164</v>
      </c>
      <c r="AF234" s="15">
        <f>-0.007*AC234^2+0.703*AC234</f>
        <v>0.69599999999999995</v>
      </c>
      <c r="AG234" s="15">
        <v>1600</v>
      </c>
      <c r="AH234" s="15">
        <f>0.496*(AF234*(AD234/100)^2)/(4*PI())</f>
        <v>1.6642177719646123E-5</v>
      </c>
      <c r="AI234" s="15">
        <f>AH234*AG234</f>
        <v>2.6627484351433795E-2</v>
      </c>
    </row>
    <row r="235" spans="29:35" x14ac:dyDescent="0.25">
      <c r="AC235" s="15">
        <v>2</v>
      </c>
      <c r="AD235" s="15">
        <f t="shared" ref="AD235:AD283" si="62">-0.0147*AC235^2+2.476*AC235</f>
        <v>4.8932000000000002</v>
      </c>
      <c r="AE235" s="15">
        <f t="shared" ref="AE235:AE283" si="63">AD235/PI()</f>
        <v>1.5575539350745247</v>
      </c>
      <c r="AF235" s="15">
        <f t="shared" ref="AF235:AF283" si="64">-0.007*AC235^2+0.703*AC235</f>
        <v>1.3779999999999999</v>
      </c>
      <c r="AG235" s="15">
        <v>1600</v>
      </c>
      <c r="AH235" s="15">
        <f t="shared" ref="AH235:AH283" si="65">0.496*(AF235*(AD235/100)^2)/(4*PI())</f>
        <v>1.3022877763501056E-4</v>
      </c>
      <c r="AI235" s="15">
        <f t="shared" ref="AI235:AI248" si="66">AH235*AG235</f>
        <v>0.2083660442160169</v>
      </c>
    </row>
    <row r="236" spans="29:35" x14ac:dyDescent="0.25">
      <c r="AC236" s="15">
        <v>3</v>
      </c>
      <c r="AD236" s="15">
        <f t="shared" si="62"/>
        <v>7.2957000000000001</v>
      </c>
      <c r="AE236" s="15">
        <f t="shared" si="63"/>
        <v>2.3222934366310817</v>
      </c>
      <c r="AF236" s="15">
        <f t="shared" si="64"/>
        <v>2.0459999999999998</v>
      </c>
      <c r="AG236" s="15">
        <v>1600</v>
      </c>
      <c r="AH236" s="15">
        <f t="shared" si="65"/>
        <v>4.2984450254670756E-4</v>
      </c>
      <c r="AI236" s="15">
        <f t="shared" si="66"/>
        <v>0.68775120407473211</v>
      </c>
    </row>
    <row r="237" spans="29:35" x14ac:dyDescent="0.25">
      <c r="AC237" s="15">
        <v>4</v>
      </c>
      <c r="AD237" s="15">
        <f t="shared" si="62"/>
        <v>9.6687999999999992</v>
      </c>
      <c r="AE237" s="15">
        <f t="shared" si="63"/>
        <v>3.0776746275338351</v>
      </c>
      <c r="AF237" s="15">
        <f t="shared" si="64"/>
        <v>2.6999999999999997</v>
      </c>
      <c r="AG237" s="15">
        <v>1600</v>
      </c>
      <c r="AH237" s="15">
        <f t="shared" si="65"/>
        <v>9.9627843628764725E-4</v>
      </c>
      <c r="AI237" s="15">
        <f t="shared" si="66"/>
        <v>1.5940454980602357</v>
      </c>
    </row>
    <row r="238" spans="29:35" x14ac:dyDescent="0.25">
      <c r="AC238" s="15">
        <v>5</v>
      </c>
      <c r="AD238" s="15">
        <f t="shared" si="62"/>
        <v>12.012499999999999</v>
      </c>
      <c r="AE238" s="15">
        <f t="shared" si="63"/>
        <v>3.8236975077827853</v>
      </c>
      <c r="AF238" s="15">
        <f t="shared" si="64"/>
        <v>3.34</v>
      </c>
      <c r="AG238" s="15">
        <v>1600</v>
      </c>
      <c r="AH238" s="15">
        <f t="shared" si="65"/>
        <v>1.9023265999877611E-3</v>
      </c>
      <c r="AI238" s="15">
        <f t="shared" si="66"/>
        <v>3.0437225599804179</v>
      </c>
    </row>
    <row r="239" spans="29:35" x14ac:dyDescent="0.25">
      <c r="AC239" s="15">
        <v>6</v>
      </c>
      <c r="AD239" s="15">
        <f t="shared" si="62"/>
        <v>14.3268</v>
      </c>
      <c r="AE239" s="15">
        <f t="shared" si="63"/>
        <v>4.5603620773779321</v>
      </c>
      <c r="AF239" s="15">
        <f t="shared" si="64"/>
        <v>3.9660000000000002</v>
      </c>
      <c r="AG239" s="15">
        <v>1600</v>
      </c>
      <c r="AH239" s="15">
        <f t="shared" si="65"/>
        <v>3.2130902096399062E-3</v>
      </c>
      <c r="AI239" s="15">
        <f t="shared" si="66"/>
        <v>5.1409443354238498</v>
      </c>
    </row>
    <row r="240" spans="29:35" x14ac:dyDescent="0.25">
      <c r="AC240" s="15">
        <v>7</v>
      </c>
      <c r="AD240" s="15">
        <f t="shared" si="62"/>
        <v>16.611699999999999</v>
      </c>
      <c r="AE240" s="15">
        <f t="shared" si="63"/>
        <v>5.2876683363192756</v>
      </c>
      <c r="AF240" s="15">
        <f t="shared" si="64"/>
        <v>4.5779999999999994</v>
      </c>
      <c r="AG240" s="15">
        <v>1600</v>
      </c>
      <c r="AH240" s="15">
        <f t="shared" si="65"/>
        <v>4.9862696349669408E-3</v>
      </c>
      <c r="AI240" s="15">
        <f t="shared" si="66"/>
        <v>7.9780314159471049</v>
      </c>
    </row>
    <row r="241" spans="29:35" x14ac:dyDescent="0.25">
      <c r="AC241" s="15">
        <v>8</v>
      </c>
      <c r="AD241" s="15">
        <f t="shared" si="62"/>
        <v>18.8672</v>
      </c>
      <c r="AE241" s="15">
        <f t="shared" si="63"/>
        <v>6.0056162846068153</v>
      </c>
      <c r="AF241" s="15">
        <f t="shared" si="64"/>
        <v>5.1759999999999993</v>
      </c>
      <c r="AG241" s="15">
        <v>1600</v>
      </c>
      <c r="AH241" s="15">
        <f t="shared" si="65"/>
        <v>7.2724540595900007E-3</v>
      </c>
      <c r="AI241" s="15">
        <f t="shared" si="66"/>
        <v>11.635926495344002</v>
      </c>
    </row>
    <row r="242" spans="29:35" x14ac:dyDescent="0.25">
      <c r="AC242" s="15">
        <v>9</v>
      </c>
      <c r="AD242" s="15">
        <f t="shared" si="62"/>
        <v>21.093299999999999</v>
      </c>
      <c r="AE242" s="15">
        <f t="shared" si="63"/>
        <v>6.7142059222405521</v>
      </c>
      <c r="AF242" s="15">
        <f t="shared" si="64"/>
        <v>5.76</v>
      </c>
      <c r="AG242" s="15">
        <v>1600</v>
      </c>
      <c r="AH242" s="15">
        <f t="shared" si="65"/>
        <v>1.011540684249791E-2</v>
      </c>
      <c r="AI242" s="15">
        <f t="shared" si="66"/>
        <v>16.184650947996655</v>
      </c>
    </row>
    <row r="243" spans="29:35" x14ac:dyDescent="0.25">
      <c r="AC243" s="15">
        <v>10</v>
      </c>
      <c r="AD243" s="15">
        <f t="shared" si="62"/>
        <v>23.29</v>
      </c>
      <c r="AE243" s="15">
        <f t="shared" si="63"/>
        <v>7.4134372492204852</v>
      </c>
      <c r="AF243" s="15">
        <f t="shared" si="64"/>
        <v>6.3299999999999992</v>
      </c>
      <c r="AG243" s="15">
        <v>1600</v>
      </c>
      <c r="AH243" s="15">
        <f t="shared" si="65"/>
        <v>1.355234658081781E-2</v>
      </c>
      <c r="AI243" s="15">
        <f t="shared" si="66"/>
        <v>21.683754529308498</v>
      </c>
    </row>
    <row r="244" spans="29:35" x14ac:dyDescent="0.25">
      <c r="AC244" s="15">
        <v>11</v>
      </c>
      <c r="AD244" s="15">
        <f t="shared" si="62"/>
        <v>25.4573</v>
      </c>
      <c r="AE244" s="15">
        <f t="shared" si="63"/>
        <v>8.1033102655466145</v>
      </c>
      <c r="AF244" s="15">
        <f t="shared" si="64"/>
        <v>6.8859999999999992</v>
      </c>
      <c r="AG244" s="15">
        <v>1600</v>
      </c>
      <c r="AH244" s="15">
        <f t="shared" si="65"/>
        <v>1.7614223873886971E-2</v>
      </c>
      <c r="AI244" s="15">
        <f t="shared" si="66"/>
        <v>28.182758198219155</v>
      </c>
    </row>
    <row r="245" spans="29:35" x14ac:dyDescent="0.25">
      <c r="AC245" s="15">
        <v>12</v>
      </c>
      <c r="AD245" s="15">
        <f t="shared" si="62"/>
        <v>27.595199999999998</v>
      </c>
      <c r="AE245" s="15">
        <f t="shared" si="63"/>
        <v>8.7838249712189409</v>
      </c>
      <c r="AF245" s="15">
        <f t="shared" si="64"/>
        <v>7.4279999999999999</v>
      </c>
      <c r="AG245" s="15">
        <v>1600</v>
      </c>
      <c r="AH245" s="15">
        <f t="shared" si="65"/>
        <v>2.2325993788625709E-2</v>
      </c>
      <c r="AI245" s="15">
        <f t="shared" si="66"/>
        <v>35.721590061801137</v>
      </c>
    </row>
    <row r="246" spans="29:35" x14ac:dyDescent="0.25">
      <c r="AC246" s="15">
        <v>13</v>
      </c>
      <c r="AD246" s="15">
        <f t="shared" si="62"/>
        <v>29.703700000000001</v>
      </c>
      <c r="AE246" s="15">
        <f t="shared" si="63"/>
        <v>9.4549813662374635</v>
      </c>
      <c r="AF246" s="15">
        <f t="shared" si="64"/>
        <v>7.9559999999999995</v>
      </c>
      <c r="AG246" s="15">
        <v>1600</v>
      </c>
      <c r="AH246" s="15">
        <f t="shared" si="65"/>
        <v>2.7706884026211596E-2</v>
      </c>
      <c r="AI246" s="15">
        <f t="shared" si="66"/>
        <v>44.331014441938557</v>
      </c>
    </row>
    <row r="247" spans="29:35" x14ac:dyDescent="0.25">
      <c r="AC247" s="15">
        <v>14</v>
      </c>
      <c r="AD247" s="15">
        <f t="shared" si="62"/>
        <v>31.782800000000002</v>
      </c>
      <c r="AE247" s="15">
        <f t="shared" si="63"/>
        <v>10.116779450602182</v>
      </c>
      <c r="AF247" s="15">
        <f t="shared" si="64"/>
        <v>8.4699999999999989</v>
      </c>
      <c r="AG247" s="15">
        <v>1600</v>
      </c>
      <c r="AH247" s="15">
        <f t="shared" si="65"/>
        <v>3.3770658790054732E-2</v>
      </c>
      <c r="AI247" s="15">
        <f t="shared" si="66"/>
        <v>54.033054064087572</v>
      </c>
    </row>
    <row r="248" spans="29:35" x14ac:dyDescent="0.25">
      <c r="AC248" s="15">
        <v>15</v>
      </c>
      <c r="AD248" s="15">
        <f t="shared" si="62"/>
        <v>33.832500000000003</v>
      </c>
      <c r="AE248" s="15">
        <f t="shared" si="63"/>
        <v>10.769219224313099</v>
      </c>
      <c r="AF248" s="15">
        <f t="shared" si="64"/>
        <v>8.9700000000000006</v>
      </c>
      <c r="AG248" s="15">
        <f>AG234-(AG234*0.25)</f>
        <v>1200</v>
      </c>
      <c r="AH248" s="15">
        <f t="shared" si="65"/>
        <v>4.0525878355074305E-2</v>
      </c>
      <c r="AI248" s="15">
        <f t="shared" si="66"/>
        <v>48.631054026089167</v>
      </c>
    </row>
    <row r="249" spans="29:35" x14ac:dyDescent="0.25">
      <c r="AC249" s="15">
        <v>16</v>
      </c>
      <c r="AD249" s="15">
        <f t="shared" si="62"/>
        <v>35.852800000000002</v>
      </c>
      <c r="AE249" s="15">
        <f t="shared" si="63"/>
        <v>11.412300687370211</v>
      </c>
      <c r="AF249" s="15">
        <f t="shared" si="64"/>
        <v>9.4559999999999995</v>
      </c>
      <c r="AG249" s="15">
        <f t="shared" ref="AG249:AG257" si="67">AG235-(AG235*0.25)</f>
        <v>1200</v>
      </c>
      <c r="AH249" s="15">
        <f t="shared" si="65"/>
        <v>4.7976154338276171E-2</v>
      </c>
      <c r="AI249" s="15">
        <f>AH249*AG249</f>
        <v>57.571385205931406</v>
      </c>
    </row>
    <row r="250" spans="29:35" x14ac:dyDescent="0.25">
      <c r="AC250" s="15">
        <v>17</v>
      </c>
      <c r="AD250" s="15">
        <f t="shared" si="62"/>
        <v>37.843699999999998</v>
      </c>
      <c r="AE250" s="15">
        <f t="shared" si="63"/>
        <v>12.046023839773518</v>
      </c>
      <c r="AF250" s="15">
        <f t="shared" si="64"/>
        <v>9.927999999999999</v>
      </c>
      <c r="AG250" s="15">
        <f t="shared" si="67"/>
        <v>1200</v>
      </c>
      <c r="AH250" s="15">
        <f t="shared" si="65"/>
        <v>5.612040067063185E-2</v>
      </c>
      <c r="AI250" s="15">
        <f t="shared" ref="AI250:AI278" si="68">AH250*AG250</f>
        <v>67.34448080475822</v>
      </c>
    </row>
    <row r="251" spans="29:35" x14ac:dyDescent="0.25">
      <c r="AC251" s="15">
        <v>18</v>
      </c>
      <c r="AD251" s="15">
        <f t="shared" si="62"/>
        <v>39.805199999999999</v>
      </c>
      <c r="AE251" s="15">
        <f t="shared" si="63"/>
        <v>12.670388681523026</v>
      </c>
      <c r="AF251" s="15">
        <f t="shared" si="64"/>
        <v>10.385999999999999</v>
      </c>
      <c r="AG251" s="15">
        <f t="shared" si="67"/>
        <v>1200</v>
      </c>
      <c r="AH251" s="15">
        <f t="shared" si="65"/>
        <v>6.4953080270258506E-2</v>
      </c>
      <c r="AI251" s="15">
        <f t="shared" si="68"/>
        <v>77.94369632431021</v>
      </c>
    </row>
    <row r="252" spans="29:35" x14ac:dyDescent="0.25">
      <c r="AC252" s="15">
        <v>19</v>
      </c>
      <c r="AD252" s="15">
        <f t="shared" si="62"/>
        <v>41.737299999999998</v>
      </c>
      <c r="AE252" s="15">
        <f t="shared" si="63"/>
        <v>13.285395212618726</v>
      </c>
      <c r="AF252" s="15">
        <f t="shared" si="64"/>
        <v>10.829999999999998</v>
      </c>
      <c r="AG252" s="15">
        <f t="shared" si="67"/>
        <v>1200</v>
      </c>
      <c r="AH252" s="15">
        <f t="shared" si="65"/>
        <v>7.4464447416900045E-2</v>
      </c>
      <c r="AI252" s="15">
        <f t="shared" si="68"/>
        <v>89.35733690028006</v>
      </c>
    </row>
    <row r="253" spans="29:35" x14ac:dyDescent="0.25">
      <c r="AC253" s="15">
        <v>20</v>
      </c>
      <c r="AD253" s="15">
        <f t="shared" si="62"/>
        <v>43.639999999999993</v>
      </c>
      <c r="AE253" s="15">
        <f t="shared" si="63"/>
        <v>13.891043433060624</v>
      </c>
      <c r="AF253" s="15">
        <f t="shared" si="64"/>
        <v>11.259999999999998</v>
      </c>
      <c r="AG253" s="15">
        <f t="shared" si="67"/>
        <v>1200</v>
      </c>
      <c r="AH253" s="15">
        <f t="shared" si="65"/>
        <v>8.4640785827709716E-2</v>
      </c>
      <c r="AI253" s="15">
        <f t="shared" si="68"/>
        <v>101.56894299325165</v>
      </c>
    </row>
    <row r="254" spans="29:35" x14ac:dyDescent="0.25">
      <c r="AC254" s="15">
        <v>21</v>
      </c>
      <c r="AD254" s="15">
        <f t="shared" si="62"/>
        <v>45.513300000000001</v>
      </c>
      <c r="AE254" s="15">
        <f t="shared" si="63"/>
        <v>14.487333342848721</v>
      </c>
      <c r="AF254" s="15">
        <f t="shared" si="64"/>
        <v>11.676</v>
      </c>
      <c r="AG254" s="15">
        <f t="shared" si="67"/>
        <v>1200</v>
      </c>
      <c r="AH254" s="15">
        <f t="shared" si="65"/>
        <v>9.5464642434333558E-2</v>
      </c>
      <c r="AI254" s="15">
        <f t="shared" si="68"/>
        <v>114.55757092120027</v>
      </c>
    </row>
    <row r="255" spans="29:35" x14ac:dyDescent="0.25">
      <c r="AC255" s="15">
        <v>22</v>
      </c>
      <c r="AD255" s="15">
        <f t="shared" si="62"/>
        <v>47.357199999999999</v>
      </c>
      <c r="AE255" s="15">
        <f t="shared" si="63"/>
        <v>15.074264941983012</v>
      </c>
      <c r="AF255" s="15">
        <f t="shared" si="64"/>
        <v>12.077999999999999</v>
      </c>
      <c r="AG255" s="15">
        <f t="shared" si="67"/>
        <v>1200</v>
      </c>
      <c r="AH255" s="15">
        <f t="shared" si="65"/>
        <v>0.10691505686129509</v>
      </c>
      <c r="AI255" s="15">
        <f t="shared" si="68"/>
        <v>128.29806823355409</v>
      </c>
    </row>
    <row r="256" spans="29:35" x14ac:dyDescent="0.25">
      <c r="AC256" s="15">
        <v>23</v>
      </c>
      <c r="AD256" s="15">
        <f t="shared" si="62"/>
        <v>49.171700000000001</v>
      </c>
      <c r="AE256" s="15">
        <f t="shared" si="63"/>
        <v>15.6518382304635</v>
      </c>
      <c r="AF256" s="15">
        <f t="shared" si="64"/>
        <v>12.466000000000001</v>
      </c>
      <c r="AG256" s="15">
        <f t="shared" si="67"/>
        <v>1200</v>
      </c>
      <c r="AH256" s="15">
        <f t="shared" si="65"/>
        <v>0.1189677866056814</v>
      </c>
      <c r="AI256" s="15">
        <f t="shared" si="68"/>
        <v>142.76134392681769</v>
      </c>
    </row>
    <row r="257" spans="29:35" x14ac:dyDescent="0.25">
      <c r="AC257" s="15">
        <v>24</v>
      </c>
      <c r="AD257" s="15">
        <f t="shared" si="62"/>
        <v>50.956800000000001</v>
      </c>
      <c r="AE257" s="15">
        <f t="shared" si="63"/>
        <v>16.220053208290185</v>
      </c>
      <c r="AF257" s="15">
        <f t="shared" si="64"/>
        <v>12.84</v>
      </c>
      <c r="AG257" s="15">
        <f t="shared" si="67"/>
        <v>1200</v>
      </c>
      <c r="AH257" s="15">
        <f t="shared" si="65"/>
        <v>0.13159552791813003</v>
      </c>
      <c r="AI257" s="15">
        <f t="shared" si="68"/>
        <v>157.91463350175604</v>
      </c>
    </row>
    <row r="258" spans="29:35" x14ac:dyDescent="0.25">
      <c r="AC258" s="15">
        <v>25</v>
      </c>
      <c r="AD258" s="15">
        <f t="shared" si="62"/>
        <v>52.712499999999999</v>
      </c>
      <c r="AE258" s="15">
        <f t="shared" si="63"/>
        <v>16.778909875463064</v>
      </c>
      <c r="AF258" s="15">
        <f t="shared" si="64"/>
        <v>13.2</v>
      </c>
      <c r="AG258" s="15">
        <f>AG248-(AG248*0.25)</f>
        <v>900</v>
      </c>
      <c r="AH258" s="15">
        <f t="shared" si="65"/>
        <v>0.14476813238511754</v>
      </c>
      <c r="AI258" s="15">
        <f t="shared" si="68"/>
        <v>130.29131914660579</v>
      </c>
    </row>
    <row r="259" spans="29:35" x14ac:dyDescent="0.25">
      <c r="AC259" s="15">
        <v>26</v>
      </c>
      <c r="AD259" s="15">
        <f t="shared" si="62"/>
        <v>54.438800000000008</v>
      </c>
      <c r="AE259" s="15">
        <f t="shared" si="63"/>
        <v>17.328408231982145</v>
      </c>
      <c r="AF259" s="15">
        <f t="shared" si="64"/>
        <v>13.545999999999999</v>
      </c>
      <c r="AG259" s="15">
        <f t="shared" ref="AG259:AG267" si="69">AG249-(AG249*0.25)</f>
        <v>900</v>
      </c>
      <c r="AH259" s="15">
        <f t="shared" si="65"/>
        <v>0.15845281921254886</v>
      </c>
      <c r="AI259" s="15">
        <f t="shared" si="68"/>
        <v>142.60753729129397</v>
      </c>
    </row>
    <row r="260" spans="29:35" x14ac:dyDescent="0.25">
      <c r="AC260" s="15">
        <v>27</v>
      </c>
      <c r="AD260" s="15">
        <f t="shared" si="62"/>
        <v>56.1357</v>
      </c>
      <c r="AE260" s="15">
        <f t="shared" si="63"/>
        <v>17.86854827784742</v>
      </c>
      <c r="AF260" s="15">
        <f t="shared" si="64"/>
        <v>13.877999999999998</v>
      </c>
      <c r="AG260" s="15">
        <f t="shared" si="69"/>
        <v>900</v>
      </c>
      <c r="AH260" s="15">
        <f t="shared" si="65"/>
        <v>0.17261438321064748</v>
      </c>
      <c r="AI260" s="15">
        <f t="shared" si="68"/>
        <v>155.35294488958274</v>
      </c>
    </row>
    <row r="261" spans="29:35" x14ac:dyDescent="0.25">
      <c r="AC261" s="15">
        <v>28</v>
      </c>
      <c r="AD261" s="15">
        <f t="shared" si="62"/>
        <v>57.803200000000004</v>
      </c>
      <c r="AE261" s="15">
        <f t="shared" si="63"/>
        <v>18.39933001305889</v>
      </c>
      <c r="AF261" s="15">
        <f t="shared" si="64"/>
        <v>14.195999999999998</v>
      </c>
      <c r="AG261" s="15">
        <f t="shared" si="69"/>
        <v>900</v>
      </c>
      <c r="AH261" s="15">
        <f t="shared" si="65"/>
        <v>0.18721539848014818</v>
      </c>
      <c r="AI261" s="15">
        <f t="shared" si="68"/>
        <v>168.49385863213337</v>
      </c>
    </row>
    <row r="262" spans="29:35" x14ac:dyDescent="0.25">
      <c r="AC262" s="15">
        <v>29</v>
      </c>
      <c r="AD262" s="15">
        <f t="shared" si="62"/>
        <v>59.441299999999998</v>
      </c>
      <c r="AE262" s="15">
        <f t="shared" si="63"/>
        <v>18.920753437616558</v>
      </c>
      <c r="AF262" s="15">
        <f t="shared" si="64"/>
        <v>14.5</v>
      </c>
      <c r="AG262" s="15">
        <f t="shared" si="69"/>
        <v>900</v>
      </c>
      <c r="AH262" s="15">
        <f t="shared" si="65"/>
        <v>0.20221641779978916</v>
      </c>
      <c r="AI262" s="15">
        <f t="shared" si="68"/>
        <v>181.99477601981025</v>
      </c>
    </row>
    <row r="263" spans="29:35" x14ac:dyDescent="0.25">
      <c r="AC263" s="15">
        <v>30</v>
      </c>
      <c r="AD263" s="15">
        <f t="shared" si="62"/>
        <v>61.05</v>
      </c>
      <c r="AE263" s="15">
        <f t="shared" si="63"/>
        <v>19.43281855152042</v>
      </c>
      <c r="AF263" s="15">
        <f t="shared" si="64"/>
        <v>14.79</v>
      </c>
      <c r="AG263" s="15">
        <f t="shared" si="69"/>
        <v>900</v>
      </c>
      <c r="AH263" s="15">
        <f t="shared" si="65"/>
        <v>0.21757616771510666</v>
      </c>
      <c r="AI263" s="74">
        <f t="shared" si="68"/>
        <v>195.81855094359599</v>
      </c>
    </row>
    <row r="264" spans="29:35" x14ac:dyDescent="0.25">
      <c r="AC264" s="15">
        <v>31</v>
      </c>
      <c r="AD264" s="15">
        <f t="shared" si="62"/>
        <v>62.629300000000001</v>
      </c>
      <c r="AE264" s="15">
        <f t="shared" si="63"/>
        <v>19.935525354770483</v>
      </c>
      <c r="AF264" s="15">
        <f t="shared" si="64"/>
        <v>15.065999999999999</v>
      </c>
      <c r="AG264" s="15">
        <f t="shared" si="69"/>
        <v>900</v>
      </c>
      <c r="AH264" s="15">
        <f t="shared" si="65"/>
        <v>0.23325173932853027</v>
      </c>
      <c r="AI264" s="15">
        <f t="shared" si="68"/>
        <v>209.92656539567724</v>
      </c>
    </row>
    <row r="265" spans="29:35" x14ac:dyDescent="0.25">
      <c r="AC265" s="15">
        <v>32</v>
      </c>
      <c r="AD265" s="15">
        <f t="shared" si="62"/>
        <v>64.179199999999994</v>
      </c>
      <c r="AE265" s="15">
        <f t="shared" si="63"/>
        <v>20.428873847366738</v>
      </c>
      <c r="AF265" s="15">
        <f t="shared" si="64"/>
        <v>15.327999999999999</v>
      </c>
      <c r="AG265" s="15">
        <f t="shared" si="69"/>
        <v>900</v>
      </c>
      <c r="AH265" s="15">
        <f t="shared" si="65"/>
        <v>0.24919877479077915</v>
      </c>
      <c r="AI265" s="15">
        <f t="shared" si="68"/>
        <v>224.27889731170123</v>
      </c>
    </row>
    <row r="266" spans="29:35" x14ac:dyDescent="0.25">
      <c r="AC266" s="15">
        <v>33</v>
      </c>
      <c r="AD266" s="15">
        <f t="shared" si="62"/>
        <v>65.699700000000007</v>
      </c>
      <c r="AE266" s="15">
        <f t="shared" si="63"/>
        <v>20.912864029309194</v>
      </c>
      <c r="AF266" s="15">
        <f t="shared" si="64"/>
        <v>15.575999999999997</v>
      </c>
      <c r="AG266" s="15">
        <f t="shared" si="69"/>
        <v>900</v>
      </c>
      <c r="AH266" s="15">
        <f t="shared" si="65"/>
        <v>0.26537164949356035</v>
      </c>
      <c r="AI266" s="15">
        <f t="shared" si="68"/>
        <v>238.83448454420432</v>
      </c>
    </row>
    <row r="267" spans="29:35" x14ac:dyDescent="0.25">
      <c r="AC267" s="15">
        <v>34</v>
      </c>
      <c r="AD267" s="15">
        <f t="shared" si="62"/>
        <v>67.190799999999996</v>
      </c>
      <c r="AE267" s="15">
        <f t="shared" si="63"/>
        <v>21.387495900597841</v>
      </c>
      <c r="AF267" s="15">
        <f t="shared" si="64"/>
        <v>15.809999999999997</v>
      </c>
      <c r="AG267" s="15">
        <f t="shared" si="69"/>
        <v>900</v>
      </c>
      <c r="AH267" s="15">
        <f t="shared" si="65"/>
        <v>0.2817236499635668</v>
      </c>
      <c r="AI267" s="15">
        <f t="shared" si="68"/>
        <v>253.55128496721011</v>
      </c>
    </row>
    <row r="268" spans="29:35" x14ac:dyDescent="0.25">
      <c r="AC268" s="15">
        <v>35</v>
      </c>
      <c r="AD268" s="15">
        <f t="shared" si="62"/>
        <v>68.652500000000003</v>
      </c>
      <c r="AE268" s="15">
        <f t="shared" si="63"/>
        <v>21.85276946123269</v>
      </c>
      <c r="AF268" s="15">
        <f t="shared" si="64"/>
        <v>16.029999999999994</v>
      </c>
      <c r="AG268" s="15">
        <f>AG258-(AG258*0.25)</f>
        <v>675</v>
      </c>
      <c r="AH268" s="15">
        <f t="shared" si="65"/>
        <v>0.29820714745777838</v>
      </c>
      <c r="AI268" s="15">
        <f t="shared" si="68"/>
        <v>201.28982453400042</v>
      </c>
    </row>
    <row r="269" spans="29:35" x14ac:dyDescent="0.25">
      <c r="AC269" s="15">
        <v>36</v>
      </c>
      <c r="AD269" s="15">
        <f t="shared" si="62"/>
        <v>70.084800000000001</v>
      </c>
      <c r="AE269" s="15">
        <f t="shared" si="63"/>
        <v>22.308684711213733</v>
      </c>
      <c r="AF269" s="15">
        <f t="shared" si="64"/>
        <v>16.235999999999997</v>
      </c>
      <c r="AG269" s="15">
        <f t="shared" ref="AG269:AG277" si="70">AG259-(AG259*0.25)</f>
        <v>675</v>
      </c>
      <c r="AH269" s="15">
        <f t="shared" si="65"/>
        <v>0.3147737672600624</v>
      </c>
      <c r="AI269" s="15">
        <f t="shared" si="68"/>
        <v>212.47229290054213</v>
      </c>
    </row>
    <row r="270" spans="29:35" x14ac:dyDescent="0.25">
      <c r="AC270" s="15">
        <v>37</v>
      </c>
      <c r="AD270" s="15">
        <f t="shared" si="62"/>
        <v>71.48769999999999</v>
      </c>
      <c r="AE270" s="15">
        <f t="shared" si="63"/>
        <v>22.75524165054097</v>
      </c>
      <c r="AF270" s="15">
        <f t="shared" si="64"/>
        <v>16.427999999999997</v>
      </c>
      <c r="AG270" s="15">
        <f t="shared" si="70"/>
        <v>675</v>
      </c>
      <c r="AH270" s="15">
        <f t="shared" si="65"/>
        <v>0.33137455367907603</v>
      </c>
      <c r="AI270" s="15">
        <f t="shared" si="68"/>
        <v>223.67782373337633</v>
      </c>
    </row>
    <row r="271" spans="29:35" x14ac:dyDescent="0.25">
      <c r="AC271" s="15">
        <v>38</v>
      </c>
      <c r="AD271" s="15">
        <f t="shared" si="62"/>
        <v>72.861199999999997</v>
      </c>
      <c r="AE271" s="15">
        <f t="shared" si="63"/>
        <v>23.192440279214409</v>
      </c>
      <c r="AF271" s="15">
        <f t="shared" si="64"/>
        <v>16.605999999999998</v>
      </c>
      <c r="AG271" s="15">
        <f t="shared" si="70"/>
        <v>675</v>
      </c>
      <c r="AH271" s="15">
        <f t="shared" si="65"/>
        <v>0.34796013074747073</v>
      </c>
      <c r="AI271" s="15">
        <f t="shared" si="68"/>
        <v>234.87308825454275</v>
      </c>
    </row>
    <row r="272" spans="29:35" x14ac:dyDescent="0.25">
      <c r="AC272" s="15">
        <v>39</v>
      </c>
      <c r="AD272" s="15">
        <f t="shared" si="62"/>
        <v>74.205299999999994</v>
      </c>
      <c r="AE272" s="15">
        <f t="shared" si="63"/>
        <v>23.620280597234039</v>
      </c>
      <c r="AF272" s="15">
        <f t="shared" si="64"/>
        <v>16.769999999999996</v>
      </c>
      <c r="AG272" s="15">
        <f t="shared" si="70"/>
        <v>675</v>
      </c>
      <c r="AH272" s="15">
        <f t="shared" si="65"/>
        <v>0.36448085862239593</v>
      </c>
      <c r="AI272" s="15">
        <f t="shared" si="68"/>
        <v>246.02457957011725</v>
      </c>
    </row>
    <row r="273" spans="29:35" x14ac:dyDescent="0.25">
      <c r="AC273" s="15">
        <v>40</v>
      </c>
      <c r="AD273" s="15">
        <f t="shared" si="62"/>
        <v>75.52</v>
      </c>
      <c r="AE273" s="15">
        <f t="shared" si="63"/>
        <v>24.038762604599871</v>
      </c>
      <c r="AF273" s="15">
        <f t="shared" si="64"/>
        <v>16.919999999999995</v>
      </c>
      <c r="AG273" s="15">
        <f t="shared" si="70"/>
        <v>675</v>
      </c>
      <c r="AH273" s="15">
        <f t="shared" si="65"/>
        <v>0.3808869856873055</v>
      </c>
      <c r="AI273" s="15">
        <f t="shared" si="68"/>
        <v>257.09871533893119</v>
      </c>
    </row>
    <row r="274" spans="29:35" x14ac:dyDescent="0.25">
      <c r="AC274" s="15">
        <v>41</v>
      </c>
      <c r="AD274" s="15">
        <f t="shared" si="62"/>
        <v>76.805300000000003</v>
      </c>
      <c r="AE274" s="15">
        <f t="shared" si="63"/>
        <v>24.4478863013119</v>
      </c>
      <c r="AF274" s="15">
        <f t="shared" si="64"/>
        <v>17.055999999999997</v>
      </c>
      <c r="AG274" s="15">
        <f t="shared" si="70"/>
        <v>675</v>
      </c>
      <c r="AH274" s="15">
        <f t="shared" si="65"/>
        <v>0.39712879635506504</v>
      </c>
      <c r="AI274" s="15">
        <f t="shared" si="68"/>
        <v>268.06193753966892</v>
      </c>
    </row>
    <row r="275" spans="29:35" x14ac:dyDescent="0.25">
      <c r="AC275" s="15">
        <v>42</v>
      </c>
      <c r="AD275" s="15">
        <f t="shared" si="62"/>
        <v>78.061200000000014</v>
      </c>
      <c r="AE275" s="15">
        <f t="shared" si="63"/>
        <v>24.847651687370124</v>
      </c>
      <c r="AF275" s="15">
        <f t="shared" si="64"/>
        <v>17.177999999999997</v>
      </c>
      <c r="AG275" s="15">
        <f t="shared" si="70"/>
        <v>675</v>
      </c>
      <c r="AH275" s="15">
        <f t="shared" si="65"/>
        <v>0.41315675457236001</v>
      </c>
      <c r="AI275" s="15">
        <f t="shared" si="68"/>
        <v>278.88080933634302</v>
      </c>
    </row>
    <row r="276" spans="29:35" x14ac:dyDescent="0.25">
      <c r="AC276" s="15">
        <v>43</v>
      </c>
      <c r="AD276" s="15">
        <f t="shared" si="62"/>
        <v>79.287700000000001</v>
      </c>
      <c r="AE276" s="15">
        <f t="shared" si="63"/>
        <v>25.238058762774539</v>
      </c>
      <c r="AF276" s="15">
        <f t="shared" si="64"/>
        <v>17.286000000000001</v>
      </c>
      <c r="AG276" s="15">
        <f t="shared" si="70"/>
        <v>675</v>
      </c>
      <c r="AH276" s="15">
        <f t="shared" si="65"/>
        <v>0.42892164302540464</v>
      </c>
      <c r="AI276" s="15">
        <f t="shared" si="68"/>
        <v>289.52210904214814</v>
      </c>
    </row>
    <row r="277" spans="29:35" x14ac:dyDescent="0.25">
      <c r="AC277" s="15">
        <v>44</v>
      </c>
      <c r="AD277" s="15">
        <f t="shared" si="62"/>
        <v>80.484800000000007</v>
      </c>
      <c r="AE277" s="15">
        <f t="shared" si="63"/>
        <v>25.619107527525159</v>
      </c>
      <c r="AF277" s="15">
        <f t="shared" si="64"/>
        <v>17.38</v>
      </c>
      <c r="AG277" s="15">
        <f t="shared" si="70"/>
        <v>675</v>
      </c>
      <c r="AH277" s="15">
        <f t="shared" si="65"/>
        <v>0.44437469804695384</v>
      </c>
      <c r="AI277" s="15">
        <f t="shared" si="68"/>
        <v>299.95292118169385</v>
      </c>
    </row>
    <row r="278" spans="29:35" x14ac:dyDescent="0.25">
      <c r="AC278" s="15">
        <v>45</v>
      </c>
      <c r="AD278" s="15">
        <f t="shared" si="62"/>
        <v>81.652500000000003</v>
      </c>
      <c r="AE278" s="15">
        <f t="shared" si="63"/>
        <v>25.99079798162197</v>
      </c>
      <c r="AF278" s="15">
        <f t="shared" si="64"/>
        <v>17.459999999999997</v>
      </c>
      <c r="AG278" s="16">
        <f>AG268-(AG268*0.25)</f>
        <v>506.25</v>
      </c>
      <c r="AH278" s="15">
        <f t="shared" si="65"/>
        <v>0.45946774022461373</v>
      </c>
      <c r="AI278" s="15">
        <f t="shared" si="68"/>
        <v>232.60554348871071</v>
      </c>
    </row>
    <row r="279" spans="29:35" x14ac:dyDescent="0.25">
      <c r="AC279" s="15">
        <v>46</v>
      </c>
      <c r="AD279" s="15">
        <f t="shared" si="62"/>
        <v>82.790800000000004</v>
      </c>
      <c r="AE279" s="15">
        <f t="shared" si="63"/>
        <v>26.353130125064979</v>
      </c>
      <c r="AF279" s="15">
        <f t="shared" si="64"/>
        <v>17.526</v>
      </c>
      <c r="AG279" s="16">
        <f t="shared" ref="AG279:AG282" si="71">AG269-(AG269*0.25)</f>
        <v>506.25</v>
      </c>
      <c r="AH279" s="15">
        <f t="shared" si="65"/>
        <v>0.47415330071045592</v>
      </c>
      <c r="AI279" s="15">
        <f>AH279*AG279</f>
        <v>240.04010848466831</v>
      </c>
    </row>
    <row r="280" spans="29:35" x14ac:dyDescent="0.25">
      <c r="AC280" s="15">
        <v>47</v>
      </c>
      <c r="AD280" s="15">
        <f t="shared" si="62"/>
        <v>83.899699999999996</v>
      </c>
      <c r="AE280" s="15">
        <f t="shared" si="63"/>
        <v>26.706103957854182</v>
      </c>
      <c r="AF280" s="15">
        <f t="shared" si="64"/>
        <v>17.577999999999996</v>
      </c>
      <c r="AG280" s="16">
        <f t="shared" si="71"/>
        <v>506.25</v>
      </c>
      <c r="AH280" s="15">
        <f t="shared" si="65"/>
        <v>0.48838474323192993</v>
      </c>
      <c r="AI280" s="15">
        <f t="shared" ref="AI280:AI283" si="72">AH280*AG280</f>
        <v>247.24477626116453</v>
      </c>
    </row>
    <row r="281" spans="29:35" x14ac:dyDescent="0.25">
      <c r="AC281" s="15">
        <v>48</v>
      </c>
      <c r="AD281" s="15">
        <f t="shared" si="62"/>
        <v>84.979199999999992</v>
      </c>
      <c r="AE281" s="15">
        <f t="shared" si="63"/>
        <v>27.049719479989584</v>
      </c>
      <c r="AF281" s="15">
        <f t="shared" si="64"/>
        <v>17.616</v>
      </c>
      <c r="AG281" s="16">
        <f t="shared" si="71"/>
        <v>506.25</v>
      </c>
      <c r="AH281" s="15">
        <f t="shared" si="65"/>
        <v>0.50211638180408114</v>
      </c>
      <c r="AI281" s="15">
        <f t="shared" si="72"/>
        <v>254.19641828831607</v>
      </c>
    </row>
    <row r="282" spans="29:35" x14ac:dyDescent="0.25">
      <c r="AC282" s="15">
        <v>49</v>
      </c>
      <c r="AD282" s="15">
        <f t="shared" si="62"/>
        <v>86.029300000000006</v>
      </c>
      <c r="AE282" s="15">
        <f t="shared" si="63"/>
        <v>27.383976691471187</v>
      </c>
      <c r="AF282" s="15">
        <f t="shared" si="64"/>
        <v>17.639999999999997</v>
      </c>
      <c r="AG282" s="16">
        <f t="shared" si="71"/>
        <v>506.25</v>
      </c>
      <c r="AH282" s="15">
        <f t="shared" si="65"/>
        <v>0.5153035941430647</v>
      </c>
      <c r="AI282" s="15">
        <f t="shared" si="72"/>
        <v>260.8724445349265</v>
      </c>
    </row>
    <row r="283" spans="29:35" x14ac:dyDescent="0.25">
      <c r="AC283" s="15">
        <v>50</v>
      </c>
      <c r="AD283" s="15">
        <f t="shared" si="62"/>
        <v>87.05</v>
      </c>
      <c r="AE283" s="15">
        <f t="shared" si="63"/>
        <v>27.708875592298977</v>
      </c>
      <c r="AF283" s="15">
        <f t="shared" si="64"/>
        <v>17.649999999999999</v>
      </c>
      <c r="AG283" s="16">
        <f>AG278-(AG278*0.25)</f>
        <v>379.6875</v>
      </c>
      <c r="AH283" s="15">
        <f t="shared" si="65"/>
        <v>0.52790293078096462</v>
      </c>
      <c r="AI283" s="15">
        <f t="shared" si="72"/>
        <v>200.43814403089749</v>
      </c>
    </row>
  </sheetData>
  <mergeCells count="25">
    <mergeCell ref="AM43:AR43"/>
    <mergeCell ref="AM12:AN12"/>
    <mergeCell ref="AM17:AS17"/>
    <mergeCell ref="B101:D101"/>
    <mergeCell ref="J13:J21"/>
    <mergeCell ref="J23:J31"/>
    <mergeCell ref="J33:O33"/>
    <mergeCell ref="J49:M49"/>
    <mergeCell ref="J65:M65"/>
    <mergeCell ref="A47:H47"/>
    <mergeCell ref="A11:A21"/>
    <mergeCell ref="A23:A33"/>
    <mergeCell ref="A35:A45"/>
    <mergeCell ref="J1:O1"/>
    <mergeCell ref="J10:O10"/>
    <mergeCell ref="A65:D65"/>
    <mergeCell ref="A83:D83"/>
    <mergeCell ref="A1:H1"/>
    <mergeCell ref="A8:H8"/>
    <mergeCell ref="AM1:AS1"/>
    <mergeCell ref="AP12:AQ12"/>
    <mergeCell ref="AV19:AW19"/>
    <mergeCell ref="S1:Z1"/>
    <mergeCell ref="S10:Z10"/>
    <mergeCell ref="AC1:AK1"/>
  </mergeCells>
  <pageMargins left="0.7" right="0.7" top="0.75" bottom="0.75" header="0.3" footer="0.3"/>
  <pageSetup paperSize="9" scale="1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BN238"/>
  <sheetViews>
    <sheetView topLeftCell="Y1" workbookViewId="0">
      <selection activeCell="AM35" sqref="AM35"/>
    </sheetView>
  </sheetViews>
  <sheetFormatPr baseColWidth="10" defaultRowHeight="15" x14ac:dyDescent="0.25"/>
  <cols>
    <col min="5" max="5" width="30" style="17" bestFit="1" customWidth="1"/>
    <col min="6" max="7" width="11.5703125" style="17"/>
    <col min="20" max="20" width="12.7109375" bestFit="1" customWidth="1"/>
    <col min="27" max="27" width="14.42578125" bestFit="1" customWidth="1"/>
    <col min="32" max="32" width="12.5703125" bestFit="1" customWidth="1"/>
    <col min="34" max="34" width="8.5703125" bestFit="1" customWidth="1"/>
    <col min="35" max="35" width="16.85546875" bestFit="1" customWidth="1"/>
    <col min="37" max="37" width="14.42578125" bestFit="1" customWidth="1"/>
    <col min="42" max="42" width="12.42578125" bestFit="1" customWidth="1"/>
    <col min="66" max="66" width="14.42578125" bestFit="1" customWidth="1"/>
  </cols>
  <sheetData>
    <row r="1" spans="1:66" x14ac:dyDescent="0.25">
      <c r="A1" s="118" t="s">
        <v>286</v>
      </c>
      <c r="B1" s="118"/>
      <c r="C1" s="118"/>
      <c r="E1" s="118" t="s">
        <v>214</v>
      </c>
      <c r="F1" s="118"/>
      <c r="G1" s="118"/>
      <c r="J1" s="359" t="s">
        <v>135</v>
      </c>
      <c r="K1" s="359"/>
      <c r="L1" s="359"/>
      <c r="M1" s="359"/>
      <c r="N1" s="359"/>
      <c r="O1" s="359"/>
      <c r="P1" s="359"/>
      <c r="Q1" s="359"/>
      <c r="S1" s="359" t="s">
        <v>5</v>
      </c>
      <c r="T1" s="359"/>
      <c r="U1" s="359"/>
      <c r="V1" s="359"/>
      <c r="W1" s="359"/>
      <c r="X1" s="359"/>
      <c r="Y1" s="359"/>
      <c r="Z1" s="359"/>
      <c r="AA1" s="202"/>
      <c r="AB1" s="202"/>
      <c r="AC1" s="202"/>
      <c r="AF1" s="359" t="s">
        <v>247</v>
      </c>
      <c r="AG1" s="359"/>
      <c r="AH1" s="359"/>
      <c r="AI1" s="359"/>
      <c r="AJ1" s="359"/>
      <c r="AK1" s="359"/>
      <c r="AL1" s="359"/>
      <c r="AM1" s="359"/>
      <c r="AO1" s="359" t="s">
        <v>317</v>
      </c>
      <c r="AP1" s="359"/>
      <c r="AQ1" s="359"/>
      <c r="AR1" s="359"/>
      <c r="AS1" s="359"/>
      <c r="AT1" s="359"/>
      <c r="AU1" s="359"/>
      <c r="AV1" s="359"/>
      <c r="AX1" s="359" t="s">
        <v>22</v>
      </c>
      <c r="AY1" s="359"/>
      <c r="AZ1" s="359"/>
      <c r="BA1" s="359"/>
      <c r="BB1" s="359"/>
      <c r="BC1" s="359"/>
      <c r="BD1" s="359"/>
      <c r="BE1" s="359"/>
    </row>
    <row r="2" spans="1:66" x14ac:dyDescent="0.25">
      <c r="E2"/>
      <c r="F2"/>
      <c r="G2"/>
    </row>
    <row r="3" spans="1:66" x14ac:dyDescent="0.25">
      <c r="A3" s="119" t="s">
        <v>215</v>
      </c>
      <c r="B3" s="119">
        <v>0.54</v>
      </c>
      <c r="C3" s="35"/>
      <c r="E3" s="119" t="s">
        <v>215</v>
      </c>
      <c r="F3" s="119">
        <v>0.54</v>
      </c>
      <c r="G3" s="35"/>
      <c r="J3" s="126" t="s">
        <v>215</v>
      </c>
      <c r="K3" s="126">
        <f>VLOOKUP(J1,Inputs!$A$17:$B$28,2,FALSE)</f>
        <v>0.57999999999999996</v>
      </c>
      <c r="S3" s="126" t="s">
        <v>215</v>
      </c>
      <c r="T3" s="126">
        <f>VLOOKUP(S1,Inputs!$A$17:$B$28,2,FALSE)</f>
        <v>0.47</v>
      </c>
      <c r="Y3" s="7" t="s">
        <v>492</v>
      </c>
      <c r="AF3" s="126" t="s">
        <v>215</v>
      </c>
      <c r="AG3" s="126">
        <v>0.35</v>
      </c>
      <c r="AO3" s="126" t="s">
        <v>215</v>
      </c>
      <c r="AP3" s="126">
        <v>0.37</v>
      </c>
      <c r="AX3" s="126" t="s">
        <v>215</v>
      </c>
      <c r="AY3" s="126">
        <v>0.43</v>
      </c>
    </row>
    <row r="4" spans="1:66" x14ac:dyDescent="0.25">
      <c r="A4" s="119" t="s">
        <v>142</v>
      </c>
      <c r="B4" s="119">
        <v>1.3</v>
      </c>
      <c r="C4" s="120"/>
      <c r="E4" s="119" t="s">
        <v>142</v>
      </c>
      <c r="F4" s="119">
        <v>1.3</v>
      </c>
      <c r="G4" s="120"/>
      <c r="J4" s="126" t="s">
        <v>142</v>
      </c>
      <c r="K4" s="126">
        <f>VLOOKUP(J1,FEB[],3,0)</f>
        <v>1</v>
      </c>
      <c r="S4" s="126" t="s">
        <v>142</v>
      </c>
      <c r="T4" s="126">
        <f>VLOOKUP(S1,FEB[],3,0)</f>
        <v>1</v>
      </c>
      <c r="AF4" s="126" t="s">
        <v>142</v>
      </c>
      <c r="AG4" s="126">
        <v>1.56</v>
      </c>
      <c r="AO4" s="126" t="s">
        <v>142</v>
      </c>
      <c r="AP4" s="126">
        <v>1.3</v>
      </c>
      <c r="AX4" s="126" t="s">
        <v>142</v>
      </c>
      <c r="AY4" s="126">
        <v>1.3</v>
      </c>
    </row>
    <row r="5" spans="1:66" x14ac:dyDescent="0.25">
      <c r="A5" s="90"/>
      <c r="B5" s="121"/>
      <c r="C5" s="120"/>
      <c r="E5" s="90"/>
      <c r="F5" s="121"/>
      <c r="G5" s="120"/>
      <c r="AO5" t="s">
        <v>136</v>
      </c>
      <c r="AP5">
        <v>1200</v>
      </c>
    </row>
    <row r="6" spans="1:66" x14ac:dyDescent="0.25">
      <c r="A6" s="90"/>
      <c r="B6" s="121"/>
      <c r="C6" s="120"/>
      <c r="E6" s="90"/>
      <c r="F6" s="121"/>
      <c r="G6" s="120"/>
      <c r="K6" s="15" t="s">
        <v>221</v>
      </c>
      <c r="L6" s="15" t="s">
        <v>222</v>
      </c>
      <c r="M6" s="15" t="s">
        <v>223</v>
      </c>
      <c r="T6" s="15" t="s">
        <v>221</v>
      </c>
      <c r="U6" s="15" t="s">
        <v>222</v>
      </c>
      <c r="V6" s="15" t="s">
        <v>223</v>
      </c>
      <c r="W6" s="50" t="s">
        <v>330</v>
      </c>
      <c r="AG6" s="15" t="s">
        <v>247</v>
      </c>
      <c r="AH6" s="15" t="s">
        <v>256</v>
      </c>
      <c r="AI6" s="15" t="s">
        <v>257</v>
      </c>
    </row>
    <row r="7" spans="1:66" x14ac:dyDescent="0.25">
      <c r="A7" s="15" t="s">
        <v>216</v>
      </c>
      <c r="B7" s="122">
        <f>AVERAGE(C12:C111)</f>
        <v>0</v>
      </c>
      <c r="C7" s="123"/>
      <c r="E7" s="15" t="s">
        <v>216</v>
      </c>
      <c r="F7" s="122">
        <f>AVERAGE(G12:G111)</f>
        <v>318.77506685718674</v>
      </c>
      <c r="G7" s="123"/>
      <c r="J7" s="15" t="s">
        <v>224</v>
      </c>
      <c r="K7" s="127">
        <f>AVERAGE(L49:L218)</f>
        <v>570.78347963233557</v>
      </c>
      <c r="L7" s="127">
        <f>AVERAGE(N49:N228)</f>
        <v>526.56571921055411</v>
      </c>
      <c r="M7" s="127">
        <f>AVERAGE(P49:P238)</f>
        <v>470.30746774963848</v>
      </c>
      <c r="S7" s="15" t="s">
        <v>224</v>
      </c>
      <c r="T7" s="127">
        <f>AVERAGE(U12:U61)</f>
        <v>1188.5747273281497</v>
      </c>
      <c r="U7" s="127">
        <f>AVERAGE(W12:W228)</f>
        <v>918.15927922012315</v>
      </c>
      <c r="V7" s="228">
        <f>AVERAGE(Y12:Y238)</f>
        <v>708.95723793223124</v>
      </c>
      <c r="W7" s="228">
        <f>AVERAGE(AA12:AA81)</f>
        <v>552.01853425122692</v>
      </c>
      <c r="AF7" s="15" t="s">
        <v>255</v>
      </c>
      <c r="AG7" s="127">
        <f>AL35</f>
        <v>9559.9873441933523</v>
      </c>
      <c r="AH7" s="127">
        <v>0</v>
      </c>
      <c r="AI7" s="127">
        <f>(AG7-AH7)/23</f>
        <v>415.65162366058053</v>
      </c>
      <c r="AP7" s="15" t="s">
        <v>320</v>
      </c>
      <c r="AQ7" s="9"/>
      <c r="AR7" s="148"/>
      <c r="AY7" s="15" t="s">
        <v>221</v>
      </c>
      <c r="AZ7" s="15" t="s">
        <v>222</v>
      </c>
      <c r="BA7" s="15" t="s">
        <v>223</v>
      </c>
    </row>
    <row r="8" spans="1:66" x14ac:dyDescent="0.25">
      <c r="A8" s="35"/>
      <c r="B8" s="35"/>
      <c r="C8" s="35"/>
      <c r="E8" s="35"/>
      <c r="F8" s="35"/>
      <c r="G8" s="35"/>
      <c r="AO8" s="15" t="s">
        <v>224</v>
      </c>
      <c r="AP8" s="127">
        <f>AVERAGE(AQ34:AQ83)</f>
        <v>650.06848825443046</v>
      </c>
      <c r="AX8" s="15" t="s">
        <v>224</v>
      </c>
      <c r="AY8" s="127">
        <f>AVERAGE(AZ51:AZ220)</f>
        <v>881.13199720573789</v>
      </c>
      <c r="AZ8" s="127">
        <f>AVERAGE(BB51:BB230)</f>
        <v>816.23770609402436</v>
      </c>
      <c r="BA8" s="127">
        <f>AVERAGE(BD51:BD240)</f>
        <v>760.38218494053297</v>
      </c>
    </row>
    <row r="9" spans="1:66" ht="15.75" thickBot="1" x14ac:dyDescent="0.3">
      <c r="A9" s="7" t="s">
        <v>217</v>
      </c>
      <c r="E9" s="7" t="s">
        <v>217</v>
      </c>
      <c r="F9"/>
      <c r="G9"/>
      <c r="J9" s="7" t="s">
        <v>225</v>
      </c>
      <c r="S9" s="264"/>
      <c r="T9" s="17"/>
      <c r="U9" s="17"/>
      <c r="V9" s="17"/>
      <c r="W9" s="17"/>
      <c r="X9" s="17"/>
      <c r="Y9" s="17"/>
      <c r="Z9" s="17"/>
      <c r="AA9" s="17"/>
      <c r="AB9" s="17"/>
      <c r="AC9" s="17"/>
      <c r="AF9" s="7" t="s">
        <v>248</v>
      </c>
    </row>
    <row r="10" spans="1:66" ht="15.75" thickBot="1" x14ac:dyDescent="0.3">
      <c r="E10"/>
      <c r="F10"/>
      <c r="G10"/>
      <c r="T10" s="242" t="s">
        <v>230</v>
      </c>
      <c r="U10" s="243"/>
      <c r="V10" s="242" t="s">
        <v>231</v>
      </c>
      <c r="W10" s="243"/>
      <c r="X10" s="242" t="s">
        <v>232</v>
      </c>
      <c r="Y10" s="243"/>
      <c r="Z10" s="226" t="s">
        <v>327</v>
      </c>
      <c r="AA10" s="227"/>
      <c r="AC10" s="17"/>
      <c r="AX10" s="314" t="s">
        <v>320</v>
      </c>
      <c r="AY10" s="314"/>
      <c r="BA10" s="299" t="s">
        <v>331</v>
      </c>
      <c r="BB10" s="300"/>
      <c r="BD10" s="299" t="s">
        <v>232</v>
      </c>
      <c r="BE10" s="300"/>
    </row>
    <row r="11" spans="1:66" ht="15.75" thickBot="1" x14ac:dyDescent="0.3">
      <c r="A11" s="15" t="s">
        <v>218</v>
      </c>
      <c r="B11" s="15" t="s">
        <v>219</v>
      </c>
      <c r="C11" s="15" t="s">
        <v>220</v>
      </c>
      <c r="E11" s="15" t="s">
        <v>218</v>
      </c>
      <c r="F11" s="15" t="s">
        <v>219</v>
      </c>
      <c r="G11" s="15" t="s">
        <v>220</v>
      </c>
      <c r="J11" s="128" t="s">
        <v>226</v>
      </c>
      <c r="K11" s="15" t="s">
        <v>227</v>
      </c>
      <c r="M11" s="128" t="s">
        <v>226</v>
      </c>
      <c r="N11" s="15" t="s">
        <v>228</v>
      </c>
      <c r="P11" s="128" t="s">
        <v>226</v>
      </c>
      <c r="Q11" s="15" t="s">
        <v>229</v>
      </c>
      <c r="S11" s="129" t="s">
        <v>7</v>
      </c>
      <c r="T11" s="130" t="s">
        <v>503</v>
      </c>
      <c r="U11" s="131" t="s">
        <v>234</v>
      </c>
      <c r="V11" s="130" t="s">
        <v>235</v>
      </c>
      <c r="W11" s="131" t="s">
        <v>236</v>
      </c>
      <c r="X11" s="130" t="s">
        <v>237</v>
      </c>
      <c r="Y11" s="131" t="s">
        <v>238</v>
      </c>
      <c r="Z11" s="130" t="s">
        <v>328</v>
      </c>
      <c r="AA11" s="131" t="s">
        <v>329</v>
      </c>
      <c r="AC11" s="278"/>
      <c r="AF11" s="15" t="s">
        <v>7</v>
      </c>
      <c r="AG11" s="15" t="s">
        <v>249</v>
      </c>
      <c r="AH11" s="15" t="s">
        <v>250</v>
      </c>
      <c r="AI11" s="15" t="s">
        <v>251</v>
      </c>
      <c r="AJ11" s="15" t="s">
        <v>252</v>
      </c>
      <c r="AK11" s="15" t="s">
        <v>253</v>
      </c>
      <c r="AL11" s="15" t="s">
        <v>26</v>
      </c>
      <c r="AX11" s="15" t="s">
        <v>7</v>
      </c>
      <c r="AY11" s="15" t="s">
        <v>8</v>
      </c>
      <c r="BA11" s="15" t="s">
        <v>7</v>
      </c>
      <c r="BB11" s="15" t="s">
        <v>8</v>
      </c>
      <c r="BD11" s="15" t="s">
        <v>7</v>
      </c>
      <c r="BE11" s="15" t="s">
        <v>8</v>
      </c>
    </row>
    <row r="12" spans="1:66" x14ac:dyDescent="0.25">
      <c r="A12" s="15">
        <v>1</v>
      </c>
      <c r="B12" s="15">
        <v>0</v>
      </c>
      <c r="C12" s="124">
        <f t="shared" ref="C12:C41" si="0">IF(B12&gt;0,(((B12*$F$3*$F$4) +EXP(-1.0587+(0.8836*LN(B12*$F$3*$F$4))+0.284))*0.475+70+10)*(44/12),0)</f>
        <v>0</v>
      </c>
      <c r="E12" s="15">
        <v>1</v>
      </c>
      <c r="F12" s="15">
        <f>1*E12</f>
        <v>1</v>
      </c>
      <c r="G12" s="124">
        <f>IF(F12&gt;0,(((F12*$F$3*$F$4) +EXP(-1.0587+(0.8836*LN(F12*$F$3*$F$4))+0.284))*0.475+70+10)*(44/12),0)</f>
        <v>295.14312185797593</v>
      </c>
      <c r="J12" s="15">
        <f>'Inputs - Tables de production'!T40</f>
        <v>45</v>
      </c>
      <c r="K12" s="16">
        <f>'Inputs - Tables de production'!X40</f>
        <v>104</v>
      </c>
      <c r="M12" s="16">
        <f>'Inputs - Tables de production'!T59</f>
        <v>52</v>
      </c>
      <c r="N12" s="16">
        <f>'Inputs - Tables de production'!X59</f>
        <v>98</v>
      </c>
      <c r="P12" s="16">
        <f>'Inputs - Tables de production'!T77</f>
        <v>63</v>
      </c>
      <c r="Q12" s="16">
        <f>'Inputs - Tables de production'!X77</f>
        <v>92</v>
      </c>
      <c r="S12" s="129">
        <v>1</v>
      </c>
      <c r="T12" s="132">
        <f>'Inputs - Tables de production'!AI21</f>
        <v>0.17504048505941969</v>
      </c>
      <c r="U12" s="133">
        <f t="shared" ref="U12:U43" si="1">IF(T12&gt;0,(((T12*T$3*T$4) +EXP(-1.0587+(0.8836*LN(T12*T$3*T$4))+0.284))*0.475+70+10)*(44/12),0)</f>
        <v>293.56493060538929</v>
      </c>
      <c r="V12" s="132">
        <f>'Inputs - Tables de production'!AI75</f>
        <v>0.11984542278010372</v>
      </c>
      <c r="W12" s="133">
        <f t="shared" ref="W12:W43" si="2">IF(V12&gt;0,(((V12*T$3*T$4) +EXP(-1.0587+(0.8836*LN(V12*T$3*T$4))+0.284))*0.475+70+10)*(44/12),0)</f>
        <v>293.49462742925851</v>
      </c>
      <c r="X12" s="132">
        <f>'Inputs - Tables de production'!AI128</f>
        <v>7.9721300938473239E-2</v>
      </c>
      <c r="Y12" s="133">
        <f t="shared" ref="Y12:Y43" si="3">IF(X12&gt;0,(((X12*T$3*T$4) +EXP(-1.0587+(0.8836*LN(X12*T$3*T$4))+0.284))*0.475+70+10)*(44/12),0)</f>
        <v>293.44266905080019</v>
      </c>
      <c r="Z12" s="132">
        <f>'Inputs - Tables de production'!AI181</f>
        <v>4.8620654545120816E-2</v>
      </c>
      <c r="AA12" s="133">
        <f t="shared" ref="AA12:AA43" si="4">IF(Z12&gt;0,(((Z12*T$3*T$4) +EXP(-1.0587+(0.8836*LN(Z12*T$3*T$4))+0.284))*0.475+70+10)*(44/12),0)</f>
        <v>293.40160799080621</v>
      </c>
      <c r="AC12" s="18"/>
      <c r="AF12" s="15">
        <v>1</v>
      </c>
      <c r="AG12" s="15">
        <f>'Inputs - Tables de production'!AN20</f>
        <v>9.4931999999999999</v>
      </c>
      <c r="AH12" s="16">
        <f>AG12/PI()</f>
        <v>3.0217794115199617</v>
      </c>
      <c r="AI12" s="15">
        <v>3.5</v>
      </c>
      <c r="AJ12" s="149">
        <f>0.496*(AI12*(AG12/100)^2)/(4*PI())</f>
        <v>1.2449878638297527E-3</v>
      </c>
      <c r="AK12" s="150">
        <f>AJ12*Répartition!$K$23</f>
        <v>0.19551569974227809</v>
      </c>
      <c r="AL12" s="124">
        <f>IF(AK12&gt;0,(((AK12*AG$3*AG$4) +EXP(-1.0587+(0.8836*LN(AK12*AG$3*AG$4))+0.284))*0.475+70+10)*(44/12),0)</f>
        <v>293.63042924717399</v>
      </c>
      <c r="AX12" s="15">
        <v>15</v>
      </c>
      <c r="AY12" s="15">
        <v>189</v>
      </c>
      <c r="BA12" s="15">
        <v>15</v>
      </c>
      <c r="BB12" s="15">
        <v>126</v>
      </c>
      <c r="BD12" s="15">
        <v>15</v>
      </c>
      <c r="BE12" s="15">
        <v>77</v>
      </c>
    </row>
    <row r="13" spans="1:66" x14ac:dyDescent="0.25">
      <c r="A13" s="15">
        <v>2</v>
      </c>
      <c r="B13" s="15">
        <v>0</v>
      </c>
      <c r="C13" s="124">
        <f t="shared" si="0"/>
        <v>0</v>
      </c>
      <c r="E13" s="15">
        <v>2</v>
      </c>
      <c r="F13" s="15">
        <f t="shared" ref="F13:F41" si="5">1*E13</f>
        <v>2</v>
      </c>
      <c r="G13" s="124">
        <f t="shared" ref="G13:G41" si="6">IF(F13&gt;0,(((F13*$F$3*$F$4) +EXP(-1.0587+(0.8836*LN(F13*$F$3*$F$4))+0.284))*0.475+70+10)*(44/12),0)</f>
        <v>296.86188828117156</v>
      </c>
      <c r="J13" s="15">
        <f>'Inputs - Tables de production'!T41</f>
        <v>53</v>
      </c>
      <c r="K13" s="16">
        <f>'Inputs - Tables de production'!X41</f>
        <v>131</v>
      </c>
      <c r="M13" s="16">
        <f>'Inputs - Tables de production'!T60</f>
        <v>60</v>
      </c>
      <c r="N13" s="16">
        <f>'Inputs - Tables de production'!X60</f>
        <v>117</v>
      </c>
      <c r="P13" s="16">
        <f>'Inputs - Tables de production'!T78</f>
        <v>73</v>
      </c>
      <c r="Q13" s="16">
        <f>'Inputs - Tables de production'!X78</f>
        <v>112</v>
      </c>
      <c r="S13" s="129">
        <v>2</v>
      </c>
      <c r="T13" s="132">
        <f>'Inputs - Tables de production'!AI22</f>
        <v>1.3686838043569816</v>
      </c>
      <c r="U13" s="133">
        <f t="shared" si="1"/>
        <v>294.99724094978097</v>
      </c>
      <c r="V13" s="132">
        <f>'Inputs - Tables de production'!AI76</f>
        <v>0.93732043920385832</v>
      </c>
      <c r="W13" s="133">
        <f t="shared" si="2"/>
        <v>294.48960238725806</v>
      </c>
      <c r="X13" s="132">
        <f>'Inputs - Tables de production'!AI129</f>
        <v>0.62338744492140907</v>
      </c>
      <c r="Y13" s="133">
        <f t="shared" si="3"/>
        <v>294.11491615737202</v>
      </c>
      <c r="Z13" s="132">
        <f>'Inputs - Tables de production'!AI182</f>
        <v>0.38025999203281169</v>
      </c>
      <c r="AA13" s="133">
        <f t="shared" si="4"/>
        <v>293.8198917225356</v>
      </c>
      <c r="AC13" s="18"/>
      <c r="AF13" s="15">
        <v>2</v>
      </c>
      <c r="AG13" s="15">
        <f>'Inputs - Tables de production'!AN21</f>
        <v>19.314800000000002</v>
      </c>
      <c r="AH13" s="16">
        <f t="shared" ref="AH13:AH34" si="7">AG13/PI()</f>
        <v>6.148091789662681</v>
      </c>
      <c r="AI13" s="15">
        <v>4</v>
      </c>
      <c r="AJ13" s="149">
        <f>0.496*(AI13*(AG13/100)^2)/(4*PI())</f>
        <v>5.8899584996292467E-3</v>
      </c>
      <c r="AK13" s="150">
        <f>AJ13*Répartition!$K$23</f>
        <v>0.92497235592769167</v>
      </c>
      <c r="AL13" s="124">
        <f t="shared" ref="AL13:AL34" si="8">IF(AK13&gt;0,(((AK13*AG$3*AG$4) +EXP(-1.0587+(0.8836*LN(AK13*AG$3*AG$4))+0.284))*0.475+70+10)*(44/12),0)</f>
        <v>294.65184217188664</v>
      </c>
      <c r="AX13" s="15">
        <v>20</v>
      </c>
      <c r="AY13" s="15">
        <v>320</v>
      </c>
      <c r="BA13" s="15">
        <v>20</v>
      </c>
      <c r="BB13" s="15">
        <v>238</v>
      </c>
      <c r="BD13" s="15">
        <v>20</v>
      </c>
      <c r="BE13" s="15">
        <v>158</v>
      </c>
      <c r="BN13" s="124"/>
    </row>
    <row r="14" spans="1:66" x14ac:dyDescent="0.25">
      <c r="A14" s="15">
        <v>3</v>
      </c>
      <c r="B14" s="15">
        <v>0</v>
      </c>
      <c r="C14" s="124">
        <f t="shared" si="0"/>
        <v>0</v>
      </c>
      <c r="E14" s="15">
        <v>3</v>
      </c>
      <c r="F14" s="15">
        <f t="shared" si="5"/>
        <v>3</v>
      </c>
      <c r="G14" s="124">
        <f t="shared" si="6"/>
        <v>298.55125913462359</v>
      </c>
      <c r="J14" s="15">
        <f>'Inputs - Tables de production'!T42</f>
        <v>61</v>
      </c>
      <c r="K14" s="16">
        <f>'Inputs - Tables de production'!X42</f>
        <v>155</v>
      </c>
      <c r="M14" s="16">
        <f>'Inputs - Tables de production'!T61</f>
        <v>68</v>
      </c>
      <c r="N14" s="16">
        <f>'Inputs - Tables de production'!X61</f>
        <v>135</v>
      </c>
      <c r="P14" s="16">
        <f>'Inputs - Tables de production'!T79</f>
        <v>83</v>
      </c>
      <c r="Q14" s="16">
        <f>'Inputs - Tables de production'!X79</f>
        <v>129</v>
      </c>
      <c r="S14" s="129">
        <v>3</v>
      </c>
      <c r="T14" s="132">
        <f>'Inputs - Tables de production'!AI23</f>
        <v>4.5140927809457478</v>
      </c>
      <c r="U14" s="133">
        <f t="shared" si="1"/>
        <v>298.58862610608645</v>
      </c>
      <c r="V14" s="132">
        <f>'Inputs - Tables de production'!AI77</f>
        <v>3.0921393708513234</v>
      </c>
      <c r="W14" s="133">
        <f t="shared" si="2"/>
        <v>296.98130778808508</v>
      </c>
      <c r="X14" s="132">
        <f>'Inputs - Tables de production'!AI130</f>
        <v>2.0561023670715621</v>
      </c>
      <c r="Y14" s="133">
        <f t="shared" si="3"/>
        <v>295.79515839390837</v>
      </c>
      <c r="Z14" s="132">
        <f>'Inputs - Tables de production'!AI183</f>
        <v>1.2544255023456357</v>
      </c>
      <c r="AA14" s="133">
        <f t="shared" si="4"/>
        <v>294.86341762188357</v>
      </c>
      <c r="AC14" s="18"/>
      <c r="AF14" s="15">
        <v>3</v>
      </c>
      <c r="AG14" s="15">
        <f>'Inputs - Tables de production'!AN22</f>
        <v>29.385000000000002</v>
      </c>
      <c r="AH14" s="16">
        <f t="shared" si="7"/>
        <v>9.3535360055106889</v>
      </c>
      <c r="AI14" s="15">
        <v>4.5</v>
      </c>
      <c r="AJ14" s="149">
        <f t="shared" ref="AJ13:AJ34" si="9">0.496*(AI14*(AG14/100)^2)/(4*PI())</f>
        <v>1.5336833978123784E-2</v>
      </c>
      <c r="AK14" s="150">
        <f>AJ14*Répartition!$K$23</f>
        <v>2.4085309698039468</v>
      </c>
      <c r="AL14" s="124">
        <f t="shared" si="8"/>
        <v>296.64611634374324</v>
      </c>
      <c r="AX14" s="15">
        <v>25</v>
      </c>
      <c r="AY14" s="15">
        <v>423</v>
      </c>
      <c r="BA14" s="15">
        <v>25</v>
      </c>
      <c r="BB14" s="15">
        <v>351</v>
      </c>
      <c r="BD14" s="15">
        <v>25</v>
      </c>
      <c r="BE14" s="15">
        <v>267</v>
      </c>
    </row>
    <row r="15" spans="1:66" x14ac:dyDescent="0.25">
      <c r="A15" s="15">
        <v>4</v>
      </c>
      <c r="B15" s="15">
        <v>0</v>
      </c>
      <c r="C15" s="124">
        <f t="shared" si="0"/>
        <v>0</v>
      </c>
      <c r="E15" s="15">
        <v>4</v>
      </c>
      <c r="F15" s="15">
        <f t="shared" si="5"/>
        <v>4</v>
      </c>
      <c r="G15" s="124">
        <f t="shared" si="6"/>
        <v>300.22250987492617</v>
      </c>
      <c r="J15" s="15">
        <f>'Inputs - Tables de production'!T43</f>
        <v>69</v>
      </c>
      <c r="K15" s="16">
        <f>'Inputs - Tables de production'!X43</f>
        <v>177</v>
      </c>
      <c r="M15" s="16">
        <f>'Inputs - Tables de production'!T62</f>
        <v>78</v>
      </c>
      <c r="N15" s="16">
        <f>'Inputs - Tables de production'!X62</f>
        <v>162</v>
      </c>
      <c r="P15" s="16">
        <f>'Inputs - Tables de production'!T80</f>
        <v>93</v>
      </c>
      <c r="Q15" s="16">
        <f>'Inputs - Tables de production'!X80</f>
        <v>145</v>
      </c>
      <c r="S15" s="129">
        <v>4</v>
      </c>
      <c r="T15" s="132">
        <f>'Inputs - Tables de production'!AI24</f>
        <v>10.454368132095087</v>
      </c>
      <c r="U15" s="133">
        <f t="shared" si="1"/>
        <v>305.16778687021656</v>
      </c>
      <c r="V15" s="132">
        <f>'Inputs - Tables de production'!AI78</f>
        <v>7.1629452900599588</v>
      </c>
      <c r="W15" s="133">
        <f t="shared" si="2"/>
        <v>301.5428751464911</v>
      </c>
      <c r="X15" s="132">
        <f>'Inputs - Tables de production'!AI131</f>
        <v>4.762024779298982</v>
      </c>
      <c r="Y15" s="133">
        <f t="shared" si="3"/>
        <v>298.86705638792313</v>
      </c>
      <c r="Z15" s="132">
        <f>'Inputs - Tables de production'!AI184</f>
        <v>2.9058339244202758</v>
      </c>
      <c r="AA15" s="133">
        <f t="shared" si="4"/>
        <v>296.76913163461961</v>
      </c>
      <c r="AC15" s="18"/>
      <c r="AF15" s="15">
        <v>4</v>
      </c>
      <c r="AG15" s="15">
        <f>'Inputs - Tables de production'!AN23</f>
        <v>39.624000000000002</v>
      </c>
      <c r="AH15" s="16">
        <f t="shared" si="7"/>
        <v>12.612710930146523</v>
      </c>
      <c r="AI15" s="15">
        <v>7</v>
      </c>
      <c r="AJ15" s="149">
        <f>0.496*(AI15*(AG15/100)^2)/(4*PI())</f>
        <v>4.3379693825383724E-2</v>
      </c>
      <c r="AK15" s="150">
        <f>AJ15*Répartition!$K$23</f>
        <v>6.8124448753947684</v>
      </c>
      <c r="AL15" s="124">
        <f t="shared" si="8"/>
        <v>302.37379256046927</v>
      </c>
      <c r="AX15" s="15">
        <v>30</v>
      </c>
      <c r="AY15" s="15">
        <v>493</v>
      </c>
      <c r="BA15" s="15">
        <v>30</v>
      </c>
      <c r="BB15" s="75">
        <v>436</v>
      </c>
      <c r="BD15" s="15">
        <v>30</v>
      </c>
      <c r="BE15" s="75">
        <v>366</v>
      </c>
    </row>
    <row r="16" spans="1:66" x14ac:dyDescent="0.25">
      <c r="A16" s="15">
        <v>5</v>
      </c>
      <c r="B16" s="15">
        <v>0</v>
      </c>
      <c r="C16" s="124">
        <f t="shared" si="0"/>
        <v>0</v>
      </c>
      <c r="E16" s="15">
        <v>5</v>
      </c>
      <c r="F16" s="15">
        <f t="shared" si="5"/>
        <v>5</v>
      </c>
      <c r="G16" s="124">
        <f t="shared" si="6"/>
        <v>301.88075090864163</v>
      </c>
      <c r="J16" s="15">
        <f>'Inputs - Tables de production'!T44</f>
        <v>77</v>
      </c>
      <c r="K16" s="16">
        <f>'Inputs - Tables de production'!X44</f>
        <v>194</v>
      </c>
      <c r="M16" s="16">
        <f>'Inputs - Tables de production'!T63</f>
        <v>88</v>
      </c>
      <c r="N16" s="16">
        <f>'Inputs - Tables de production'!X63</f>
        <v>184</v>
      </c>
      <c r="P16" s="16">
        <f>'Inputs - Tables de production'!T81</f>
        <v>103</v>
      </c>
      <c r="Q16" s="16">
        <f>'Inputs - Tables de production'!X81</f>
        <v>157</v>
      </c>
      <c r="S16" s="129">
        <v>5</v>
      </c>
      <c r="T16" s="132">
        <f>'Inputs - Tables de production'!AI25</f>
        <v>19.945962034494862</v>
      </c>
      <c r="U16" s="133">
        <f t="shared" si="1"/>
        <v>315.45951881523007</v>
      </c>
      <c r="V16" s="132">
        <f>'Inputs - Tables de production'!AI79</f>
        <v>13.669599379895981</v>
      </c>
      <c r="W16" s="133">
        <f t="shared" si="2"/>
        <v>308.67579719388482</v>
      </c>
      <c r="X16" s="132">
        <f>'Inputs - Tables de production'!AI132</f>
        <v>9.0859166376754779</v>
      </c>
      <c r="Y16" s="133">
        <f t="shared" si="3"/>
        <v>303.66557218121108</v>
      </c>
      <c r="Z16" s="132">
        <f>'Inputs - Tables de production'!AI185</f>
        <v>5.5453423755096978</v>
      </c>
      <c r="AA16" s="133">
        <f t="shared" si="4"/>
        <v>299.74384812690084</v>
      </c>
      <c r="AC16" s="18"/>
      <c r="AF16" s="15">
        <v>5</v>
      </c>
      <c r="AG16" s="15">
        <f>'Inputs - Tables de production'!AN24</f>
        <v>49.951999999999998</v>
      </c>
      <c r="AH16" s="16">
        <f t="shared" si="7"/>
        <v>15.900215434652711</v>
      </c>
      <c r="AI16" s="15">
        <v>9</v>
      </c>
      <c r="AJ16" s="149">
        <f t="shared" si="9"/>
        <v>8.8638027851321785E-2</v>
      </c>
      <c r="AK16" s="150">
        <f>AJ16*Répartition!$K$23</f>
        <v>13.919915641439973</v>
      </c>
      <c r="AL16" s="124">
        <f t="shared" si="8"/>
        <v>311.38793388901553</v>
      </c>
      <c r="AX16" s="15">
        <v>35</v>
      </c>
      <c r="AY16" s="15">
        <v>544</v>
      </c>
      <c r="BA16" s="15">
        <v>35</v>
      </c>
      <c r="BB16" s="15">
        <v>498</v>
      </c>
      <c r="BD16" s="15">
        <v>35</v>
      </c>
      <c r="BE16" s="15">
        <v>440</v>
      </c>
    </row>
    <row r="17" spans="1:57" x14ac:dyDescent="0.25">
      <c r="A17" s="15">
        <v>6</v>
      </c>
      <c r="B17" s="15">
        <v>0</v>
      </c>
      <c r="C17" s="124">
        <f t="shared" si="0"/>
        <v>0</v>
      </c>
      <c r="E17" s="15">
        <v>6</v>
      </c>
      <c r="F17" s="15">
        <f t="shared" si="5"/>
        <v>6</v>
      </c>
      <c r="G17" s="124">
        <f t="shared" si="6"/>
        <v>303.52889742503874</v>
      </c>
      <c r="J17" s="15">
        <f>'Inputs - Tables de production'!T45</f>
        <v>85</v>
      </c>
      <c r="K17" s="16">
        <f>'Inputs - Tables de production'!X45</f>
        <v>217</v>
      </c>
      <c r="M17" s="16">
        <f>'Inputs - Tables de production'!T64</f>
        <v>98</v>
      </c>
      <c r="N17" s="16">
        <f>'Inputs - Tables de production'!X64</f>
        <v>207</v>
      </c>
      <c r="P17" s="16">
        <f>'Inputs - Tables de production'!T82</f>
        <v>113</v>
      </c>
      <c r="Q17" s="16">
        <f>'Inputs - Tables de production'!X82</f>
        <v>170</v>
      </c>
      <c r="S17" s="129">
        <v>6</v>
      </c>
      <c r="T17" s="132">
        <f>'Inputs - Tables de production'!AI26</f>
        <v>33.662041180128462</v>
      </c>
      <c r="U17" s="133">
        <f t="shared" si="1"/>
        <v>330.09649292936365</v>
      </c>
      <c r="V17" s="132">
        <f>'Inputs - Tables de production'!AI80</f>
        <v>23.075436798864992</v>
      </c>
      <c r="W17" s="133">
        <f t="shared" si="2"/>
        <v>318.81821887781018</v>
      </c>
      <c r="X17" s="132">
        <f>'Inputs - Tables de production'!AI133</f>
        <v>15.334668752220473</v>
      </c>
      <c r="Y17" s="133">
        <f t="shared" si="3"/>
        <v>310.48272183061539</v>
      </c>
      <c r="Z17" s="132">
        <f>'Inputs - Tables de production'!AI186</f>
        <v>9.3608658201868806</v>
      </c>
      <c r="AA17" s="133">
        <f t="shared" si="4"/>
        <v>303.96790545221313</v>
      </c>
      <c r="AC17" s="18"/>
      <c r="AF17" s="15">
        <v>6</v>
      </c>
      <c r="AG17" s="15">
        <f>'Inputs - Tables de production'!AN25</f>
        <v>60.289200000000008</v>
      </c>
      <c r="AH17" s="16">
        <f t="shared" si="7"/>
        <v>19.190648390111797</v>
      </c>
      <c r="AI17" s="151">
        <v>10</v>
      </c>
      <c r="AJ17" s="149">
        <f t="shared" si="9"/>
        <v>0.14346661602621993</v>
      </c>
      <c r="AK17" s="150">
        <f>AJ17*Répartition!$K$23</f>
        <v>22.53032068580778</v>
      </c>
      <c r="AL17" s="124">
        <f t="shared" si="8"/>
        <v>322.13088890454083</v>
      </c>
      <c r="AX17" s="15">
        <v>40</v>
      </c>
      <c r="AY17" s="15">
        <v>575</v>
      </c>
      <c r="BA17" s="15">
        <v>40</v>
      </c>
      <c r="BB17" s="15">
        <v>543</v>
      </c>
      <c r="BD17" s="15">
        <v>40</v>
      </c>
      <c r="BE17" s="15">
        <v>495</v>
      </c>
    </row>
    <row r="18" spans="1:57" x14ac:dyDescent="0.25">
      <c r="A18" s="15">
        <v>7</v>
      </c>
      <c r="B18" s="15">
        <v>0</v>
      </c>
      <c r="C18" s="124">
        <f t="shared" si="0"/>
        <v>0</v>
      </c>
      <c r="E18" s="15">
        <v>7</v>
      </c>
      <c r="F18" s="15">
        <f t="shared" si="5"/>
        <v>7</v>
      </c>
      <c r="G18" s="124">
        <f t="shared" si="6"/>
        <v>305.16882873392143</v>
      </c>
      <c r="J18" s="15">
        <f>'Inputs - Tables de production'!T46</f>
        <v>95</v>
      </c>
      <c r="K18" s="16">
        <f>'Inputs - Tables de production'!X46</f>
        <v>255</v>
      </c>
      <c r="M18" s="16">
        <f>'Inputs - Tables de production'!T65</f>
        <v>108</v>
      </c>
      <c r="N18" s="16">
        <f>'Inputs - Tables de production'!X65</f>
        <v>225</v>
      </c>
      <c r="P18" s="16">
        <f>'Inputs - Tables de production'!T83</f>
        <v>125</v>
      </c>
      <c r="Q18" s="16">
        <f>'Inputs - Tables de production'!X83</f>
        <v>187</v>
      </c>
      <c r="S18" s="129">
        <v>7</v>
      </c>
      <c r="T18" s="132">
        <f>'Inputs - Tables de production'!AI27</f>
        <v>52.195799322814565</v>
      </c>
      <c r="U18" s="133">
        <f t="shared" si="1"/>
        <v>349.62699851029839</v>
      </c>
      <c r="V18" s="132">
        <f>'Inputs - Tables de production'!AI81</f>
        <v>35.789489050361937</v>
      </c>
      <c r="W18" s="133">
        <f t="shared" si="2"/>
        <v>332.35034529088699</v>
      </c>
      <c r="X18" s="132">
        <f>'Inputs - Tables de production'!AI134</f>
        <v>23.778803539098199</v>
      </c>
      <c r="Y18" s="133">
        <f t="shared" si="3"/>
        <v>319.57131518274309</v>
      </c>
      <c r="Z18" s="132">
        <f>'Inputs - Tables de production'!AI187</f>
        <v>14.51828087909011</v>
      </c>
      <c r="AA18" s="133">
        <f t="shared" si="4"/>
        <v>309.59752340067399</v>
      </c>
      <c r="AC18" s="18"/>
      <c r="AF18" s="15">
        <v>7</v>
      </c>
      <c r="AG18" s="15">
        <f>'Inputs - Tables de production'!AN26</f>
        <v>70.555800000000005</v>
      </c>
      <c r="AH18" s="16">
        <f t="shared" si="7"/>
        <v>22.458608667606299</v>
      </c>
      <c r="AI18" s="151">
        <v>10</v>
      </c>
      <c r="AJ18" s="149">
        <f t="shared" si="9"/>
        <v>0.19648855257730716</v>
      </c>
      <c r="AK18" s="150">
        <f>AJ18*Répartition!$K$23</f>
        <v>30.857005087844719</v>
      </c>
      <c r="AL18" s="124">
        <f t="shared" si="8"/>
        <v>332.41085107445474</v>
      </c>
      <c r="AX18" s="15">
        <v>45</v>
      </c>
      <c r="AY18" s="15">
        <v>595</v>
      </c>
      <c r="BA18" s="15">
        <v>45</v>
      </c>
      <c r="BB18" s="15">
        <v>572</v>
      </c>
      <c r="BD18" s="15">
        <v>45</v>
      </c>
      <c r="BE18" s="15">
        <v>538</v>
      </c>
    </row>
    <row r="19" spans="1:57" x14ac:dyDescent="0.25">
      <c r="A19" s="15">
        <v>8</v>
      </c>
      <c r="B19" s="15">
        <v>0</v>
      </c>
      <c r="C19" s="124">
        <f t="shared" si="0"/>
        <v>0</v>
      </c>
      <c r="E19" s="15">
        <v>8</v>
      </c>
      <c r="F19" s="15">
        <f t="shared" si="5"/>
        <v>8</v>
      </c>
      <c r="G19" s="124">
        <f t="shared" si="6"/>
        <v>306.80185384876341</v>
      </c>
      <c r="J19" s="15">
        <f>'Inputs - Tables de production'!T47</f>
        <v>105</v>
      </c>
      <c r="K19" s="16">
        <f>'Inputs - Tables de production'!X47</f>
        <v>280</v>
      </c>
      <c r="M19" s="16">
        <f>'Inputs - Tables de production'!T66</f>
        <v>118</v>
      </c>
      <c r="N19" s="16">
        <f>'Inputs - Tables de production'!X66</f>
        <v>241</v>
      </c>
      <c r="P19" s="16">
        <f>'Inputs - Tables de production'!T84</f>
        <v>137</v>
      </c>
      <c r="Q19" s="16">
        <f>'Inputs - Tables de production'!X84</f>
        <v>203</v>
      </c>
      <c r="S19" s="129">
        <v>8</v>
      </c>
      <c r="T19" s="132">
        <f>'Inputs - Tables de production'!AI28</f>
        <v>76.063719315417615</v>
      </c>
      <c r="U19" s="133">
        <f t="shared" si="1"/>
        <v>374.52088168585215</v>
      </c>
      <c r="V19" s="132">
        <f>'Inputs - Tables de production'!AI82</f>
        <v>52.16867285686034</v>
      </c>
      <c r="W19" s="133">
        <f t="shared" si="2"/>
        <v>349.59856289293748</v>
      </c>
      <c r="X19" s="132">
        <f>'Inputs - Tables de production'!AI135</f>
        <v>34.653954915226393</v>
      </c>
      <c r="Y19" s="133">
        <f t="shared" si="3"/>
        <v>331.14779729147591</v>
      </c>
      <c r="Z19" s="132">
        <f>'Inputs - Tables de production'!AI188</f>
        <v>21.162315977409818</v>
      </c>
      <c r="AA19" s="133">
        <f t="shared" si="4"/>
        <v>316.76658193157806</v>
      </c>
      <c r="AC19" s="18"/>
      <c r="AF19" s="15">
        <v>8</v>
      </c>
      <c r="AG19" s="15">
        <f>'Inputs - Tables de production'!AN27</f>
        <v>80.671999999999997</v>
      </c>
      <c r="AH19" s="16">
        <f t="shared" si="7"/>
        <v>25.67869513821876</v>
      </c>
      <c r="AI19" s="151">
        <v>10</v>
      </c>
      <c r="AJ19" s="149">
        <f t="shared" si="9"/>
        <v>0.25687241007960759</v>
      </c>
      <c r="AK19" s="150">
        <f>AJ19*Répartition!$K$23</f>
        <v>40.339822146304577</v>
      </c>
      <c r="AL19" s="124">
        <f t="shared" si="8"/>
        <v>344.02914394134024</v>
      </c>
      <c r="AX19" s="15">
        <v>50</v>
      </c>
      <c r="AY19" s="15">
        <v>616</v>
      </c>
      <c r="BA19" s="15">
        <v>50</v>
      </c>
      <c r="BB19" s="15">
        <v>590</v>
      </c>
      <c r="BD19" s="15">
        <v>50</v>
      </c>
      <c r="BE19" s="15">
        <v>563</v>
      </c>
    </row>
    <row r="20" spans="1:57" x14ac:dyDescent="0.25">
      <c r="A20" s="15">
        <v>9</v>
      </c>
      <c r="B20" s="15">
        <v>0</v>
      </c>
      <c r="C20" s="124">
        <f t="shared" si="0"/>
        <v>0</v>
      </c>
      <c r="E20" s="15">
        <v>9</v>
      </c>
      <c r="F20" s="15">
        <f t="shared" si="5"/>
        <v>9</v>
      </c>
      <c r="G20" s="124">
        <f t="shared" si="6"/>
        <v>308.42893491111971</v>
      </c>
      <c r="J20" s="15">
        <f>'Inputs - Tables de production'!T48</f>
        <v>115</v>
      </c>
      <c r="K20" s="16">
        <f>'Inputs - Tables de production'!X48</f>
        <v>305</v>
      </c>
      <c r="M20" s="16">
        <f>'Inputs - Tables de production'!T67</f>
        <v>128</v>
      </c>
      <c r="N20" s="16">
        <f>'Inputs - Tables de production'!X67</f>
        <v>258</v>
      </c>
      <c r="P20" s="16">
        <f>'Inputs - Tables de production'!T85</f>
        <v>149</v>
      </c>
      <c r="Q20" s="16">
        <f>'Inputs - Tables de production'!X85</f>
        <v>220</v>
      </c>
      <c r="S20" s="129">
        <v>9</v>
      </c>
      <c r="T20" s="132">
        <f>'Inputs - Tables de production'!AI29</f>
        <v>105.70878463772762</v>
      </c>
      <c r="U20" s="133">
        <f t="shared" si="1"/>
        <v>405.17450155115273</v>
      </c>
      <c r="V20" s="132">
        <f>'Inputs - Tables de production'!AI83</f>
        <v>72.519945538840915</v>
      </c>
      <c r="W20" s="133">
        <f t="shared" si="2"/>
        <v>370.83886141443185</v>
      </c>
      <c r="X20" s="132">
        <f>'Inputs - Tables de production'!AI136</f>
        <v>48.162325335296153</v>
      </c>
      <c r="Y20" s="133">
        <f t="shared" si="3"/>
        <v>345.39460163751704</v>
      </c>
      <c r="Z20" s="132">
        <f>'Inputs - Tables de production'!AI189</f>
        <v>29.417427833117028</v>
      </c>
      <c r="AA20" s="133">
        <f t="shared" si="4"/>
        <v>325.58808590114108</v>
      </c>
      <c r="AC20" s="18"/>
      <c r="AF20" s="15">
        <v>9</v>
      </c>
      <c r="AG20" s="15">
        <f>'Inputs - Tables de production'!AN28</f>
        <v>90.558000000000007</v>
      </c>
      <c r="AH20" s="16">
        <f t="shared" si="7"/>
        <v>28.825506673031718</v>
      </c>
      <c r="AI20" s="151">
        <v>10</v>
      </c>
      <c r="AJ20" s="149">
        <f t="shared" si="9"/>
        <v>0.32368714892875433</v>
      </c>
      <c r="AK20" s="150">
        <f>AJ20*Répartition!$K$23</f>
        <v>50.832559303600156</v>
      </c>
      <c r="AL20" s="124">
        <f t="shared" si="8"/>
        <v>356.80285681604897</v>
      </c>
      <c r="AX20" s="15">
        <v>55</v>
      </c>
      <c r="AY20" s="15">
        <v>639</v>
      </c>
      <c r="BA20" s="15">
        <v>55</v>
      </c>
      <c r="BB20" s="15">
        <v>608</v>
      </c>
      <c r="BD20" s="15">
        <v>55</v>
      </c>
      <c r="BE20" s="15">
        <v>583</v>
      </c>
    </row>
    <row r="21" spans="1:57" x14ac:dyDescent="0.25">
      <c r="A21" s="15">
        <v>10</v>
      </c>
      <c r="B21" s="15">
        <v>0</v>
      </c>
      <c r="C21" s="124">
        <f t="shared" si="0"/>
        <v>0</v>
      </c>
      <c r="E21" s="15">
        <v>10</v>
      </c>
      <c r="F21" s="15">
        <f t="shared" si="5"/>
        <v>10</v>
      </c>
      <c r="G21" s="124">
        <f t="shared" si="6"/>
        <v>310.05080771016441</v>
      </c>
      <c r="J21" s="15">
        <f>'Inputs - Tables de production'!T49</f>
        <v>125</v>
      </c>
      <c r="K21" s="16">
        <f>'Inputs - Tables de production'!X49</f>
        <v>326</v>
      </c>
      <c r="M21" s="16">
        <f>'Inputs - Tables de production'!T68</f>
        <v>138</v>
      </c>
      <c r="N21" s="16">
        <f>'Inputs - Tables de production'!X68</f>
        <v>276</v>
      </c>
      <c r="P21" s="16">
        <f>'Inputs - Tables de production'!T86</f>
        <v>164</v>
      </c>
      <c r="Q21" s="16">
        <f>'Inputs - Tables de production'!X86</f>
        <v>244</v>
      </c>
      <c r="S21" s="129">
        <v>10</v>
      </c>
      <c r="T21" s="132">
        <f>'Inputs - Tables de production'!AI30</f>
        <v>141.50364041500768</v>
      </c>
      <c r="U21" s="133">
        <f t="shared" si="1"/>
        <v>441.9150805860657</v>
      </c>
      <c r="V21" s="132">
        <f>'Inputs - Tables de production'!AI84</f>
        <v>97.102426898459171</v>
      </c>
      <c r="W21" s="133">
        <f t="shared" si="2"/>
        <v>396.29982553638496</v>
      </c>
      <c r="X21" s="132">
        <f>'Inputs - Tables de production'!AI137</f>
        <v>64.474119971203422</v>
      </c>
      <c r="Y21" s="133">
        <f t="shared" si="3"/>
        <v>362.46220309012909</v>
      </c>
      <c r="Z21" s="132">
        <f>'Inputs - Tables de production'!AI190</f>
        <v>39.388664284933306</v>
      </c>
      <c r="AA21" s="133">
        <f t="shared" si="4"/>
        <v>336.15543705822563</v>
      </c>
      <c r="AC21" s="18"/>
      <c r="AF21" s="15">
        <v>10</v>
      </c>
      <c r="AG21" s="15">
        <f>'Inputs - Tables de production'!AN29</f>
        <v>100.134</v>
      </c>
      <c r="AH21" s="16">
        <f t="shared" si="7"/>
        <v>31.873642143127697</v>
      </c>
      <c r="AI21" s="151">
        <v>10</v>
      </c>
      <c r="AJ21" s="149">
        <f t="shared" si="9"/>
        <v>0.39576277501263363</v>
      </c>
      <c r="AK21" s="150">
        <f>AJ21*Répartition!$K$23</f>
        <v>62.151478047758673</v>
      </c>
      <c r="AL21" s="124">
        <f t="shared" si="8"/>
        <v>370.50778275972192</v>
      </c>
      <c r="AX21" s="15">
        <v>60</v>
      </c>
      <c r="AY21" s="15">
        <v>659</v>
      </c>
      <c r="BA21" s="15">
        <v>60</v>
      </c>
      <c r="BB21" s="15">
        <v>626</v>
      </c>
      <c r="BD21" s="15">
        <v>60</v>
      </c>
      <c r="BE21" s="15">
        <v>597</v>
      </c>
    </row>
    <row r="22" spans="1:57" x14ac:dyDescent="0.25">
      <c r="A22" s="15">
        <v>11</v>
      </c>
      <c r="B22" s="15">
        <v>0</v>
      </c>
      <c r="C22" s="124">
        <f t="shared" si="0"/>
        <v>0</v>
      </c>
      <c r="E22" s="15">
        <v>11</v>
      </c>
      <c r="F22" s="15">
        <f t="shared" si="5"/>
        <v>11</v>
      </c>
      <c r="G22" s="124">
        <f t="shared" si="6"/>
        <v>311.6680523616061</v>
      </c>
      <c r="J22" s="15">
        <f>'Inputs - Tables de production'!T50</f>
        <v>135</v>
      </c>
      <c r="K22" s="16">
        <f>'Inputs - Tables de production'!X50</f>
        <v>343</v>
      </c>
      <c r="M22" s="16">
        <f>'Inputs - Tables de production'!T69</f>
        <v>148</v>
      </c>
      <c r="N22" s="16">
        <f>'Inputs - Tables de production'!X69</f>
        <v>293</v>
      </c>
      <c r="P22" s="16">
        <f>'Inputs - Tables de production'!T87</f>
        <v>179</v>
      </c>
      <c r="Q22" s="16">
        <f>'Inputs - Tables de production'!X87</f>
        <v>266</v>
      </c>
      <c r="S22" s="129">
        <v>11</v>
      </c>
      <c r="T22" s="132">
        <f>'Inputs - Tables de production'!AI31</f>
        <v>183.75370392721163</v>
      </c>
      <c r="U22" s="133">
        <f t="shared" si="1"/>
        <v>485.00464697137141</v>
      </c>
      <c r="V22" s="132">
        <f>'Inputs - Tables de production'!AI85</f>
        <v>126.12948760795297</v>
      </c>
      <c r="W22" s="133">
        <f t="shared" si="2"/>
        <v>426.165337495046</v>
      </c>
      <c r="X22" s="132">
        <f>'Inputs - Tables de production'!AI138</f>
        <v>83.728958033891701</v>
      </c>
      <c r="Y22" s="133">
        <f t="shared" si="3"/>
        <v>382.47096921030936</v>
      </c>
      <c r="Z22" s="132">
        <f>'Inputs - Tables de production'!AI191</f>
        <v>51.162513460042348</v>
      </c>
      <c r="AA22" s="133">
        <f t="shared" si="4"/>
        <v>348.54357692054793</v>
      </c>
      <c r="AC22" s="18"/>
      <c r="AF22" s="15">
        <v>11</v>
      </c>
      <c r="AG22" s="15">
        <f>'Inputs - Tables de production'!AN30</f>
        <v>109.32020000000001</v>
      </c>
      <c r="AH22" s="16">
        <f t="shared" si="7"/>
        <v>34.797700419589241</v>
      </c>
      <c r="AI22" s="151">
        <v>10</v>
      </c>
      <c r="AJ22" s="149">
        <f t="shared" si="9"/>
        <v>0.47170735460678792</v>
      </c>
      <c r="AK22" s="150">
        <f>AJ22*Répartition!$K$23</f>
        <v>74.077985969939235</v>
      </c>
      <c r="AL22" s="124">
        <f t="shared" si="8"/>
        <v>384.88145846298499</v>
      </c>
      <c r="AX22" s="15">
        <v>65</v>
      </c>
      <c r="AY22" s="15">
        <v>671</v>
      </c>
      <c r="BA22" s="15">
        <v>65</v>
      </c>
      <c r="BB22" s="15">
        <v>646</v>
      </c>
      <c r="BD22" s="15">
        <v>65</v>
      </c>
      <c r="BE22" s="15">
        <v>612</v>
      </c>
    </row>
    <row r="23" spans="1:57" x14ac:dyDescent="0.25">
      <c r="A23" s="15">
        <v>12</v>
      </c>
      <c r="B23" s="15">
        <v>0</v>
      </c>
      <c r="C23" s="124">
        <f t="shared" si="0"/>
        <v>0</v>
      </c>
      <c r="E23" s="15">
        <v>12</v>
      </c>
      <c r="F23" s="15">
        <f t="shared" si="5"/>
        <v>12</v>
      </c>
      <c r="G23" s="124">
        <f t="shared" si="6"/>
        <v>313.28113745583761</v>
      </c>
      <c r="J23" s="15">
        <f>'Inputs - Tables de production'!T51</f>
        <v>145</v>
      </c>
      <c r="K23" s="16">
        <f>'Inputs - Tables de production'!X51</f>
        <v>367</v>
      </c>
      <c r="M23" s="16">
        <f>'Inputs - Tables de production'!T70</f>
        <v>158</v>
      </c>
      <c r="N23" s="16">
        <f>'Inputs - Tables de production'!X70</f>
        <v>310</v>
      </c>
      <c r="P23" s="16">
        <f>'Inputs - Tables de production'!T88</f>
        <v>190</v>
      </c>
      <c r="Q23" s="16">
        <f>'Inputs - Tables de production'!X88</f>
        <v>323</v>
      </c>
      <c r="S23" s="129">
        <v>12</v>
      </c>
      <c r="T23" s="132">
        <f>'Inputs - Tables de production'!AI32</f>
        <v>232.70022460886929</v>
      </c>
      <c r="U23" s="133">
        <f t="shared" si="1"/>
        <v>534.64368270038904</v>
      </c>
      <c r="V23" s="132">
        <f>'Inputs - Tables de production'!AI86</f>
        <v>159.77080410278862</v>
      </c>
      <c r="W23" s="133">
        <f t="shared" si="2"/>
        <v>460.57707194259285</v>
      </c>
      <c r="X23" s="132">
        <f>'Inputs - Tables de production'!AI139</f>
        <v>106.0372612376061</v>
      </c>
      <c r="Y23" s="133">
        <f t="shared" si="3"/>
        <v>405.51286672017358</v>
      </c>
      <c r="Z23" s="132">
        <f>'Inputs - Tables de production'!AI192</f>
        <v>64.807739281542965</v>
      </c>
      <c r="AA23" s="133">
        <f t="shared" si="4"/>
        <v>362.81003718636515</v>
      </c>
      <c r="AC23" s="18"/>
      <c r="AF23" s="15">
        <v>12</v>
      </c>
      <c r="AG23" s="15">
        <f>'Inputs - Tables de production'!AN31</f>
        <v>118.03680000000001</v>
      </c>
      <c r="AH23" s="16">
        <f t="shared" si="7"/>
        <v>37.57228037349887</v>
      </c>
      <c r="AI23" s="151">
        <v>10</v>
      </c>
      <c r="AJ23" s="149">
        <f t="shared" si="9"/>
        <v>0.5499290562548359</v>
      </c>
      <c r="AK23" s="150">
        <f>AJ23*Répartition!$K$23</f>
        <v>86.362098271005934</v>
      </c>
      <c r="AL23" s="124">
        <f t="shared" si="8"/>
        <v>399.62709124307878</v>
      </c>
    </row>
    <row r="24" spans="1:57" x14ac:dyDescent="0.25">
      <c r="A24" s="15">
        <v>13</v>
      </c>
      <c r="B24" s="15">
        <v>0</v>
      </c>
      <c r="C24" s="124">
        <f t="shared" si="0"/>
        <v>0</v>
      </c>
      <c r="E24" s="15">
        <v>13</v>
      </c>
      <c r="F24" s="15">
        <f t="shared" si="5"/>
        <v>13</v>
      </c>
      <c r="G24" s="124">
        <f t="shared" si="6"/>
        <v>314.89044903135255</v>
      </c>
      <c r="J24" s="15">
        <f>'Inputs - Tables de production'!T52</f>
        <v>155</v>
      </c>
      <c r="K24" s="16">
        <f>'Inputs - Tables de production'!X52</f>
        <v>384</v>
      </c>
      <c r="M24" s="16">
        <f>'Inputs - Tables de production'!T71</f>
        <v>168</v>
      </c>
      <c r="N24" s="16">
        <f>'Inputs - Tables de production'!X71</f>
        <v>328</v>
      </c>
      <c r="S24" s="129">
        <v>13</v>
      </c>
      <c r="T24" s="132">
        <f>'Inputs - Tables de production'!AI33</f>
        <v>288.52329353964137</v>
      </c>
      <c r="U24" s="133">
        <f t="shared" si="1"/>
        <v>590.9745478693842</v>
      </c>
      <c r="V24" s="132">
        <f>'Inputs - Tables de production'!AI87</f>
        <v>198.1543799795466</v>
      </c>
      <c r="W24" s="133">
        <f t="shared" si="2"/>
        <v>499.63683331141056</v>
      </c>
      <c r="X24" s="132">
        <f>'Inputs - Tables de production'!AI140</f>
        <v>131.48161940655896</v>
      </c>
      <c r="Y24" s="133">
        <f t="shared" si="3"/>
        <v>431.65305825229689</v>
      </c>
      <c r="Z24" s="132">
        <f>'Inputs - Tables de production'!AI193</f>
        <v>80.376203315643934</v>
      </c>
      <c r="AA24" s="133">
        <f t="shared" si="4"/>
        <v>378.99592032811881</v>
      </c>
      <c r="AC24" s="17"/>
      <c r="AF24" s="15">
        <v>13</v>
      </c>
      <c r="AG24" s="15">
        <f>'Inputs - Tables de production'!AN32</f>
        <v>126.20400000000001</v>
      </c>
      <c r="AH24" s="16">
        <f t="shared" si="7"/>
        <v>40.17198087593912</v>
      </c>
      <c r="AI24" s="151">
        <v>11</v>
      </c>
      <c r="AJ24" s="149">
        <f t="shared" si="9"/>
        <v>0.69152954159730162</v>
      </c>
      <c r="AK24" s="150">
        <f>AJ24*Répartition!$K$23</f>
        <v>108.59935758887202</v>
      </c>
      <c r="AL24" s="124">
        <f t="shared" si="8"/>
        <v>426.19674564415925</v>
      </c>
    </row>
    <row r="25" spans="1:57" x14ac:dyDescent="0.25">
      <c r="A25" s="15">
        <v>14</v>
      </c>
      <c r="B25" s="15">
        <v>0</v>
      </c>
      <c r="C25" s="124">
        <f t="shared" si="0"/>
        <v>0</v>
      </c>
      <c r="E25" s="15">
        <v>14</v>
      </c>
      <c r="F25" s="15">
        <f t="shared" si="5"/>
        <v>14</v>
      </c>
      <c r="G25" s="124">
        <f t="shared" si="6"/>
        <v>316.49631036234257</v>
      </c>
      <c r="J25" s="15">
        <f>'Inputs - Tables de production'!T53</f>
        <v>165</v>
      </c>
      <c r="K25" s="16">
        <f>'Inputs - Tables de production'!X53</f>
        <v>407</v>
      </c>
      <c r="M25" s="16">
        <f>'Inputs - Tables de production'!T72</f>
        <v>180</v>
      </c>
      <c r="N25" s="16">
        <f>'Inputs - Tables de production'!X72</f>
        <v>368</v>
      </c>
      <c r="S25" s="129">
        <v>14</v>
      </c>
      <c r="T25" s="132">
        <f>'Inputs - Tables de production'!AI34</f>
        <v>351.34480242554287</v>
      </c>
      <c r="U25" s="133">
        <f t="shared" si="1"/>
        <v>654.08472705588133</v>
      </c>
      <c r="V25" s="132">
        <f>'Inputs - Tables de production'!AI88</f>
        <v>241.36853389854696</v>
      </c>
      <c r="W25" s="133">
        <f t="shared" si="2"/>
        <v>543.40876844954767</v>
      </c>
      <c r="X25" s="132">
        <f>'Inputs - Tables de production'!AI141</f>
        <v>160.11813322400678</v>
      </c>
      <c r="Y25" s="133">
        <f t="shared" si="3"/>
        <v>460.93141228174193</v>
      </c>
      <c r="Z25" s="132">
        <f>'Inputs - Tables de production'!AI194</f>
        <v>97.903672958600168</v>
      </c>
      <c r="AA25" s="133">
        <f t="shared" si="4"/>
        <v>397.1268251366418</v>
      </c>
      <c r="AC25" s="17"/>
      <c r="AF25" s="15">
        <v>14</v>
      </c>
      <c r="AG25" s="15">
        <f>'Inputs - Tables de production'!AN33</f>
        <v>133.74199999999999</v>
      </c>
      <c r="AH25" s="16">
        <f t="shared" si="7"/>
        <v>42.571400797992531</v>
      </c>
      <c r="AI25" s="151">
        <v>11</v>
      </c>
      <c r="AJ25" s="149">
        <f t="shared" si="9"/>
        <v>0.77660489654562592</v>
      </c>
      <c r="AK25" s="150">
        <f>AJ25*Répartition!$K$23</f>
        <v>121.95978304906662</v>
      </c>
      <c r="AL25" s="124">
        <f t="shared" si="8"/>
        <v>442.09646928897337</v>
      </c>
    </row>
    <row r="26" spans="1:57" x14ac:dyDescent="0.25">
      <c r="A26" s="15">
        <v>15</v>
      </c>
      <c r="B26" s="15">
        <v>0</v>
      </c>
      <c r="C26" s="124">
        <f t="shared" si="0"/>
        <v>0</v>
      </c>
      <c r="E26" s="15">
        <v>15</v>
      </c>
      <c r="F26" s="15">
        <f t="shared" si="5"/>
        <v>15</v>
      </c>
      <c r="G26" s="124">
        <f t="shared" si="6"/>
        <v>318.09899592408033</v>
      </c>
      <c r="J26" s="15">
        <f>'Inputs - Tables de production'!T54</f>
        <v>170</v>
      </c>
      <c r="K26" s="16">
        <f>'Inputs - Tables de production'!X54</f>
        <v>448</v>
      </c>
      <c r="S26" s="129">
        <v>15</v>
      </c>
      <c r="T26" s="132">
        <f>'Inputs - Tables de production'!AI35</f>
        <v>315.92351405312604</v>
      </c>
      <c r="U26" s="133">
        <f t="shared" si="1"/>
        <v>618.53372653945439</v>
      </c>
      <c r="V26" s="132">
        <f>'Inputs - Tables de production'!AI89</f>
        <v>217.09789049340995</v>
      </c>
      <c r="W26" s="133">
        <f t="shared" si="2"/>
        <v>518.84866412870099</v>
      </c>
      <c r="X26" s="132">
        <f>'Inputs - Tables de production'!AI142</f>
        <v>143.98330059280372</v>
      </c>
      <c r="Y26" s="133">
        <f t="shared" si="3"/>
        <v>444.45146087898513</v>
      </c>
      <c r="Z26" s="132">
        <f>'Inputs - Tables de production'!AI195</f>
        <v>88.057961972542742</v>
      </c>
      <c r="AA26" s="133">
        <f t="shared" si="4"/>
        <v>386.95287164227932</v>
      </c>
      <c r="AF26" s="15">
        <v>15</v>
      </c>
      <c r="AG26" s="15">
        <f>'Inputs - Tables de production'!AN34</f>
        <v>140.571</v>
      </c>
      <c r="AH26" s="16">
        <f t="shared" si="7"/>
        <v>44.745139010741639</v>
      </c>
      <c r="AI26" s="151">
        <v>11</v>
      </c>
      <c r="AJ26" s="149">
        <f t="shared" si="9"/>
        <v>0.85793812285389048</v>
      </c>
      <c r="AK26" s="150">
        <f>AJ26*Répartition!$K$23</f>
        <v>134.73253619466027</v>
      </c>
      <c r="AL26" s="124">
        <f t="shared" si="8"/>
        <v>457.25883662772401</v>
      </c>
    </row>
    <row r="27" spans="1:57" x14ac:dyDescent="0.25">
      <c r="A27" s="15">
        <v>16</v>
      </c>
      <c r="B27" s="15">
        <v>0</v>
      </c>
      <c r="C27" s="124">
        <f t="shared" si="0"/>
        <v>0</v>
      </c>
      <c r="E27" s="15">
        <v>16</v>
      </c>
      <c r="F27" s="15">
        <f t="shared" si="5"/>
        <v>16</v>
      </c>
      <c r="G27" s="124">
        <f t="shared" si="6"/>
        <v>319.69874152469112</v>
      </c>
      <c r="S27" s="129">
        <v>16</v>
      </c>
      <c r="T27" s="132">
        <f>'Inputs - Tables de production'!AI36</f>
        <v>373.64783275543914</v>
      </c>
      <c r="U27" s="133">
        <f t="shared" si="1"/>
        <v>676.42959179972252</v>
      </c>
      <c r="V27" s="132">
        <f>'Inputs - Tables de production'!AI90</f>
        <v>256.84133907913241</v>
      </c>
      <c r="W27" s="133">
        <f t="shared" si="2"/>
        <v>559.03718088184849</v>
      </c>
      <c r="X27" s="132">
        <f>'Inputs - Tables de production'!AI143</f>
        <v>170.30061099298064</v>
      </c>
      <c r="Y27" s="133">
        <f t="shared" si="3"/>
        <v>471.31175230910446</v>
      </c>
      <c r="Z27" s="132">
        <f>'Inputs - Tables de production'!AI196</f>
        <v>104.1772359796024</v>
      </c>
      <c r="AA27" s="133">
        <f t="shared" si="4"/>
        <v>403.59651341140614</v>
      </c>
      <c r="AF27" s="15">
        <v>16</v>
      </c>
      <c r="AG27" s="15">
        <f>'Inputs - Tables de production'!AN35</f>
        <v>146.6112</v>
      </c>
      <c r="AH27" s="16">
        <f t="shared" si="7"/>
        <v>46.667794385268969</v>
      </c>
      <c r="AI27" s="151">
        <v>11</v>
      </c>
      <c r="AJ27" s="149">
        <f t="shared" si="9"/>
        <v>0.93325171025461717</v>
      </c>
      <c r="AK27" s="150">
        <f>AJ27*Répartition!$K$23</f>
        <v>146.55995168083075</v>
      </c>
      <c r="AL27" s="124">
        <f t="shared" si="8"/>
        <v>471.26937011487678</v>
      </c>
    </row>
    <row r="28" spans="1:57" x14ac:dyDescent="0.25">
      <c r="A28" s="15">
        <v>17</v>
      </c>
      <c r="B28" s="15">
        <v>0</v>
      </c>
      <c r="C28" s="124">
        <f t="shared" si="0"/>
        <v>0</v>
      </c>
      <c r="E28" s="15">
        <v>17</v>
      </c>
      <c r="F28" s="15">
        <f t="shared" si="5"/>
        <v>17</v>
      </c>
      <c r="G28" s="124">
        <f t="shared" si="6"/>
        <v>321.29575183029471</v>
      </c>
      <c r="S28" s="129">
        <v>17</v>
      </c>
      <c r="T28" s="132">
        <f>'Inputs - Tables de production'!AI37</f>
        <v>436.6549647104253</v>
      </c>
      <c r="U28" s="133">
        <f t="shared" si="1"/>
        <v>739.40758857515061</v>
      </c>
      <c r="V28" s="132">
        <f>'Inputs - Tables de production'!AI91</f>
        <v>300.24238841708836</v>
      </c>
      <c r="W28" s="133">
        <f t="shared" si="2"/>
        <v>602.76827331156346</v>
      </c>
      <c r="X28" s="132">
        <f>'Inputs - Tables de production'!AI144</f>
        <v>199.0288770027588</v>
      </c>
      <c r="Y28" s="133">
        <f t="shared" si="3"/>
        <v>500.52459717217835</v>
      </c>
      <c r="Z28" s="132">
        <f>'Inputs - Tables de production'!AI197</f>
        <v>121.77972479419873</v>
      </c>
      <c r="AA28" s="133">
        <f t="shared" si="4"/>
        <v>421.70135428595944</v>
      </c>
      <c r="AF28" s="15">
        <v>17</v>
      </c>
      <c r="AG28" s="15">
        <f>'Inputs - Tables de production'!AN36</f>
        <v>151.78280000000001</v>
      </c>
      <c r="AH28" s="16">
        <f t="shared" si="7"/>
        <v>48.313965792657065</v>
      </c>
      <c r="AI28" s="151">
        <v>12</v>
      </c>
      <c r="AJ28" s="149">
        <f t="shared" si="9"/>
        <v>1.0911844762585199</v>
      </c>
      <c r="AK28" s="150">
        <f>AJ28*Répartition!$K$23</f>
        <v>171.36206915890844</v>
      </c>
      <c r="AL28" s="124">
        <f t="shared" si="8"/>
        <v>500.56804761321155</v>
      </c>
    </row>
    <row r="29" spans="1:57" x14ac:dyDescent="0.25">
      <c r="A29" s="15">
        <v>18</v>
      </c>
      <c r="B29" s="15">
        <v>0</v>
      </c>
      <c r="C29" s="124">
        <f t="shared" si="0"/>
        <v>0</v>
      </c>
      <c r="E29" s="15">
        <v>18</v>
      </c>
      <c r="F29" s="15">
        <f t="shared" si="5"/>
        <v>18</v>
      </c>
      <c r="G29" s="124">
        <f t="shared" si="6"/>
        <v>322.8902060684394</v>
      </c>
      <c r="J29" s="17"/>
      <c r="S29" s="129">
        <v>18</v>
      </c>
      <c r="T29" s="132">
        <f>'Inputs - Tables de production'!AI38</f>
        <v>504.88316529586552</v>
      </c>
      <c r="U29" s="133">
        <f t="shared" si="1"/>
        <v>807.39018574650731</v>
      </c>
      <c r="V29" s="132">
        <f>'Inputs - Tables de production'!AI92</f>
        <v>347.26262953451339</v>
      </c>
      <c r="W29" s="133">
        <f t="shared" si="2"/>
        <v>649.99167619556363</v>
      </c>
      <c r="X29" s="132">
        <f>'Inputs - Tables de production'!AI145</f>
        <v>230.14043446595997</v>
      </c>
      <c r="Y29" s="133">
        <f t="shared" si="3"/>
        <v>532.05393996791861</v>
      </c>
      <c r="Z29" s="132">
        <f>'Inputs - Tables de production'!AI198</f>
        <v>140.84982795180628</v>
      </c>
      <c r="AA29" s="133">
        <f t="shared" si="4"/>
        <v>441.2461412233871</v>
      </c>
      <c r="AF29" s="15">
        <v>18</v>
      </c>
      <c r="AG29" s="15">
        <f>'Inputs - Tables de production'!AN37</f>
        <v>156.00600000000003</v>
      </c>
      <c r="AH29" s="16">
        <f t="shared" si="7"/>
        <v>49.65825210398846</v>
      </c>
      <c r="AI29" s="151">
        <v>12</v>
      </c>
      <c r="AJ29" s="149">
        <f t="shared" si="9"/>
        <v>1.1527514093269418</v>
      </c>
      <c r="AK29" s="150">
        <f>AJ29*Répartition!$K$23</f>
        <v>181.03067907035779</v>
      </c>
      <c r="AL29" s="124">
        <f t="shared" si="8"/>
        <v>511.96276999924908</v>
      </c>
    </row>
    <row r="30" spans="1:57" x14ac:dyDescent="0.25">
      <c r="A30" s="15">
        <v>19</v>
      </c>
      <c r="B30" s="15">
        <v>0</v>
      </c>
      <c r="C30" s="124">
        <f t="shared" si="0"/>
        <v>0</v>
      </c>
      <c r="E30" s="15">
        <v>19</v>
      </c>
      <c r="F30" s="15">
        <f t="shared" si="5"/>
        <v>19</v>
      </c>
      <c r="G30" s="124">
        <f t="shared" si="6"/>
        <v>324.48226242776997</v>
      </c>
      <c r="S30" s="129">
        <v>19</v>
      </c>
      <c r="T30" s="132">
        <f>'Inputs - Tables de production'!AI39</f>
        <v>578.23756830891807</v>
      </c>
      <c r="U30" s="133">
        <f t="shared" si="1"/>
        <v>880.26938052403671</v>
      </c>
      <c r="V30" s="132">
        <f>'Inputs - Tables de production'!AI93</f>
        <v>397.8409675696077</v>
      </c>
      <c r="W30" s="133">
        <f t="shared" si="2"/>
        <v>700.63614044667588</v>
      </c>
      <c r="X30" s="132">
        <f>'Inputs - Tables de production'!AI146</f>
        <v>263.59253053185563</v>
      </c>
      <c r="Y30" s="133">
        <f t="shared" si="3"/>
        <v>565.84969572651437</v>
      </c>
      <c r="Z30" s="132">
        <f>'Inputs - Tables de production'!AI199</f>
        <v>161.36275138353778</v>
      </c>
      <c r="AA30" s="133">
        <f t="shared" si="4"/>
        <v>462.20100954650877</v>
      </c>
      <c r="AF30" s="15">
        <v>19</v>
      </c>
      <c r="AG30" s="15">
        <f>'Inputs - Tables de production'!AN38</f>
        <v>159.20099999999999</v>
      </c>
      <c r="AH30" s="16">
        <f t="shared" si="7"/>
        <v>50.67525219034566</v>
      </c>
      <c r="AI30" s="151">
        <v>12</v>
      </c>
      <c r="AJ30" s="149">
        <f t="shared" si="9"/>
        <v>1.2004515626045367</v>
      </c>
      <c r="AK30" s="150">
        <f>AJ30*Répartition!$K$23</f>
        <v>188.52161863437445</v>
      </c>
      <c r="AL30" s="124">
        <f t="shared" si="8"/>
        <v>520.78162677248974</v>
      </c>
    </row>
    <row r="31" spans="1:57" ht="15.75" thickBot="1" x14ac:dyDescent="0.3">
      <c r="A31" s="15">
        <v>20</v>
      </c>
      <c r="B31" s="15">
        <v>0</v>
      </c>
      <c r="C31" s="124">
        <f t="shared" si="0"/>
        <v>0</v>
      </c>
      <c r="E31" s="15">
        <v>20</v>
      </c>
      <c r="F31" s="15">
        <f t="shared" si="5"/>
        <v>20</v>
      </c>
      <c r="G31" s="124">
        <f t="shared" si="6"/>
        <v>326.07206150502617</v>
      </c>
      <c r="S31" s="129">
        <v>20</v>
      </c>
      <c r="T31" s="132">
        <f>'Inputs - Tables de production'!AI40</f>
        <v>656.59217791004494</v>
      </c>
      <c r="U31" s="133">
        <f t="shared" si="1"/>
        <v>957.90866099564232</v>
      </c>
      <c r="V31" s="132">
        <f>'Inputs - Tables de production'!AI94</f>
        <v>451.8949619698339</v>
      </c>
      <c r="W31" s="133">
        <f t="shared" si="2"/>
        <v>754.61076552428983</v>
      </c>
      <c r="X31" s="132">
        <f>'Inputs - Tables de production'!AI147</f>
        <v>299.32822785782548</v>
      </c>
      <c r="Y31" s="133">
        <f t="shared" si="3"/>
        <v>601.84865557219143</v>
      </c>
      <c r="Z31" s="132">
        <f>'Inputs - Tables de production'!AI200</f>
        <v>183.28505208518311</v>
      </c>
      <c r="AA31" s="133">
        <f t="shared" si="4"/>
        <v>484.52803494888985</v>
      </c>
      <c r="AF31" s="15">
        <v>20</v>
      </c>
      <c r="AG31" s="15">
        <f>'Inputs - Tables de production'!AN39</f>
        <v>161.28800000000001</v>
      </c>
      <c r="AH31" s="16">
        <f t="shared" si="7"/>
        <v>51.339564922811235</v>
      </c>
      <c r="AI31" s="151">
        <v>13</v>
      </c>
      <c r="AJ31" s="149">
        <f t="shared" si="9"/>
        <v>1.334809466459985</v>
      </c>
      <c r="AK31" s="150">
        <f>AJ31*Répartition!$K$23</f>
        <v>209.62148663420894</v>
      </c>
      <c r="AL31" s="124">
        <f t="shared" si="8"/>
        <v>545.5808676638261</v>
      </c>
    </row>
    <row r="32" spans="1:57" ht="15.75" thickBot="1" x14ac:dyDescent="0.3">
      <c r="A32" s="15">
        <v>21</v>
      </c>
      <c r="B32" s="15">
        <v>0</v>
      </c>
      <c r="C32" s="124">
        <f t="shared" si="0"/>
        <v>0</v>
      </c>
      <c r="E32" s="15">
        <v>21</v>
      </c>
      <c r="F32" s="15">
        <f t="shared" si="5"/>
        <v>21</v>
      </c>
      <c r="G32" s="124">
        <f t="shared" si="6"/>
        <v>327.65972904304988</v>
      </c>
      <c r="S32" s="129">
        <v>21</v>
      </c>
      <c r="T32" s="132">
        <f>'Inputs - Tables de production'!AI41</f>
        <v>739.79182268494162</v>
      </c>
      <c r="U32" s="133">
        <f t="shared" si="1"/>
        <v>1040.1449116966194</v>
      </c>
      <c r="V32" s="132">
        <f>'Inputs - Tables de production'!AI95</f>
        <v>509.32214156876472</v>
      </c>
      <c r="W32" s="133">
        <f t="shared" si="2"/>
        <v>811.80629283662711</v>
      </c>
      <c r="X32" s="132">
        <f>'Inputs - Tables de production'!AI148</f>
        <v>337.27729166882489</v>
      </c>
      <c r="Y32" s="133">
        <f t="shared" si="3"/>
        <v>639.97536531089156</v>
      </c>
      <c r="Z32" s="132">
        <f>'Inputs - Tables de production'!AI201</f>
        <v>206.57517254105491</v>
      </c>
      <c r="AA32" s="133">
        <f t="shared" si="4"/>
        <v>508.18176879509065</v>
      </c>
      <c r="AF32" s="15">
        <v>21</v>
      </c>
      <c r="AG32" s="15">
        <f>'Inputs - Tables de production'!AN40</f>
        <v>162.18720000000002</v>
      </c>
      <c r="AH32" s="16">
        <f t="shared" si="7"/>
        <v>51.625789172467705</v>
      </c>
      <c r="AI32" s="151">
        <v>13</v>
      </c>
      <c r="AJ32" s="149">
        <f t="shared" si="9"/>
        <v>1.3497344016200641</v>
      </c>
      <c r="AK32" s="150">
        <f>AJ32*Répartition!$K$23</f>
        <v>211.96533208540447</v>
      </c>
      <c r="AL32" s="124">
        <f t="shared" si="8"/>
        <v>548.33212989473714</v>
      </c>
      <c r="AP32" s="360" t="s">
        <v>230</v>
      </c>
      <c r="AQ32" s="361"/>
      <c r="AS32" s="219" t="s">
        <v>316</v>
      </c>
    </row>
    <row r="33" spans="1:56" x14ac:dyDescent="0.25">
      <c r="A33" s="15">
        <v>22</v>
      </c>
      <c r="B33" s="15">
        <v>0</v>
      </c>
      <c r="C33" s="124">
        <f t="shared" si="0"/>
        <v>0</v>
      </c>
      <c r="E33" s="15">
        <v>22</v>
      </c>
      <c r="F33" s="15">
        <f t="shared" si="5"/>
        <v>22</v>
      </c>
      <c r="G33" s="124">
        <f t="shared" si="6"/>
        <v>329.2453781324906</v>
      </c>
      <c r="S33" s="129">
        <v>22</v>
      </c>
      <c r="T33" s="132">
        <f>'Inputs - Tables de production'!AI42</f>
        <v>827.65407182446666</v>
      </c>
      <c r="U33" s="133">
        <f t="shared" si="1"/>
        <v>1126.7902656632236</v>
      </c>
      <c r="V33" s="132">
        <f>'Inputs - Tables de production'!AI96</f>
        <v>570.00129454148953</v>
      </c>
      <c r="W33" s="133">
        <f t="shared" si="2"/>
        <v>872.09636260077116</v>
      </c>
      <c r="X33" s="132">
        <f>'Inputs - Tables de production'!AI149</f>
        <v>377.35705967366067</v>
      </c>
      <c r="Y33" s="133">
        <f t="shared" si="3"/>
        <v>680.14297876873172</v>
      </c>
      <c r="Z33" s="132">
        <f>'Inputs - Tables de production'!AI202</f>
        <v>231.18396490263987</v>
      </c>
      <c r="AA33" s="133">
        <f t="shared" si="4"/>
        <v>533.10975782787079</v>
      </c>
      <c r="AF33" s="15">
        <v>22</v>
      </c>
      <c r="AG33" s="15">
        <f>'Inputs - Tables de production'!AN41</f>
        <v>161.81880000000004</v>
      </c>
      <c r="AH33" s="16">
        <f t="shared" si="7"/>
        <v>51.508523810397598</v>
      </c>
      <c r="AI33" s="151">
        <v>14</v>
      </c>
      <c r="AJ33" s="149">
        <f t="shared" si="9"/>
        <v>1.4469642482168665</v>
      </c>
      <c r="AK33" s="150">
        <f>AJ33*Répartition!$K$23</f>
        <v>227.23452630447977</v>
      </c>
      <c r="AL33" s="124">
        <f t="shared" si="8"/>
        <v>566.23938994162722</v>
      </c>
      <c r="AO33" s="129" t="s">
        <v>7</v>
      </c>
      <c r="AP33" s="220" t="s">
        <v>233</v>
      </c>
      <c r="AQ33" s="221" t="s">
        <v>234</v>
      </c>
      <c r="AS33" s="15" t="s">
        <v>7</v>
      </c>
      <c r="AT33" s="15" t="s">
        <v>319</v>
      </c>
    </row>
    <row r="34" spans="1:56" x14ac:dyDescent="0.25">
      <c r="A34" s="15">
        <v>23</v>
      </c>
      <c r="B34" s="15">
        <v>0</v>
      </c>
      <c r="C34" s="124">
        <f t="shared" si="0"/>
        <v>0</v>
      </c>
      <c r="E34" s="15">
        <v>23</v>
      </c>
      <c r="F34" s="15">
        <f t="shared" si="5"/>
        <v>23</v>
      </c>
      <c r="G34" s="124">
        <f t="shared" si="6"/>
        <v>330.82911100188483</v>
      </c>
      <c r="S34" s="129">
        <v>23</v>
      </c>
      <c r="T34" s="132">
        <f>'Inputs - Tables de production'!AI43</f>
        <v>919.97111342257404</v>
      </c>
      <c r="U34" s="133">
        <f t="shared" si="1"/>
        <v>1217.6339057779664</v>
      </c>
      <c r="V34" s="132">
        <f>'Inputs - Tables de production'!AI97</f>
        <v>633.79373323857226</v>
      </c>
      <c r="W34" s="133">
        <f t="shared" si="2"/>
        <v>935.33873616069809</v>
      </c>
      <c r="X34" s="132">
        <f>'Inputs - Tables de production'!AI150</f>
        <v>419.4732948380763</v>
      </c>
      <c r="Y34" s="133">
        <f t="shared" si="3"/>
        <v>722.25408728149318</v>
      </c>
      <c r="Z34" s="132">
        <f>'Inputs - Tables de production'!AI203</f>
        <v>257.05520492205648</v>
      </c>
      <c r="AA34" s="133">
        <f t="shared" si="4"/>
        <v>559.25304918408187</v>
      </c>
      <c r="AF34" s="15">
        <v>23</v>
      </c>
      <c r="AG34" s="15">
        <f>'Inputs - Tables de production'!AN42</f>
        <v>160.10300000000001</v>
      </c>
      <c r="AH34" s="16">
        <f t="shared" si="7"/>
        <v>50.962367707683441</v>
      </c>
      <c r="AI34" s="151">
        <v>14</v>
      </c>
      <c r="AJ34" s="149">
        <f t="shared" si="9"/>
        <v>1.4164419733531231</v>
      </c>
      <c r="AK34" s="150">
        <f>AJ34*Répartition!$K$23</f>
        <v>222.44123947728625</v>
      </c>
      <c r="AL34" s="124">
        <f t="shared" si="8"/>
        <v>560.62090321801827</v>
      </c>
      <c r="AO34" s="129">
        <v>1</v>
      </c>
      <c r="AP34" s="222">
        <v>0</v>
      </c>
      <c r="AQ34" s="124">
        <f>IF(AP34&gt;0,(((AP34*AP$3*AP$4) +EXP(-1.0587+(0.8836*LN(AP34*AP$3*AP$4))+0.284))*0.475+70+10)*(44/12),0)</f>
        <v>0</v>
      </c>
      <c r="AS34" s="15">
        <v>0</v>
      </c>
      <c r="AT34" s="15">
        <v>0</v>
      </c>
    </row>
    <row r="35" spans="1:56" x14ac:dyDescent="0.25">
      <c r="A35" s="15">
        <v>24</v>
      </c>
      <c r="B35" s="15">
        <v>0</v>
      </c>
      <c r="C35" s="124">
        <f t="shared" si="0"/>
        <v>0</v>
      </c>
      <c r="E35" s="15">
        <v>24</v>
      </c>
      <c r="F35" s="15">
        <f t="shared" si="5"/>
        <v>24</v>
      </c>
      <c r="G35" s="124">
        <f t="shared" si="6"/>
        <v>332.4110204876331</v>
      </c>
      <c r="S35" s="129">
        <v>24</v>
      </c>
      <c r="T35" s="132">
        <f>'Inputs - Tables de production'!AI44</f>
        <v>1016.5115948922463</v>
      </c>
      <c r="U35" s="133">
        <f t="shared" si="1"/>
        <v>1312.4438177103455</v>
      </c>
      <c r="V35" s="132">
        <f>'Inputs - Tables de production'!AI98</f>
        <v>700.54453389856474</v>
      </c>
      <c r="W35" s="133">
        <f t="shared" si="2"/>
        <v>1001.3764854040986</v>
      </c>
      <c r="X35" s="132">
        <f>'Inputs - Tables de production'!AI151</f>
        <v>463.52102101464368</v>
      </c>
      <c r="Y35" s="133">
        <f t="shared" si="3"/>
        <v>766.20152648391468</v>
      </c>
      <c r="Z35" s="132">
        <f>'Inputs - Tables de production'!AI204</f>
        <v>284.12609564031897</v>
      </c>
      <c r="AA35" s="133">
        <f t="shared" si="4"/>
        <v>586.54668145894254</v>
      </c>
      <c r="AF35" s="356" t="s">
        <v>254</v>
      </c>
      <c r="AG35" s="356"/>
      <c r="AH35" s="356"/>
      <c r="AI35" s="356"/>
      <c r="AJ35" s="356"/>
      <c r="AK35" s="356"/>
      <c r="AL35" s="152">
        <f>SUM(AL12:AL34)</f>
        <v>9559.9873441933523</v>
      </c>
      <c r="AO35" s="129">
        <v>2</v>
      </c>
      <c r="AP35" s="222">
        <v>0</v>
      </c>
      <c r="AQ35" s="124">
        <f t="shared" ref="AQ35:AQ83" si="10">IF(AP35&gt;0,(((AP35*AP$3*AP$4) +EXP(-1.0587+(0.8836*LN(AP35*AP$3*AP$4))+0.284))*0.475+70+10)*(44/12),0)</f>
        <v>0</v>
      </c>
      <c r="AS35" s="15">
        <v>18.9140271493212</v>
      </c>
      <c r="AT35" s="15">
        <v>8.8925081433224293E-2</v>
      </c>
    </row>
    <row r="36" spans="1:56" x14ac:dyDescent="0.25">
      <c r="A36" s="15">
        <v>25</v>
      </c>
      <c r="B36" s="15">
        <v>0</v>
      </c>
      <c r="C36" s="124">
        <f t="shared" si="0"/>
        <v>0</v>
      </c>
      <c r="E36" s="15">
        <v>25</v>
      </c>
      <c r="F36" s="15">
        <f t="shared" si="5"/>
        <v>25</v>
      </c>
      <c r="G36" s="124">
        <f t="shared" si="6"/>
        <v>333.99119125207693</v>
      </c>
      <c r="S36" s="129">
        <v>25</v>
      </c>
      <c r="T36" s="132">
        <f>'Inputs - Tables de production'!AI45</f>
        <v>837.76681912457275</v>
      </c>
      <c r="U36" s="133">
        <f t="shared" si="1"/>
        <v>1136.7509207467695</v>
      </c>
      <c r="V36" s="132">
        <f>'Inputs - Tables de production'!AI99</f>
        <v>577.56281342930674</v>
      </c>
      <c r="W36" s="133">
        <f t="shared" si="2"/>
        <v>879.59989752624233</v>
      </c>
      <c r="X36" s="132">
        <f>'Inputs - Tables de production'!AI152</f>
        <v>382.03900607209977</v>
      </c>
      <c r="Y36" s="133">
        <f t="shared" si="3"/>
        <v>684.82907178351968</v>
      </c>
      <c r="Z36" s="132">
        <f>'Inputs - Tables de production'!AI205</f>
        <v>234.24582062280606</v>
      </c>
      <c r="AA36" s="133">
        <f t="shared" si="4"/>
        <v>536.20705724323318</v>
      </c>
      <c r="AO36" s="129">
        <v>3</v>
      </c>
      <c r="AP36" s="222">
        <v>0</v>
      </c>
      <c r="AQ36" s="124">
        <f t="shared" si="10"/>
        <v>0</v>
      </c>
      <c r="AS36" s="15">
        <v>25.7013574660633</v>
      </c>
      <c r="AT36" s="15">
        <v>0.178827361563517</v>
      </c>
    </row>
    <row r="37" spans="1:56" x14ac:dyDescent="0.25">
      <c r="A37" s="15">
        <v>26</v>
      </c>
      <c r="B37" s="15">
        <v>0</v>
      </c>
      <c r="C37" s="124">
        <f t="shared" si="0"/>
        <v>0</v>
      </c>
      <c r="E37" s="15">
        <v>26</v>
      </c>
      <c r="F37" s="15">
        <f t="shared" si="5"/>
        <v>26</v>
      </c>
      <c r="G37" s="124">
        <f t="shared" si="6"/>
        <v>335.56970080119794</v>
      </c>
      <c r="S37" s="129">
        <v>26</v>
      </c>
      <c r="T37" s="132">
        <f>'Inputs - Tables de production'!AI46</f>
        <v>915.92290576122957</v>
      </c>
      <c r="U37" s="133">
        <f t="shared" si="1"/>
        <v>1213.6541792951118</v>
      </c>
      <c r="V37" s="132">
        <f>'Inputs - Tables de production'!AI100</f>
        <v>631.67070594479537</v>
      </c>
      <c r="W37" s="133">
        <f t="shared" si="2"/>
        <v>933.23616449382689</v>
      </c>
      <c r="X37" s="132">
        <f>'Inputs - Tables de production'!AI153</f>
        <v>417.70668001926606</v>
      </c>
      <c r="Y37" s="133">
        <f t="shared" si="3"/>
        <v>720.4895430249021</v>
      </c>
      <c r="Z37" s="132">
        <f>'Inputs - Tables de production'!AI206</f>
        <v>256.18929614635931</v>
      </c>
      <c r="AA37" s="133">
        <f t="shared" si="4"/>
        <v>558.37900834412051</v>
      </c>
      <c r="AO37" s="129">
        <v>4</v>
      </c>
      <c r="AP37" s="222">
        <v>0</v>
      </c>
      <c r="AQ37" s="124">
        <f t="shared" si="10"/>
        <v>0</v>
      </c>
      <c r="AS37" s="15">
        <v>29.0950226244343</v>
      </c>
      <c r="AT37" s="15">
        <v>0.28436482084690501</v>
      </c>
    </row>
    <row r="38" spans="1:56" x14ac:dyDescent="0.25">
      <c r="A38" s="15">
        <v>27</v>
      </c>
      <c r="B38" s="15">
        <v>0</v>
      </c>
      <c r="C38" s="124">
        <f t="shared" si="0"/>
        <v>0</v>
      </c>
      <c r="E38" s="15">
        <v>27</v>
      </c>
      <c r="F38" s="15">
        <f t="shared" si="5"/>
        <v>27</v>
      </c>
      <c r="G38" s="124">
        <f t="shared" si="6"/>
        <v>337.14662034134358</v>
      </c>
      <c r="S38" s="129">
        <v>27</v>
      </c>
      <c r="T38" s="132">
        <f>'Inputs - Tables de production'!AI47</f>
        <v>996.63347286341957</v>
      </c>
      <c r="U38" s="133">
        <f t="shared" si="1"/>
        <v>1292.9368490665031</v>
      </c>
      <c r="V38" s="132">
        <f>'Inputs - Tables de production'!AI101</f>
        <v>687.58474419274592</v>
      </c>
      <c r="W38" s="133">
        <f t="shared" si="2"/>
        <v>988.56540687343841</v>
      </c>
      <c r="X38" s="132">
        <f>'Inputs - Tables de production'!AI154</f>
        <v>454.5445242478587</v>
      </c>
      <c r="Y38" s="133">
        <f t="shared" si="3"/>
        <v>757.25282429161564</v>
      </c>
      <c r="Z38" s="132">
        <f>'Inputs - Tables de production'!AI207</f>
        <v>278.86530173990928</v>
      </c>
      <c r="AA38" s="133">
        <f t="shared" si="4"/>
        <v>581.24723105742623</v>
      </c>
      <c r="AO38" s="129">
        <v>5</v>
      </c>
      <c r="AP38" s="222">
        <v>0</v>
      </c>
      <c r="AQ38" s="124">
        <f t="shared" si="10"/>
        <v>0</v>
      </c>
      <c r="AS38" s="15">
        <v>37.307692307692299</v>
      </c>
      <c r="AT38" s="15">
        <v>0.59315960912052001</v>
      </c>
    </row>
    <row r="39" spans="1:56" ht="15.75" thickBot="1" x14ac:dyDescent="0.3">
      <c r="A39" s="15">
        <v>28</v>
      </c>
      <c r="B39" s="15">
        <v>0</v>
      </c>
      <c r="C39" s="124">
        <f t="shared" si="0"/>
        <v>0</v>
      </c>
      <c r="E39" s="15">
        <v>28</v>
      </c>
      <c r="F39" s="15">
        <f t="shared" si="5"/>
        <v>28</v>
      </c>
      <c r="G39" s="124">
        <f t="shared" si="6"/>
        <v>338.72201550546265</v>
      </c>
      <c r="S39" s="129">
        <v>28</v>
      </c>
      <c r="T39" s="132">
        <f>'Inputs - Tables de production'!AI48</f>
        <v>1079.667618837492</v>
      </c>
      <c r="U39" s="133">
        <f t="shared" si="1"/>
        <v>1374.3725640785904</v>
      </c>
      <c r="V39" s="132">
        <f>'Inputs - Tables de production'!AI102</f>
        <v>745.1489480382071</v>
      </c>
      <c r="W39" s="133">
        <f t="shared" si="2"/>
        <v>1045.4334472318926</v>
      </c>
      <c r="X39" s="132">
        <f>'Inputs - Tables de production'!AI155</f>
        <v>492.44759938412096</v>
      </c>
      <c r="Y39" s="133">
        <f t="shared" si="3"/>
        <v>795.01439518401696</v>
      </c>
      <c r="Z39" s="132">
        <f>'Inputs - Tables de production'!AI208</f>
        <v>302.21064553497592</v>
      </c>
      <c r="AA39" s="133">
        <f t="shared" si="4"/>
        <v>604.74807438111543</v>
      </c>
      <c r="AO39" s="129">
        <v>6</v>
      </c>
      <c r="AP39" s="222">
        <v>0</v>
      </c>
      <c r="AQ39" s="124">
        <f t="shared" si="10"/>
        <v>0</v>
      </c>
      <c r="AS39" s="15">
        <v>46.945701357466</v>
      </c>
      <c r="AT39" s="15">
        <v>1.0192182410423398</v>
      </c>
    </row>
    <row r="40" spans="1:56" x14ac:dyDescent="0.25">
      <c r="A40" s="15">
        <v>29</v>
      </c>
      <c r="B40" s="15">
        <v>0</v>
      </c>
      <c r="C40" s="124">
        <f t="shared" si="0"/>
        <v>0</v>
      </c>
      <c r="E40" s="15">
        <v>29</v>
      </c>
      <c r="F40" s="15">
        <f t="shared" si="5"/>
        <v>29</v>
      </c>
      <c r="G40" s="124">
        <f t="shared" si="6"/>
        <v>340.29594697267794</v>
      </c>
      <c r="S40" s="129">
        <v>29</v>
      </c>
      <c r="T40" s="132">
        <f>'Inputs - Tables de production'!AI49</f>
        <v>1164.7832619663338</v>
      </c>
      <c r="U40" s="133">
        <f t="shared" si="1"/>
        <v>1457.7251093196257</v>
      </c>
      <c r="V40" s="132">
        <f>'Inputs - Tables de production'!AI103</f>
        <v>804.19952656788166</v>
      </c>
      <c r="W40" s="133">
        <f t="shared" si="2"/>
        <v>1103.6791946207686</v>
      </c>
      <c r="X40" s="132">
        <f>'Inputs - Tables de production'!AI156</f>
        <v>531.30585247061163</v>
      </c>
      <c r="Y40" s="133">
        <f t="shared" si="3"/>
        <v>833.66519842367245</v>
      </c>
      <c r="Z40" s="132">
        <f>'Inputs - Tables de production'!AI209</f>
        <v>326.15897970231003</v>
      </c>
      <c r="AA40" s="133">
        <f t="shared" si="4"/>
        <v>628.81507154992755</v>
      </c>
      <c r="AO40" s="129">
        <v>7</v>
      </c>
      <c r="AP40" s="222">
        <v>0</v>
      </c>
      <c r="AQ40" s="124">
        <f t="shared" si="10"/>
        <v>0</v>
      </c>
      <c r="AS40" s="15">
        <v>52.239819004524797</v>
      </c>
      <c r="AT40" s="15">
        <v>1.24592833876221</v>
      </c>
      <c r="AY40" s="360" t="s">
        <v>230</v>
      </c>
      <c r="AZ40" s="361"/>
      <c r="BA40" s="360" t="s">
        <v>231</v>
      </c>
      <c r="BB40" s="361"/>
      <c r="BC40" s="360" t="s">
        <v>232</v>
      </c>
      <c r="BD40" s="361"/>
    </row>
    <row r="41" spans="1:56" x14ac:dyDescent="0.25">
      <c r="A41" s="15">
        <v>30</v>
      </c>
      <c r="B41" s="15">
        <v>0</v>
      </c>
      <c r="C41" s="124">
        <f t="shared" si="0"/>
        <v>0</v>
      </c>
      <c r="E41" s="15">
        <v>30</v>
      </c>
      <c r="F41" s="15">
        <f t="shared" si="5"/>
        <v>30</v>
      </c>
      <c r="G41" s="124">
        <f t="shared" si="6"/>
        <v>341.86847099999875</v>
      </c>
      <c r="S41" s="129">
        <v>30</v>
      </c>
      <c r="T41" s="132">
        <f>'Inputs - Tables de production'!AI50</f>
        <v>1251.7283502523328</v>
      </c>
      <c r="U41" s="133">
        <f t="shared" si="1"/>
        <v>1542.7495453827712</v>
      </c>
      <c r="V41" s="132">
        <f>'Inputs - Tables de production'!AI104</f>
        <v>864.56569482800774</v>
      </c>
      <c r="W41" s="133">
        <f t="shared" si="2"/>
        <v>1163.1354083258243</v>
      </c>
      <c r="X41" s="132">
        <f>'Inputs - Tables de production'!AI157</f>
        <v>571.00466654426452</v>
      </c>
      <c r="Y41" s="133">
        <f t="shared" si="3"/>
        <v>873.09215662916336</v>
      </c>
      <c r="Z41" s="132">
        <f>'Inputs - Tables de production'!AI210</f>
        <v>350.6411321147188</v>
      </c>
      <c r="AA41" s="133">
        <f t="shared" si="4"/>
        <v>653.37925445257065</v>
      </c>
      <c r="AO41" s="129">
        <v>8</v>
      </c>
      <c r="AP41" s="222">
        <v>0</v>
      </c>
      <c r="AQ41" s="124">
        <f t="shared" si="10"/>
        <v>0</v>
      </c>
      <c r="AS41" s="15">
        <v>54.886877828054303</v>
      </c>
      <c r="AT41" s="15">
        <v>1.38664495114006</v>
      </c>
      <c r="AX41" s="15" t="s">
        <v>7</v>
      </c>
      <c r="AY41" s="15" t="s">
        <v>233</v>
      </c>
      <c r="AZ41" s="15" t="s">
        <v>234</v>
      </c>
      <c r="BA41" s="15" t="s">
        <v>235</v>
      </c>
      <c r="BB41" s="15" t="s">
        <v>236</v>
      </c>
      <c r="BC41" s="15" t="s">
        <v>237</v>
      </c>
      <c r="BD41" s="15" t="s">
        <v>238</v>
      </c>
    </row>
    <row r="42" spans="1:56" x14ac:dyDescent="0.25">
      <c r="G42" s="125"/>
      <c r="S42" s="129">
        <v>31</v>
      </c>
      <c r="T42" s="132">
        <f>'Inputs - Tables de production'!AI51</f>
        <v>1340.2420428488299</v>
      </c>
      <c r="U42" s="133">
        <f t="shared" si="1"/>
        <v>1629.1933029995516</v>
      </c>
      <c r="V42" s="132">
        <f>'Inputs - Tables de production'!AI105</f>
        <v>926.07047172115426</v>
      </c>
      <c r="W42" s="133">
        <f t="shared" si="2"/>
        <v>1223.6294413568598</v>
      </c>
      <c r="X42" s="132">
        <f>'Inputs - Tables de production'!AI158</f>
        <v>611.42539735705327</v>
      </c>
      <c r="Y42" s="133">
        <f t="shared" si="3"/>
        <v>913.17867515955197</v>
      </c>
      <c r="Z42" s="132">
        <f>'Inputs - Tables de production'!AI211</f>
        <v>375.58543032599715</v>
      </c>
      <c r="AA42" s="133">
        <f t="shared" si="4"/>
        <v>678.3694595763626</v>
      </c>
      <c r="AO42" s="129">
        <v>9</v>
      </c>
      <c r="AP42" s="222">
        <v>0</v>
      </c>
      <c r="AQ42" s="124">
        <f t="shared" si="10"/>
        <v>0</v>
      </c>
      <c r="AX42" s="15">
        <v>1</v>
      </c>
      <c r="AY42" s="124">
        <f>0.0064*AX42^3-1.0008*AX42^2+54.958*AX42-429.94</f>
        <v>-375.97640000000001</v>
      </c>
      <c r="AZ42" s="124">
        <f>IF(AY42&gt;0,(((AY42*AY$3*AY$4) +EXP(-1.0587+(0.8836*LN(AY42*AY$3*AY$4))+0.284))*0.475+70+10)*(44/12),0)</f>
        <v>0</v>
      </c>
      <c r="BA42" s="124">
        <f>0.0047*AX42^3-0.8192*AX42^2+50.4*AX42-468.81</f>
        <v>-419.22450000000003</v>
      </c>
      <c r="BB42" s="124">
        <f>IF(BA42&gt;0,(((BA42*AY$3*AY$4) +EXP(-1.0587+(0.8836*LN(BA42*AY$3*AY$4))+0.284))*0.475+70+10)*(44/12),0)</f>
        <v>0</v>
      </c>
      <c r="BC42" s="124">
        <f>0.0009*AX42^3-0.3522*AX42^2+34.279*AX42-374.61</f>
        <v>-340.6823</v>
      </c>
      <c r="BD42" s="124">
        <f>IF(BC42&gt;0,(((BC42*AY$3*AY$4) +EXP(-1.0587+(0.8836*LN(BC42*AY$3*AY$4))+0.284))*0.475+70+10)*(44/12),0)</f>
        <v>0</v>
      </c>
    </row>
    <row r="43" spans="1:56" x14ac:dyDescent="0.25">
      <c r="G43" s="125"/>
      <c r="S43" s="129">
        <v>32</v>
      </c>
      <c r="T43" s="132">
        <f>'Inputs - Tables de production'!AI52</f>
        <v>1430.0558630800831</v>
      </c>
      <c r="U43" s="133">
        <f t="shared" si="1"/>
        <v>1716.7972479697059</v>
      </c>
      <c r="V43" s="132">
        <f>'Inputs - Tables de production'!AI106</f>
        <v>988.53145906193436</v>
      </c>
      <c r="W43" s="133">
        <f t="shared" si="2"/>
        <v>1284.9839640317582</v>
      </c>
      <c r="X43" s="132">
        <f>'Inputs - Tables de production'!AI159</f>
        <v>652.44589723926208</v>
      </c>
      <c r="Y43" s="133">
        <f t="shared" si="3"/>
        <v>953.80513127339827</v>
      </c>
      <c r="Z43" s="132">
        <f>'Inputs - Tables de production'!AI212</f>
        <v>400.91801786596096</v>
      </c>
      <c r="AA43" s="133">
        <f t="shared" si="4"/>
        <v>703.71262563884545</v>
      </c>
      <c r="AO43" s="129">
        <v>10</v>
      </c>
      <c r="AP43" s="222">
        <v>0</v>
      </c>
      <c r="AQ43" s="124">
        <f t="shared" si="10"/>
        <v>0</v>
      </c>
      <c r="AX43" s="15">
        <v>2</v>
      </c>
      <c r="AY43" s="124">
        <f t="shared" ref="AY43:AY106" si="11">0.0064*AX43^3-1.0008*AX43^2+54.958*AX43-429.94</f>
        <v>-323.976</v>
      </c>
      <c r="AZ43" s="124">
        <f t="shared" ref="AZ43:AZ106" si="12">IF(AY43&gt;0,(((AY43*AY$3*AY$4) +EXP(-1.0587+(0.8836*LN(AY43*AY$3*AY$4))+0.284))*0.475+70+10)*(44/12),0)</f>
        <v>0</v>
      </c>
      <c r="BA43" s="124">
        <f t="shared" ref="BA43:BA106" si="13">0.0047*AX43^3-0.8192*AX43^2+50.4*AX43-468.81</f>
        <v>-371.24919999999997</v>
      </c>
      <c r="BB43" s="124">
        <f t="shared" ref="BB43:BB103" si="14">IF(BA43&gt;0,(((BA43*AY$3*AY$4) +EXP(-1.0587+(0.8836*LN(BA43*AY$3*AY$4))+0.284))*0.475+70+10)*(44/12),0)</f>
        <v>0</v>
      </c>
      <c r="BC43" s="124">
        <f t="shared" ref="BC43:BC106" si="15">0.0009*AX43^3-0.3522*AX43^2+34.279*AX43-374.61</f>
        <v>-307.45359999999999</v>
      </c>
      <c r="BD43" s="124">
        <f t="shared" ref="BD43:BD103" si="16">IF(BC43&gt;0,(((BC43*AY$3*AY$4) +EXP(-1.0587+(0.8836*LN(BC43*AY$3*AY$4))+0.284))*0.475+70+10)*(44/12),0)</f>
        <v>0</v>
      </c>
    </row>
    <row r="44" spans="1:56" x14ac:dyDescent="0.25">
      <c r="G44" s="125"/>
      <c r="S44" s="129">
        <v>33</v>
      </c>
      <c r="T44" s="132">
        <f>'Inputs - Tables de production'!AI53</f>
        <v>1520.8948230497267</v>
      </c>
      <c r="U44" s="133">
        <f t="shared" ref="U44:U75" si="17">IF(T44&gt;0,(((T44*T$3*T$4) +EXP(-1.0587+(0.8836*LN(T44*T$3*T$4))+0.284))*0.475+70+10)*(44/12),0)</f>
        <v>1805.2967169231831</v>
      </c>
      <c r="V44" s="132">
        <f>'Inputs - Tables de production'!AI107</f>
        <v>1051.7616017916312</v>
      </c>
      <c r="W44" s="133">
        <f t="shared" ref="W44:W75" si="18">IF(V44&gt;0,(((V44*T$3*T$4) +EXP(-1.0587+(0.8836*LN(V44*T$3*T$4))+0.284))*0.475+70+10)*(44/12),0)</f>
        <v>1347.0176679646738</v>
      </c>
      <c r="X44" s="132">
        <f>'Inputs - Tables de production'!AI160</f>
        <v>693.94102610536254</v>
      </c>
      <c r="Y44" s="133">
        <f t="shared" ref="Y44:Y75" si="19">IF(X44&gt;0,(((X44*T$3*T$4) +EXP(-1.0587+(0.8836*LN(X44*T$3*T$4))+0.284))*0.475+70+10)*(44/12),0)</f>
        <v>994.84934982056143</v>
      </c>
      <c r="Z44" s="132">
        <f>'Inputs - Tables de production'!AI213</f>
        <v>426.56316285158778</v>
      </c>
      <c r="AA44" s="133">
        <f t="shared" ref="AA44:AA75" si="20">IF(Z44&gt;0,(((Z44*T$3*T$4) +EXP(-1.0587+(0.8836*LN(Z44*T$3*T$4))+0.284))*0.475+70+10)*(44/12),0)</f>
        <v>729.3340830461791</v>
      </c>
      <c r="AO44" s="129">
        <v>11</v>
      </c>
      <c r="AP44" s="222">
        <v>0</v>
      </c>
      <c r="AQ44" s="124">
        <f t="shared" si="10"/>
        <v>0</v>
      </c>
      <c r="AX44" s="15">
        <v>3</v>
      </c>
      <c r="AY44" s="124">
        <f t="shared" si="11"/>
        <v>-273.90039999999999</v>
      </c>
      <c r="AZ44" s="124">
        <f t="shared" si="12"/>
        <v>0</v>
      </c>
      <c r="BA44" s="124">
        <f t="shared" si="13"/>
        <v>-324.85590000000002</v>
      </c>
      <c r="BB44" s="124">
        <f t="shared" si="14"/>
        <v>0</v>
      </c>
      <c r="BC44" s="124">
        <f t="shared" si="15"/>
        <v>-274.91849999999999</v>
      </c>
      <c r="BD44" s="124">
        <f t="shared" si="16"/>
        <v>0</v>
      </c>
    </row>
    <row r="45" spans="1:56" x14ac:dyDescent="0.25">
      <c r="G45" s="125"/>
      <c r="M45" s="317"/>
      <c r="N45" s="317"/>
      <c r="S45" s="129">
        <v>34</v>
      </c>
      <c r="T45" s="132">
        <f>'Inputs - Tables de production'!AI54</f>
        <v>1612.4785198377342</v>
      </c>
      <c r="U45" s="133">
        <f t="shared" si="17"/>
        <v>1894.4225242979064</v>
      </c>
      <c r="V45" s="132">
        <f>'Inputs - Tables de production'!AI108</f>
        <v>1115.5699293517434</v>
      </c>
      <c r="W45" s="133">
        <f t="shared" si="18"/>
        <v>1409.5459507312637</v>
      </c>
      <c r="X45" s="132">
        <f>'Inputs - Tables de production'!AI161</f>
        <v>735.78314960249793</v>
      </c>
      <c r="Y45" s="133">
        <f t="shared" si="19"/>
        <v>1036.1870656580304</v>
      </c>
      <c r="Z45" s="132">
        <f>'Inputs - Tables de production'!AI214</f>
        <v>452.44355891426147</v>
      </c>
      <c r="AA45" s="133">
        <f t="shared" si="20"/>
        <v>755.15783530139379</v>
      </c>
      <c r="AO45" s="129">
        <v>12</v>
      </c>
      <c r="AP45" s="222">
        <f t="shared" ref="AP45:AP83" si="21">(0.0006*AO45^2-0.007*AO45)*$AP$5</f>
        <v>2.8799999999999826</v>
      </c>
      <c r="AQ45" s="124">
        <f>IF(AP45&gt;0,(((AP45*AP$3*AP$4) +EXP(-1.0587+(0.8836*LN(AP45*AP$3*AP$4))+0.284))*0.475+70+10)*(44/12),0)</f>
        <v>296.81651214060014</v>
      </c>
      <c r="AX45" s="15">
        <v>4</v>
      </c>
      <c r="AY45" s="124">
        <f t="shared" si="11"/>
        <v>-225.71119999999999</v>
      </c>
      <c r="AZ45" s="124">
        <f t="shared" si="12"/>
        <v>0</v>
      </c>
      <c r="BA45" s="124">
        <f t="shared" si="13"/>
        <v>-280.01639999999998</v>
      </c>
      <c r="BB45" s="124">
        <f t="shared" si="14"/>
        <v>0</v>
      </c>
      <c r="BC45" s="124">
        <f t="shared" si="15"/>
        <v>-243.07159999999999</v>
      </c>
      <c r="BD45" s="124">
        <f t="shared" si="16"/>
        <v>0</v>
      </c>
    </row>
    <row r="46" spans="1:56" ht="15.75" thickBot="1" x14ac:dyDescent="0.3">
      <c r="G46" s="125"/>
      <c r="S46" s="129">
        <v>35</v>
      </c>
      <c r="T46" s="132">
        <f>'Inputs - Tables de production'!AI55</f>
        <v>1278.3916524644098</v>
      </c>
      <c r="U46" s="133">
        <f t="shared" si="17"/>
        <v>1568.8010791767285</v>
      </c>
      <c r="V46" s="132">
        <f>'Inputs - Tables de production'!AI109</f>
        <v>884.82170866233389</v>
      </c>
      <c r="W46" s="133">
        <f t="shared" si="18"/>
        <v>1183.0675453452127</v>
      </c>
      <c r="X46" s="132">
        <f>'Inputs - Tables de production'!AI162</f>
        <v>583.38196830118034</v>
      </c>
      <c r="Y46" s="133">
        <f t="shared" si="19"/>
        <v>885.37306560233355</v>
      </c>
      <c r="Z46" s="132">
        <f>'Inputs - Tables de production'!AI215</f>
        <v>358.86046383233958</v>
      </c>
      <c r="AA46" s="133">
        <f t="shared" si="20"/>
        <v>661.6177691751459</v>
      </c>
      <c r="AO46" s="129">
        <v>13</v>
      </c>
      <c r="AP46" s="222">
        <f t="shared" si="21"/>
        <v>12.479999999999992</v>
      </c>
      <c r="AQ46" s="124">
        <f t="shared" si="10"/>
        <v>307.69924024400649</v>
      </c>
      <c r="AX46" s="15">
        <v>5</v>
      </c>
      <c r="AY46" s="124">
        <f t="shared" si="11"/>
        <v>-179.37000000000003</v>
      </c>
      <c r="AZ46" s="124">
        <f t="shared" si="12"/>
        <v>0</v>
      </c>
      <c r="BA46" s="124">
        <f t="shared" si="13"/>
        <v>-236.70250000000001</v>
      </c>
      <c r="BB46" s="124">
        <f t="shared" si="14"/>
        <v>0</v>
      </c>
      <c r="BC46" s="124">
        <f t="shared" si="15"/>
        <v>-211.9075</v>
      </c>
      <c r="BD46" s="124">
        <f t="shared" si="16"/>
        <v>0</v>
      </c>
    </row>
    <row r="47" spans="1:56" ht="15.75" thickBot="1" x14ac:dyDescent="0.3">
      <c r="G47" s="125"/>
      <c r="K47" s="360" t="s">
        <v>230</v>
      </c>
      <c r="L47" s="361"/>
      <c r="M47" s="360" t="s">
        <v>331</v>
      </c>
      <c r="N47" s="361"/>
      <c r="O47" s="362" t="s">
        <v>232</v>
      </c>
      <c r="P47" s="363"/>
      <c r="S47" s="129">
        <v>36</v>
      </c>
      <c r="T47" s="132">
        <f>'Inputs - Tables de production'!AI56</f>
        <v>1347.5533615287791</v>
      </c>
      <c r="U47" s="133">
        <f t="shared" si="17"/>
        <v>1636.3287420150939</v>
      </c>
      <c r="V47" s="132">
        <f>'Inputs - Tables de production'!AI110</f>
        <v>933.10649668796805</v>
      </c>
      <c r="W47" s="133">
        <f t="shared" si="18"/>
        <v>1230.5447456118532</v>
      </c>
      <c r="X47" s="132">
        <f>'Inputs - Tables de production'!AI163</f>
        <v>614.99120297321508</v>
      </c>
      <c r="Y47" s="133">
        <f t="shared" si="19"/>
        <v>916.71236267646259</v>
      </c>
      <c r="Z47" s="132">
        <f>'Inputs - Tables de production'!AI216</f>
        <v>378.44606860838059</v>
      </c>
      <c r="AA47" s="133">
        <f t="shared" si="20"/>
        <v>681.23306166576958</v>
      </c>
      <c r="AO47" s="129">
        <v>14</v>
      </c>
      <c r="AP47" s="222">
        <f t="shared" si="21"/>
        <v>23.519999999999992</v>
      </c>
      <c r="AQ47" s="124">
        <f>IF(AP47&gt;0,(((AP47*AP$3*AP$4) +EXP(-1.0587+(0.8836*LN(AP47*AP$3*AP$4))+0.284))*0.475+70+10)*(44/12),0)</f>
        <v>319.88342110001048</v>
      </c>
      <c r="AX47" s="15">
        <v>6</v>
      </c>
      <c r="AY47" s="124">
        <f t="shared" si="11"/>
        <v>-134.83840000000004</v>
      </c>
      <c r="AZ47" s="124">
        <f t="shared" si="12"/>
        <v>0</v>
      </c>
      <c r="BA47" s="124">
        <f t="shared" si="13"/>
        <v>-194.88600000000002</v>
      </c>
      <c r="BB47" s="124">
        <f t="shared" si="14"/>
        <v>0</v>
      </c>
      <c r="BC47" s="124">
        <f t="shared" si="15"/>
        <v>-181.42079999999999</v>
      </c>
      <c r="BD47" s="124">
        <f t="shared" si="16"/>
        <v>0</v>
      </c>
    </row>
    <row r="48" spans="1:56" ht="15.75" thickBot="1" x14ac:dyDescent="0.3">
      <c r="G48" s="125"/>
      <c r="J48" s="129" t="s">
        <v>7</v>
      </c>
      <c r="K48" s="130" t="s">
        <v>233</v>
      </c>
      <c r="L48" s="131" t="s">
        <v>234</v>
      </c>
      <c r="M48" s="130" t="s">
        <v>235</v>
      </c>
      <c r="N48" s="131" t="s">
        <v>236</v>
      </c>
      <c r="O48" s="130" t="s">
        <v>237</v>
      </c>
      <c r="P48" s="131" t="s">
        <v>238</v>
      </c>
      <c r="S48" s="129">
        <v>37</v>
      </c>
      <c r="T48" s="132">
        <f>'Inputs - Tables de production'!AI57</f>
        <v>1416.6262508782402</v>
      </c>
      <c r="U48" s="133">
        <f t="shared" si="17"/>
        <v>1703.7047758862632</v>
      </c>
      <c r="V48" s="132">
        <f>'Inputs - Tables de production'!AI111</f>
        <v>981.38296817013384</v>
      </c>
      <c r="W48" s="133">
        <f t="shared" si="18"/>
        <v>1277.9660045890955</v>
      </c>
      <c r="X48" s="132">
        <f>'Inputs - Tables de production'!AI164</f>
        <v>646.56587358957131</v>
      </c>
      <c r="Y48" s="133">
        <f t="shared" si="19"/>
        <v>947.98483356065583</v>
      </c>
      <c r="Z48" s="132">
        <f>'Inputs - Tables de production'!AI217</f>
        <v>398.02925768815322</v>
      </c>
      <c r="AA48" s="133">
        <f t="shared" si="20"/>
        <v>700.82441036890805</v>
      </c>
      <c r="AO48" s="129">
        <v>15</v>
      </c>
      <c r="AP48" s="222">
        <f t="shared" si="21"/>
        <v>35.999999999999979</v>
      </c>
      <c r="AQ48" s="124">
        <f t="shared" si="10"/>
        <v>333.46465593362836</v>
      </c>
      <c r="AX48" s="15">
        <v>7</v>
      </c>
      <c r="AY48" s="124">
        <f t="shared" si="11"/>
        <v>-92.077999999999975</v>
      </c>
      <c r="AZ48" s="124">
        <f t="shared" si="12"/>
        <v>0</v>
      </c>
      <c r="BA48" s="124">
        <f t="shared" si="13"/>
        <v>-154.53870000000001</v>
      </c>
      <c r="BB48" s="124">
        <f t="shared" si="14"/>
        <v>0</v>
      </c>
      <c r="BC48" s="124">
        <f t="shared" si="15"/>
        <v>-151.60609999999997</v>
      </c>
      <c r="BD48" s="124">
        <f t="shared" si="16"/>
        <v>0</v>
      </c>
    </row>
    <row r="49" spans="7:63" x14ac:dyDescent="0.25">
      <c r="G49" s="125"/>
      <c r="J49" s="129">
        <v>1</v>
      </c>
      <c r="K49" s="132">
        <f>2.5678*J49-1.0311</f>
        <v>1.5367000000000002</v>
      </c>
      <c r="L49" s="133">
        <f>IF(K49&gt;0,(((K49*K$3*K$4) +EXP(-1.0587+(0.8836*LN(K49*K$3*K$4))+0.284))*0.475+70+10)*(44/12),0)</f>
        <v>295.61068014635674</v>
      </c>
      <c r="M49" s="132">
        <f>1.9871*J49+3.0316</f>
        <v>5.0186999999999999</v>
      </c>
      <c r="N49" s="133">
        <f>IF(M49&gt;0,(((M49*K$3*K$4) +EXP(-1.0587+(0.8836*LN(M49*K$3*K$4))+0.284))*0.475+70+10)*(44/12),0)</f>
        <v>300.4661768161746</v>
      </c>
      <c r="O49" s="132">
        <f>1.5952*J49-8.3433</f>
        <v>-6.7480999999999991</v>
      </c>
      <c r="P49" s="133">
        <f t="shared" ref="P49:P80" si="22">IF(O49&gt;0,(((O49*K$3*K$4) +EXP(-1.0587+(0.8836*LN(O49*K$3*K$4))+0.284))*0.475+70+10)*(44/12),0)</f>
        <v>0</v>
      </c>
      <c r="S49" s="129">
        <v>38</v>
      </c>
      <c r="T49" s="132">
        <f>'Inputs - Tables de production'!AI58</f>
        <v>1485.39156855652</v>
      </c>
      <c r="U49" s="133">
        <f t="shared" si="17"/>
        <v>1770.7198575380587</v>
      </c>
      <c r="V49" s="132">
        <f>'Inputs - Tables de production'!AI112</f>
        <v>1029.5014263759142</v>
      </c>
      <c r="W49" s="133">
        <f t="shared" si="18"/>
        <v>1325.1871262141751</v>
      </c>
      <c r="X49" s="132">
        <f>'Inputs - Tables de production'!AI165</f>
        <v>678.00631483634595</v>
      </c>
      <c r="Y49" s="133">
        <f t="shared" si="19"/>
        <v>979.09378498641365</v>
      </c>
      <c r="Z49" s="132">
        <f>'Inputs - Tables de production'!AI218</f>
        <v>417.54946953431318</v>
      </c>
      <c r="AA49" s="133">
        <f t="shared" si="20"/>
        <v>720.33250921203626</v>
      </c>
      <c r="AO49" s="129">
        <v>16</v>
      </c>
      <c r="AP49" s="222">
        <f t="shared" si="21"/>
        <v>49.91999999999998</v>
      </c>
      <c r="AQ49" s="124">
        <f t="shared" si="10"/>
        <v>348.46578359781523</v>
      </c>
      <c r="AX49" s="15">
        <v>8</v>
      </c>
      <c r="AY49" s="124">
        <f t="shared" si="11"/>
        <v>-51.050400000000025</v>
      </c>
      <c r="AZ49" s="124">
        <f t="shared" si="12"/>
        <v>0</v>
      </c>
      <c r="BA49" s="124">
        <f t="shared" si="13"/>
        <v>-115.63240000000002</v>
      </c>
      <c r="BB49" s="124">
        <f t="shared" si="14"/>
        <v>0</v>
      </c>
      <c r="BC49" s="124">
        <f t="shared" si="15"/>
        <v>-122.458</v>
      </c>
      <c r="BD49" s="124">
        <f t="shared" si="16"/>
        <v>0</v>
      </c>
    </row>
    <row r="50" spans="7:63" x14ac:dyDescent="0.25">
      <c r="G50" s="125"/>
      <c r="J50" s="129">
        <v>2</v>
      </c>
      <c r="K50" s="132">
        <f t="shared" ref="K50:K113" si="23">2.5678*J50-1.0311</f>
        <v>4.1044999999999998</v>
      </c>
      <c r="L50" s="133">
        <f t="shared" ref="L50:L114" si="24">IF(K50&gt;0,(((K50*K$3*K$4) +EXP(-1.0587+(0.8836*LN(K50*K$3*K$4))+0.284))*0.475+70+10)*(44/12),0)</f>
        <v>299.20682691112427</v>
      </c>
      <c r="M50" s="132">
        <f t="shared" ref="M50:M113" si="25">1.9871*J50+3.0316</f>
        <v>7.0058000000000007</v>
      </c>
      <c r="N50" s="133">
        <f t="shared" ref="N50:N113" si="26">IF(M50&gt;0,(((M50*K$3*K$4) +EXP(-1.0587+(0.8836*LN(M50*K$3*K$4))+0.284))*0.475+70+10)*(44/12),0)</f>
        <v>303.18067001923356</v>
      </c>
      <c r="O50" s="132">
        <f t="shared" ref="O50:O113" si="27">1.5952*J50-8.3433</f>
        <v>-5.1528999999999989</v>
      </c>
      <c r="P50" s="133">
        <f t="shared" si="22"/>
        <v>0</v>
      </c>
      <c r="S50" s="129">
        <v>39</v>
      </c>
      <c r="T50" s="132">
        <f>'Inputs - Tables de production'!AI59</f>
        <v>1553.6302924488505</v>
      </c>
      <c r="U50" s="133">
        <f t="shared" si="17"/>
        <v>1837.1647422634494</v>
      </c>
      <c r="V50" s="132">
        <f>'Inputs - Tables de production'!AI113</f>
        <v>1077.3118061361474</v>
      </c>
      <c r="W50" s="133">
        <f t="shared" si="18"/>
        <v>1372.0638060430524</v>
      </c>
      <c r="X50" s="132">
        <f>'Inputs - Tables de production'!AI166</f>
        <v>709.21271411027556</v>
      </c>
      <c r="Y50" s="133">
        <f t="shared" si="19"/>
        <v>1009.9425496983412</v>
      </c>
      <c r="Z50" s="132">
        <f>'Inputs - Tables de production'!AI219</f>
        <v>436.94600377866283</v>
      </c>
      <c r="AA50" s="133">
        <f t="shared" si="20"/>
        <v>739.6980271416395</v>
      </c>
      <c r="AO50" s="129">
        <v>17</v>
      </c>
      <c r="AP50" s="222">
        <f t="shared" si="21"/>
        <v>65.279999999999987</v>
      </c>
      <c r="AQ50" s="124">
        <f>IF(AP50&gt;0,(((AP50*AP$3*AP$4) +EXP(-1.0587+(0.8836*LN(AP50*AP$3*AP$4))+0.284))*0.475+70+10)*(44/12),0)</f>
        <v>364.89441722214195</v>
      </c>
      <c r="AX50" s="15">
        <v>9</v>
      </c>
      <c r="AY50" s="124">
        <f t="shared" si="11"/>
        <v>-11.717200000000048</v>
      </c>
      <c r="AZ50" s="124">
        <f t="shared" si="12"/>
        <v>0</v>
      </c>
      <c r="BA50" s="124">
        <f t="shared" si="13"/>
        <v>-78.138900000000035</v>
      </c>
      <c r="BB50" s="124">
        <f t="shared" si="14"/>
        <v>0</v>
      </c>
      <c r="BC50" s="124">
        <f t="shared" si="15"/>
        <v>-93.971099999999979</v>
      </c>
      <c r="BD50" s="124">
        <f t="shared" si="16"/>
        <v>0</v>
      </c>
    </row>
    <row r="51" spans="7:63" x14ac:dyDescent="0.25">
      <c r="G51" s="125"/>
      <c r="J51" s="129">
        <v>3</v>
      </c>
      <c r="K51" s="132">
        <f t="shared" si="23"/>
        <v>6.6722999999999999</v>
      </c>
      <c r="L51" s="133">
        <f t="shared" si="24"/>
        <v>302.72692486375138</v>
      </c>
      <c r="M51" s="132">
        <f t="shared" si="25"/>
        <v>8.9929000000000006</v>
      </c>
      <c r="N51" s="133">
        <f t="shared" si="26"/>
        <v>305.87186458433962</v>
      </c>
      <c r="O51" s="132">
        <f t="shared" si="27"/>
        <v>-3.5576999999999996</v>
      </c>
      <c r="P51" s="133">
        <f t="shared" si="22"/>
        <v>0</v>
      </c>
      <c r="S51" s="129">
        <v>40</v>
      </c>
      <c r="T51" s="132">
        <f>'Inputs - Tables de production'!AI60</f>
        <v>1621.1238245779391</v>
      </c>
      <c r="U51" s="133">
        <f t="shared" si="17"/>
        <v>1902.8308961714583</v>
      </c>
      <c r="V51" s="132">
        <f>'Inputs - Tables de production'!AI114</f>
        <v>1124.6641450907039</v>
      </c>
      <c r="W51" s="133">
        <f t="shared" si="18"/>
        <v>1418.4520624667871</v>
      </c>
      <c r="X51" s="132">
        <f>'Inputs - Tables de production'!AI167</f>
        <v>740.0854272718276</v>
      </c>
      <c r="Y51" s="133">
        <f t="shared" si="19"/>
        <v>1040.4347767976994</v>
      </c>
      <c r="Z51" s="132">
        <f>'Inputs - Tables de production'!AI220</f>
        <v>456.15821234005625</v>
      </c>
      <c r="AA51" s="133">
        <f t="shared" si="20"/>
        <v>758.86178506054625</v>
      </c>
      <c r="AO51" s="129">
        <v>18</v>
      </c>
      <c r="AP51" s="222">
        <f t="shared" si="21"/>
        <v>82.079999999999984</v>
      </c>
      <c r="AQ51" s="124">
        <f t="shared" si="10"/>
        <v>382.75280506122397</v>
      </c>
      <c r="AX51" s="15">
        <v>10</v>
      </c>
      <c r="AY51" s="124">
        <f t="shared" si="11"/>
        <v>25.95999999999998</v>
      </c>
      <c r="AZ51" s="124">
        <f t="shared" si="12"/>
        <v>327.13896666318044</v>
      </c>
      <c r="BA51" s="124">
        <f t="shared" si="13"/>
        <v>-42.03000000000003</v>
      </c>
      <c r="BB51" s="124">
        <f t="shared" si="14"/>
        <v>0</v>
      </c>
      <c r="BC51" s="124">
        <f t="shared" si="15"/>
        <v>-66.139999999999986</v>
      </c>
      <c r="BD51" s="124">
        <f t="shared" si="16"/>
        <v>0</v>
      </c>
    </row>
    <row r="52" spans="7:63" x14ac:dyDescent="0.25">
      <c r="G52" s="125"/>
      <c r="J52" s="129">
        <v>4</v>
      </c>
      <c r="K52" s="132">
        <f t="shared" si="23"/>
        <v>9.2401</v>
      </c>
      <c r="L52" s="133">
        <f t="shared" si="24"/>
        <v>306.20534305336986</v>
      </c>
      <c r="M52" s="132">
        <f t="shared" si="25"/>
        <v>10.98</v>
      </c>
      <c r="N52" s="133">
        <f t="shared" si="26"/>
        <v>308.54554293005901</v>
      </c>
      <c r="O52" s="132">
        <f t="shared" si="27"/>
        <v>-1.9624999999999995</v>
      </c>
      <c r="P52" s="133">
        <f t="shared" si="22"/>
        <v>0</v>
      </c>
      <c r="S52" s="129">
        <v>41</v>
      </c>
      <c r="T52" s="132">
        <f>'Inputs - Tables de production'!AI61</f>
        <v>1687.6546640913211</v>
      </c>
      <c r="U52" s="133">
        <f t="shared" si="17"/>
        <v>1967.5111080671902</v>
      </c>
      <c r="V52" s="132">
        <f>'Inputs - Tables de production'!AI115</f>
        <v>1171.4090408029513</v>
      </c>
      <c r="W52" s="133">
        <f t="shared" si="18"/>
        <v>1464.208654288391</v>
      </c>
      <c r="X52" s="132">
        <f>'Inputs - Tables de production'!AI168</f>
        <v>770.525284755249</v>
      </c>
      <c r="Y52" s="133">
        <f t="shared" si="19"/>
        <v>1070.4747127259188</v>
      </c>
      <c r="Z52" s="132">
        <f>'Inputs - Tables de production'!AI221</f>
        <v>475.12568477938038</v>
      </c>
      <c r="AA52" s="133">
        <f t="shared" si="20"/>
        <v>777.76492711248318</v>
      </c>
      <c r="AO52" s="129">
        <v>19</v>
      </c>
      <c r="AP52" s="222">
        <f t="shared" si="21"/>
        <v>100.31999999999998</v>
      </c>
      <c r="AQ52" s="124">
        <f t="shared" si="10"/>
        <v>402.0408834720123</v>
      </c>
      <c r="AX52" s="15">
        <v>11</v>
      </c>
      <c r="AY52" s="124">
        <f t="shared" si="11"/>
        <v>62.019600000000025</v>
      </c>
      <c r="AZ52" s="124">
        <f t="shared" si="12"/>
        <v>372.13166991790695</v>
      </c>
      <c r="BA52" s="124">
        <f t="shared" si="13"/>
        <v>-7.2775000000000318</v>
      </c>
      <c r="BB52" s="124">
        <f t="shared" si="14"/>
        <v>0</v>
      </c>
      <c r="BC52" s="124">
        <f t="shared" si="15"/>
        <v>-38.959299999999985</v>
      </c>
      <c r="BD52" s="124">
        <f t="shared" si="16"/>
        <v>0</v>
      </c>
    </row>
    <row r="53" spans="7:63" x14ac:dyDescent="0.25">
      <c r="G53" s="125"/>
      <c r="J53" s="129">
        <v>5</v>
      </c>
      <c r="K53" s="132">
        <f t="shared" si="23"/>
        <v>11.8079</v>
      </c>
      <c r="L53" s="133">
        <f t="shared" si="24"/>
        <v>309.65521754348856</v>
      </c>
      <c r="M53" s="132">
        <f t="shared" si="25"/>
        <v>12.967100000000002</v>
      </c>
      <c r="N53" s="133">
        <f t="shared" si="26"/>
        <v>311.20525009550454</v>
      </c>
      <c r="O53" s="132">
        <f t="shared" si="27"/>
        <v>-0.36729999999999929</v>
      </c>
      <c r="P53" s="133">
        <f t="shared" si="22"/>
        <v>0</v>
      </c>
      <c r="S53" s="129">
        <v>42</v>
      </c>
      <c r="T53" s="132">
        <f>'Inputs - Tables de production'!AI62</f>
        <v>1753.0070589400968</v>
      </c>
      <c r="U53" s="133">
        <f t="shared" si="17"/>
        <v>2031.0000810614556</v>
      </c>
      <c r="V53" s="132">
        <f>'Inputs - Tables de production'!AI116</f>
        <v>1217.3980937434089</v>
      </c>
      <c r="W53" s="133">
        <f t="shared" si="18"/>
        <v>1509.1914847459732</v>
      </c>
      <c r="X53" s="132">
        <f>'Inputs - Tables de production'!AI169</f>
        <v>800.43388803556536</v>
      </c>
      <c r="Y53" s="133">
        <f t="shared" si="19"/>
        <v>1099.9674729481287</v>
      </c>
      <c r="Z53" s="132">
        <f>'Inputs - Tables de production'!AI222</f>
        <v>493.78842789161808</v>
      </c>
      <c r="AA53" s="133">
        <f t="shared" si="20"/>
        <v>796.34908635264492</v>
      </c>
      <c r="AO53" s="129">
        <v>20</v>
      </c>
      <c r="AP53" s="222">
        <f t="shared" si="21"/>
        <v>119.99999999999997</v>
      </c>
      <c r="AQ53" s="124">
        <f>IF(AP53&gt;0,(((AP53*AP$3*AP$4) +EXP(-1.0587+(0.8836*LN(AP53*AP$3*AP$4))+0.284))*0.475+70+10)*(44/12),0)</f>
        <v>422.75748932896187</v>
      </c>
      <c r="AX53" s="15">
        <v>12</v>
      </c>
      <c r="AY53" s="124">
        <f t="shared" si="11"/>
        <v>96.500000000000057</v>
      </c>
      <c r="AZ53" s="124">
        <f t="shared" si="12"/>
        <v>414.503073482042</v>
      </c>
      <c r="BA53" s="124">
        <f t="shared" si="13"/>
        <v>26.146799999999928</v>
      </c>
      <c r="BB53" s="124">
        <f t="shared" si="14"/>
        <v>327.37505318052894</v>
      </c>
      <c r="BC53" s="124">
        <f t="shared" si="15"/>
        <v>-12.423599999999965</v>
      </c>
      <c r="BD53" s="124">
        <f t="shared" si="16"/>
        <v>0</v>
      </c>
    </row>
    <row r="54" spans="7:63" x14ac:dyDescent="0.25">
      <c r="G54" s="125"/>
      <c r="J54" s="129">
        <v>6</v>
      </c>
      <c r="K54" s="132">
        <f t="shared" si="23"/>
        <v>14.3757</v>
      </c>
      <c r="L54" s="133">
        <f t="shared" si="24"/>
        <v>313.08351717405321</v>
      </c>
      <c r="M54" s="132">
        <f t="shared" si="25"/>
        <v>14.9542</v>
      </c>
      <c r="N54" s="133">
        <f t="shared" si="26"/>
        <v>313.85337545711837</v>
      </c>
      <c r="O54" s="132">
        <f t="shared" si="27"/>
        <v>1.2279</v>
      </c>
      <c r="P54" s="133">
        <f t="shared" si="22"/>
        <v>295.16837394327007</v>
      </c>
      <c r="S54" s="129">
        <v>43</v>
      </c>
      <c r="T54" s="132">
        <f>'Inputs - Tables de production'!AI63</f>
        <v>1816.9676362490259</v>
      </c>
      <c r="U54" s="133">
        <f t="shared" si="17"/>
        <v>2093.0950040184671</v>
      </c>
      <c r="V54" s="132">
        <f>'Inputs - Tables de production'!AI117</f>
        <v>1262.484336142589</v>
      </c>
      <c r="W54" s="133">
        <f t="shared" si="18"/>
        <v>1553.2599920595183</v>
      </c>
      <c r="X54" s="132">
        <f>'Inputs - Tables de production'!AI170</f>
        <v>829.71389645253612</v>
      </c>
      <c r="Y54" s="133">
        <f t="shared" si="19"/>
        <v>1128.8193043907938</v>
      </c>
      <c r="Z54" s="132">
        <f>'Inputs - Tables de production'!AI223</f>
        <v>512.08703953498366</v>
      </c>
      <c r="AA54" s="133">
        <f t="shared" si="20"/>
        <v>814.55654483923422</v>
      </c>
      <c r="AO54" s="129">
        <v>21</v>
      </c>
      <c r="AP54" s="222">
        <f t="shared" si="21"/>
        <v>141.12</v>
      </c>
      <c r="AQ54" s="124">
        <f t="shared" si="10"/>
        <v>444.90091576332031</v>
      </c>
      <c r="AX54" s="15">
        <v>13</v>
      </c>
      <c r="AY54" s="124">
        <f t="shared" si="11"/>
        <v>129.43959999999998</v>
      </c>
      <c r="AZ54" s="124">
        <f t="shared" si="12"/>
        <v>454.63661082517285</v>
      </c>
      <c r="BA54" s="124">
        <f t="shared" si="13"/>
        <v>58.271099999999876</v>
      </c>
      <c r="BB54" s="124">
        <f t="shared" si="14"/>
        <v>367.49507913321486</v>
      </c>
      <c r="BC54" s="124">
        <f t="shared" si="15"/>
        <v>13.472500000000082</v>
      </c>
      <c r="BD54" s="124">
        <f t="shared" si="16"/>
        <v>311.22875624023573</v>
      </c>
    </row>
    <row r="55" spans="7:63" x14ac:dyDescent="0.25">
      <c r="G55" s="125"/>
      <c r="J55" s="129">
        <v>7</v>
      </c>
      <c r="K55" s="132">
        <f t="shared" si="23"/>
        <v>16.943500000000004</v>
      </c>
      <c r="L55" s="133">
        <f t="shared" si="24"/>
        <v>316.49455073360804</v>
      </c>
      <c r="M55" s="132">
        <f t="shared" si="25"/>
        <v>16.941300000000002</v>
      </c>
      <c r="N55" s="133">
        <f t="shared" si="26"/>
        <v>316.49163476901487</v>
      </c>
      <c r="O55" s="132">
        <f t="shared" si="27"/>
        <v>2.8231000000000002</v>
      </c>
      <c r="P55" s="133">
        <f t="shared" si="22"/>
        <v>297.42605490998233</v>
      </c>
      <c r="S55" s="129">
        <v>44</v>
      </c>
      <c r="T55" s="132">
        <f>'Inputs - Tables de production'!AI64</f>
        <v>1879.3260113780104</v>
      </c>
      <c r="U55" s="133">
        <f t="shared" si="17"/>
        <v>2153.5961029393729</v>
      </c>
      <c r="V55" s="132">
        <f>'Inputs - Tables de production'!AI118</f>
        <v>1306.5226467130199</v>
      </c>
      <c r="W55" s="133">
        <f t="shared" si="18"/>
        <v>1596.2755265710152</v>
      </c>
      <c r="X55" s="132">
        <f>'Inputs - Tables de production'!AI171</f>
        <v>858.26930439156877</v>
      </c>
      <c r="Y55" s="133">
        <f t="shared" si="19"/>
        <v>1156.9378386821843</v>
      </c>
      <c r="Z55" s="132">
        <f>'Inputs - Tables de production'!AI224</f>
        <v>529.9628766971465</v>
      </c>
      <c r="AA55" s="133">
        <f t="shared" si="20"/>
        <v>832.33038817754198</v>
      </c>
      <c r="AO55" s="129">
        <v>22</v>
      </c>
      <c r="AP55" s="222">
        <f t="shared" si="21"/>
        <v>163.67999999999998</v>
      </c>
      <c r="AQ55" s="124">
        <f t="shared" si="10"/>
        <v>468.46919137240587</v>
      </c>
      <c r="AX55" s="15">
        <v>14</v>
      </c>
      <c r="AY55" s="124">
        <f t="shared" si="11"/>
        <v>160.87680000000006</v>
      </c>
      <c r="AZ55" s="124">
        <f t="shared" si="12"/>
        <v>492.71672912405404</v>
      </c>
      <c r="BA55" s="124">
        <f t="shared" si="13"/>
        <v>89.123600000000067</v>
      </c>
      <c r="BB55" s="124">
        <f t="shared" si="14"/>
        <v>405.47468752731794</v>
      </c>
      <c r="BC55" s="124">
        <f t="shared" si="15"/>
        <v>38.734400000000051</v>
      </c>
      <c r="BD55" s="124">
        <f t="shared" si="16"/>
        <v>343.19471781585042</v>
      </c>
    </row>
    <row r="56" spans="7:63" x14ac:dyDescent="0.25">
      <c r="G56" s="125"/>
      <c r="J56" s="129">
        <v>8</v>
      </c>
      <c r="K56" s="132">
        <f t="shared" si="23"/>
        <v>19.511300000000002</v>
      </c>
      <c r="L56" s="133">
        <f t="shared" si="24"/>
        <v>319.89123821910368</v>
      </c>
      <c r="M56" s="132">
        <f t="shared" si="25"/>
        <v>18.9284</v>
      </c>
      <c r="N56" s="133">
        <f t="shared" si="26"/>
        <v>319.12131746664591</v>
      </c>
      <c r="O56" s="132">
        <f t="shared" si="27"/>
        <v>4.4183000000000003</v>
      </c>
      <c r="P56" s="133">
        <f t="shared" si="22"/>
        <v>299.63999513069945</v>
      </c>
      <c r="S56" s="129">
        <v>45</v>
      </c>
      <c r="T56" s="132">
        <f>'Inputs - Tables de production'!AI65</f>
        <v>1454.9065317562192</v>
      </c>
      <c r="U56" s="133">
        <f t="shared" si="17"/>
        <v>1741.0180289955692</v>
      </c>
      <c r="V56" s="132">
        <f>'Inputs - Tables de production'!AI119</f>
        <v>1012.0276134303467</v>
      </c>
      <c r="W56" s="133">
        <f t="shared" si="18"/>
        <v>1308.0442069334777</v>
      </c>
      <c r="X56" s="132">
        <f>'Inputs - Tables de production'!AI172</f>
        <v>664.50428161618572</v>
      </c>
      <c r="Y56" s="133">
        <f t="shared" si="19"/>
        <v>965.73774215180458</v>
      </c>
      <c r="Z56" s="132">
        <f>'Inputs - Tables de production'!AI225</f>
        <v>410.5186633488907</v>
      </c>
      <c r="AA56" s="133">
        <f t="shared" si="20"/>
        <v>713.30832630928444</v>
      </c>
      <c r="AO56" s="129">
        <v>23</v>
      </c>
      <c r="AP56" s="222">
        <f t="shared" si="21"/>
        <v>187.67999999999995</v>
      </c>
      <c r="AQ56" s="124">
        <f t="shared" si="10"/>
        <v>493.46022925508629</v>
      </c>
      <c r="AX56" s="15">
        <v>15</v>
      </c>
      <c r="AY56" s="124">
        <f t="shared" si="11"/>
        <v>190.84999999999997</v>
      </c>
      <c r="AZ56" s="124">
        <f t="shared" si="12"/>
        <v>528.86543864560133</v>
      </c>
      <c r="BA56" s="124">
        <f t="shared" si="13"/>
        <v>118.73250000000002</v>
      </c>
      <c r="BB56" s="124">
        <f t="shared" si="14"/>
        <v>441.6206797880418</v>
      </c>
      <c r="BC56" s="124">
        <f t="shared" si="15"/>
        <v>63.367500000000064</v>
      </c>
      <c r="BD56" s="124">
        <f t="shared" si="16"/>
        <v>373.79719625511405</v>
      </c>
    </row>
    <row r="57" spans="7:63" x14ac:dyDescent="0.25">
      <c r="G57" s="125"/>
      <c r="J57" s="129">
        <v>9</v>
      </c>
      <c r="K57" s="132">
        <f t="shared" si="23"/>
        <v>22.0791</v>
      </c>
      <c r="L57" s="133">
        <f t="shared" si="24"/>
        <v>323.27568441400615</v>
      </c>
      <c r="M57" s="132">
        <f t="shared" si="25"/>
        <v>20.915500000000002</v>
      </c>
      <c r="N57" s="133">
        <f t="shared" si="26"/>
        <v>321.74342649943748</v>
      </c>
      <c r="O57" s="132">
        <f t="shared" si="27"/>
        <v>6.0135000000000005</v>
      </c>
      <c r="P57" s="133">
        <f t="shared" si="22"/>
        <v>301.82854799291528</v>
      </c>
      <c r="S57" s="129">
        <v>46</v>
      </c>
      <c r="T57" s="132">
        <f>'Inputs - Tables de production'!AI66</f>
        <v>1498.8097971900061</v>
      </c>
      <c r="U57" s="133">
        <f t="shared" si="17"/>
        <v>1783.789745191109</v>
      </c>
      <c r="V57" s="132">
        <f>'Inputs - Tables de production'!AI120</f>
        <v>1043.1649567832324</v>
      </c>
      <c r="W57" s="133">
        <f t="shared" si="18"/>
        <v>1338.5880069914808</v>
      </c>
      <c r="X57" s="132">
        <f>'Inputs - Tables de production'!AI173</f>
        <v>684.62292539236876</v>
      </c>
      <c r="Y57" s="133">
        <f t="shared" si="19"/>
        <v>985.63689895636571</v>
      </c>
      <c r="Z57" s="132">
        <f>'Inputs - Tables de production'!AI226</f>
        <v>423.16231442448486</v>
      </c>
      <c r="AA57" s="133">
        <f t="shared" si="20"/>
        <v>725.93828081381832</v>
      </c>
      <c r="AO57" s="129">
        <v>24</v>
      </c>
      <c r="AP57" s="222">
        <f t="shared" si="21"/>
        <v>213.11999999999995</v>
      </c>
      <c r="AQ57" s="124">
        <f t="shared" si="10"/>
        <v>519.87190968930304</v>
      </c>
      <c r="AX57" s="15">
        <v>16</v>
      </c>
      <c r="AY57" s="124">
        <f t="shared" si="11"/>
        <v>219.39760000000007</v>
      </c>
      <c r="AZ57" s="124">
        <f t="shared" si="12"/>
        <v>563.17666507170622</v>
      </c>
      <c r="BA57" s="124">
        <f t="shared" si="13"/>
        <v>147.12599999999992</v>
      </c>
      <c r="BB57" s="124">
        <f t="shared" si="14"/>
        <v>476.08339200834126</v>
      </c>
      <c r="BC57" s="124">
        <f t="shared" si="15"/>
        <v>87.377200000000016</v>
      </c>
      <c r="BD57" s="124">
        <f t="shared" si="16"/>
        <v>403.33461323584805</v>
      </c>
      <c r="BK57" s="9"/>
    </row>
    <row r="58" spans="7:63" x14ac:dyDescent="0.25">
      <c r="G58" s="125"/>
      <c r="J58" s="129">
        <v>10</v>
      </c>
      <c r="K58" s="132">
        <f t="shared" si="23"/>
        <v>24.646900000000002</v>
      </c>
      <c r="L58" s="133">
        <f t="shared" si="24"/>
        <v>326.64947559216512</v>
      </c>
      <c r="M58" s="132">
        <f t="shared" si="25"/>
        <v>22.902600000000003</v>
      </c>
      <c r="N58" s="133">
        <f t="shared" si="26"/>
        <v>324.35876327265396</v>
      </c>
      <c r="O58" s="132">
        <f t="shared" si="27"/>
        <v>7.6087000000000007</v>
      </c>
      <c r="P58" s="133">
        <f t="shared" si="22"/>
        <v>303.99933176713404</v>
      </c>
      <c r="S58" s="129">
        <v>47</v>
      </c>
      <c r="T58" s="132">
        <f>'Inputs - Tables de production'!AI67</f>
        <v>1541.0558208458528</v>
      </c>
      <c r="U58" s="133">
        <f t="shared" si="17"/>
        <v>1824.9249620899504</v>
      </c>
      <c r="V58" s="132">
        <f>'Inputs - Tables de production'!AI121</f>
        <v>1073.2010889803796</v>
      </c>
      <c r="W58" s="133">
        <f t="shared" si="18"/>
        <v>1368.0349637525894</v>
      </c>
      <c r="X58" s="132">
        <f>'Inputs - Tables de production'!AI174</f>
        <v>703.99008425524266</v>
      </c>
      <c r="Y58" s="133">
        <f t="shared" si="19"/>
        <v>1004.7816974507456</v>
      </c>
      <c r="Z58" s="132">
        <f>'Inputs - Tables de production'!AI227</f>
        <v>435.36154960772825</v>
      </c>
      <c r="AA58" s="133">
        <f t="shared" si="20"/>
        <v>738.11679314525873</v>
      </c>
      <c r="AO58" s="129">
        <v>25</v>
      </c>
      <c r="AP58" s="222">
        <f t="shared" si="21"/>
        <v>239.99999999999991</v>
      </c>
      <c r="AQ58" s="124">
        <f t="shared" si="10"/>
        <v>547.70212693162011</v>
      </c>
      <c r="AX58" s="15">
        <v>17</v>
      </c>
      <c r="AY58" s="124">
        <f t="shared" si="11"/>
        <v>246.55799999999994</v>
      </c>
      <c r="AZ58" s="124">
        <f t="shared" si="12"/>
        <v>595.72920512606879</v>
      </c>
      <c r="BA58" s="124">
        <f t="shared" si="13"/>
        <v>174.33229999999998</v>
      </c>
      <c r="BB58" s="124">
        <f t="shared" si="14"/>
        <v>508.96169897192749</v>
      </c>
      <c r="BC58" s="124">
        <f t="shared" si="15"/>
        <v>110.76890000000003</v>
      </c>
      <c r="BD58" s="124">
        <f t="shared" si="16"/>
        <v>431.92224399784487</v>
      </c>
      <c r="BK58" s="9"/>
    </row>
    <row r="59" spans="7:63" x14ac:dyDescent="0.25">
      <c r="G59" s="125"/>
      <c r="J59" s="129">
        <v>11</v>
      </c>
      <c r="K59" s="132">
        <f t="shared" si="23"/>
        <v>27.214700000000004</v>
      </c>
      <c r="L59" s="133">
        <f t="shared" si="24"/>
        <v>330.01384828193716</v>
      </c>
      <c r="M59" s="132">
        <f t="shared" si="25"/>
        <v>24.889700000000001</v>
      </c>
      <c r="N59" s="133">
        <f t="shared" si="26"/>
        <v>326.96798217722159</v>
      </c>
      <c r="O59" s="132">
        <f t="shared" si="27"/>
        <v>9.2039000000000009</v>
      </c>
      <c r="P59" s="133">
        <f t="shared" si="22"/>
        <v>306.15652488854789</v>
      </c>
      <c r="S59" s="129">
        <v>48</v>
      </c>
      <c r="T59" s="132">
        <f>'Inputs - Tables de production'!AI68</f>
        <v>1581.5000272808641</v>
      </c>
      <c r="U59" s="133">
        <f t="shared" si="17"/>
        <v>1864.2861660006313</v>
      </c>
      <c r="V59" s="132">
        <f>'Inputs - Tables de production'!AI122</f>
        <v>1102.0356069552436</v>
      </c>
      <c r="W59" s="133">
        <f t="shared" si="18"/>
        <v>1396.2889978875803</v>
      </c>
      <c r="X59" s="132">
        <f>'Inputs - Tables de production'!AI175</f>
        <v>722.53969334195506</v>
      </c>
      <c r="Y59" s="133">
        <f t="shared" si="19"/>
        <v>1023.1084618728781</v>
      </c>
      <c r="Z59" s="132">
        <f>'Inputs - Tables de production'!AI228</f>
        <v>447.0758380805384</v>
      </c>
      <c r="AA59" s="133">
        <f t="shared" si="20"/>
        <v>749.80445969637844</v>
      </c>
      <c r="AO59" s="129">
        <v>26</v>
      </c>
      <c r="AP59" s="222">
        <f t="shared" si="21"/>
        <v>268.31999999999994</v>
      </c>
      <c r="AQ59" s="124">
        <f t="shared" si="10"/>
        <v>576.9488157439888</v>
      </c>
      <c r="AX59" s="15">
        <v>18</v>
      </c>
      <c r="AY59" s="124">
        <f t="shared" si="11"/>
        <v>272.36959999999993</v>
      </c>
      <c r="AZ59" s="124">
        <f t="shared" si="12"/>
        <v>626.59273967746719</v>
      </c>
      <c r="BA59" s="124">
        <f t="shared" si="13"/>
        <v>200.37959999999993</v>
      </c>
      <c r="BB59" s="124">
        <f t="shared" si="14"/>
        <v>540.33087234427035</v>
      </c>
      <c r="BC59" s="124">
        <f t="shared" si="15"/>
        <v>133.548</v>
      </c>
      <c r="BD59" s="124">
        <f t="shared" si="16"/>
        <v>459.62420408021086</v>
      </c>
      <c r="BK59" s="9"/>
    </row>
    <row r="60" spans="7:63" x14ac:dyDescent="0.25">
      <c r="G60" s="125"/>
      <c r="J60" s="129">
        <v>12</v>
      </c>
      <c r="K60" s="132">
        <f t="shared" si="23"/>
        <v>29.782500000000002</v>
      </c>
      <c r="L60" s="133">
        <f t="shared" si="24"/>
        <v>333.3697922448938</v>
      </c>
      <c r="M60" s="132">
        <f t="shared" si="25"/>
        <v>26.876800000000003</v>
      </c>
      <c r="N60" s="133">
        <f t="shared" si="26"/>
        <v>329.57162717064386</v>
      </c>
      <c r="O60" s="132">
        <f t="shared" si="27"/>
        <v>10.799099999999999</v>
      </c>
      <c r="P60" s="133">
        <f t="shared" si="22"/>
        <v>308.30275985879143</v>
      </c>
      <c r="S60" s="129">
        <v>49</v>
      </c>
      <c r="T60" s="132">
        <f>'Inputs - Tables de production'!AI69</f>
        <v>1620.0021264870343</v>
      </c>
      <c r="U60" s="133">
        <f t="shared" si="17"/>
        <v>1901.7399860443597</v>
      </c>
      <c r="V60" s="132">
        <f>'Inputs - Tables de production'!AI123</f>
        <v>1129.5708887387439</v>
      </c>
      <c r="W60" s="133">
        <f t="shared" si="18"/>
        <v>1423.256743488894</v>
      </c>
      <c r="X60" s="132">
        <f>'Inputs - Tables de production'!AI176</f>
        <v>740.20762001804439</v>
      </c>
      <c r="Y60" s="133">
        <f t="shared" si="19"/>
        <v>1040.5554125657561</v>
      </c>
      <c r="Z60" s="132">
        <f>'Inputs - Tables de production'!AI229</f>
        <v>458.26578378737184</v>
      </c>
      <c r="AA60" s="133">
        <f t="shared" si="20"/>
        <v>760.96300385194081</v>
      </c>
      <c r="AO60" s="129">
        <v>27</v>
      </c>
      <c r="AP60" s="222">
        <f t="shared" si="21"/>
        <v>298.07999999999993</v>
      </c>
      <c r="AQ60" s="124">
        <f t="shared" si="10"/>
        <v>607.60996608388223</v>
      </c>
      <c r="AX60" s="15">
        <v>19</v>
      </c>
      <c r="AY60" s="124">
        <f t="shared" si="11"/>
        <v>296.87079999999997</v>
      </c>
      <c r="AZ60" s="124">
        <f t="shared" si="12"/>
        <v>655.83101658602914</v>
      </c>
      <c r="BA60" s="124">
        <f t="shared" si="13"/>
        <v>225.29609999999997</v>
      </c>
      <c r="BB60" s="124">
        <f t="shared" si="14"/>
        <v>570.25333067207464</v>
      </c>
      <c r="BC60" s="124">
        <f t="shared" si="15"/>
        <v>155.71990000000005</v>
      </c>
      <c r="BD60" s="124">
        <f t="shared" si="16"/>
        <v>486.48274263638206</v>
      </c>
      <c r="BK60" s="9"/>
    </row>
    <row r="61" spans="7:63" x14ac:dyDescent="0.25">
      <c r="G61" s="125"/>
      <c r="J61" s="129">
        <v>13</v>
      </c>
      <c r="K61" s="132">
        <f t="shared" si="23"/>
        <v>32.350299999999997</v>
      </c>
      <c r="L61" s="133">
        <f t="shared" si="24"/>
        <v>336.71811681890568</v>
      </c>
      <c r="M61" s="132">
        <f t="shared" si="25"/>
        <v>28.863900000000001</v>
      </c>
      <c r="N61" s="133">
        <f t="shared" si="26"/>
        <v>332.17015721436189</v>
      </c>
      <c r="O61" s="132">
        <f t="shared" si="27"/>
        <v>12.394300000000001</v>
      </c>
      <c r="P61" s="133">
        <f t="shared" si="22"/>
        <v>310.4398426064742</v>
      </c>
      <c r="S61" s="286">
        <v>50</v>
      </c>
      <c r="T61" s="132">
        <f>'Inputs - Tables de production'!AI70</f>
        <v>1242.3198560989092</v>
      </c>
      <c r="U61" s="133">
        <f t="shared" si="17"/>
        <v>1533.55443063347</v>
      </c>
      <c r="V61" s="132">
        <f>'Inputs - Tables de production'!AI124</f>
        <v>866.78425568409659</v>
      </c>
      <c r="W61" s="133">
        <f t="shared" si="18"/>
        <v>1165.3189382136638</v>
      </c>
      <c r="X61" s="132">
        <f>'Inputs - Tables de production'!AI177</f>
        <v>567.69887127706488</v>
      </c>
      <c r="Y61" s="133">
        <f t="shared" si="19"/>
        <v>869.8111931565121</v>
      </c>
      <c r="Z61" s="132">
        <f>'Inputs - Tables de production'!AI230</f>
        <v>351.6699191638042</v>
      </c>
      <c r="AA61" s="133">
        <f t="shared" si="20"/>
        <v>654.4106663108721</v>
      </c>
      <c r="AO61" s="129">
        <v>28</v>
      </c>
      <c r="AP61" s="222">
        <f t="shared" si="21"/>
        <v>329.28</v>
      </c>
      <c r="AQ61" s="124">
        <f t="shared" si="10"/>
        <v>639.68363072020486</v>
      </c>
      <c r="AX61" s="15">
        <v>20</v>
      </c>
      <c r="AY61" s="124">
        <f t="shared" si="11"/>
        <v>320.09999999999997</v>
      </c>
      <c r="AZ61" s="124">
        <f t="shared" si="12"/>
        <v>683.50369778870402</v>
      </c>
      <c r="BA61" s="124">
        <f t="shared" si="13"/>
        <v>249.11000000000007</v>
      </c>
      <c r="BB61" s="124">
        <f t="shared" si="14"/>
        <v>598.78369507757952</v>
      </c>
      <c r="BC61" s="124">
        <f t="shared" si="15"/>
        <v>177.29000000000008</v>
      </c>
      <c r="BD61" s="124">
        <f t="shared" si="16"/>
        <v>512.52870329851407</v>
      </c>
      <c r="BK61" s="9"/>
    </row>
    <row r="62" spans="7:63" x14ac:dyDescent="0.25">
      <c r="G62" s="125"/>
      <c r="J62" s="129">
        <v>14</v>
      </c>
      <c r="K62" s="132">
        <f t="shared" si="23"/>
        <v>34.918100000000003</v>
      </c>
      <c r="L62" s="133">
        <f t="shared" si="24"/>
        <v>340.0594955512633</v>
      </c>
      <c r="M62" s="132">
        <f t="shared" si="25"/>
        <v>30.851000000000003</v>
      </c>
      <c r="N62" s="133">
        <f t="shared" si="26"/>
        <v>334.76396449903172</v>
      </c>
      <c r="O62" s="132">
        <f t="shared" si="27"/>
        <v>13.9895</v>
      </c>
      <c r="P62" s="133">
        <f t="shared" si="22"/>
        <v>312.56908614481824</v>
      </c>
      <c r="S62" s="17"/>
      <c r="T62" s="125"/>
      <c r="U62" s="125"/>
      <c r="V62" s="125"/>
      <c r="W62" s="125"/>
      <c r="X62" s="125"/>
      <c r="Y62" s="125"/>
      <c r="Z62" s="125"/>
      <c r="AA62" s="125"/>
      <c r="AO62" s="129">
        <v>29</v>
      </c>
      <c r="AP62" s="222">
        <f t="shared" si="21"/>
        <v>361.9199999999999</v>
      </c>
      <c r="AQ62" s="124">
        <f t="shared" si="10"/>
        <v>673.16792855855692</v>
      </c>
      <c r="AX62" s="15">
        <v>21</v>
      </c>
      <c r="AY62" s="124">
        <f t="shared" si="11"/>
        <v>342.09559999999993</v>
      </c>
      <c r="AZ62" s="124">
        <f t="shared" si="12"/>
        <v>709.6675071749296</v>
      </c>
      <c r="BA62" s="124">
        <f t="shared" si="13"/>
        <v>271.84949999999986</v>
      </c>
      <c r="BB62" s="124">
        <f t="shared" si="14"/>
        <v>625.97148826470925</v>
      </c>
      <c r="BC62" s="124">
        <f t="shared" si="15"/>
        <v>198.26370000000009</v>
      </c>
      <c r="BD62" s="124">
        <f t="shared" si="16"/>
        <v>537.78621655232735</v>
      </c>
      <c r="BK62" s="9"/>
    </row>
    <row r="63" spans="7:63" x14ac:dyDescent="0.25">
      <c r="G63" s="125"/>
      <c r="J63" s="129">
        <v>15</v>
      </c>
      <c r="K63" s="132">
        <f t="shared" si="23"/>
        <v>37.485900000000001</v>
      </c>
      <c r="L63" s="133">
        <f t="shared" si="24"/>
        <v>343.39449730864396</v>
      </c>
      <c r="M63" s="132">
        <f t="shared" si="25"/>
        <v>32.838099999999997</v>
      </c>
      <c r="N63" s="133">
        <f t="shared" si="26"/>
        <v>337.35338783702429</v>
      </c>
      <c r="O63" s="132">
        <f t="shared" si="27"/>
        <v>15.584700000000002</v>
      </c>
      <c r="P63" s="133">
        <f t="shared" si="22"/>
        <v>314.69148640610899</v>
      </c>
      <c r="S63" s="17"/>
      <c r="T63" s="125"/>
      <c r="U63" s="125"/>
      <c r="V63" s="125"/>
      <c r="W63" s="125"/>
      <c r="X63" s="125"/>
      <c r="Y63" s="125"/>
      <c r="Z63" s="125"/>
      <c r="AA63" s="125"/>
      <c r="AO63" s="129">
        <v>30</v>
      </c>
      <c r="AP63" s="222">
        <f t="shared" si="21"/>
        <v>395.99999999999994</v>
      </c>
      <c r="AQ63" s="124">
        <f t="shared" si="10"/>
        <v>708.06104534883639</v>
      </c>
      <c r="AX63" s="15">
        <v>22</v>
      </c>
      <c r="AY63" s="124">
        <f t="shared" si="11"/>
        <v>362.89600000000002</v>
      </c>
      <c r="AZ63" s="124">
        <f t="shared" si="12"/>
        <v>734.37698288186346</v>
      </c>
      <c r="BA63" s="124">
        <f t="shared" si="13"/>
        <v>293.54279999999989</v>
      </c>
      <c r="BB63" s="124">
        <f t="shared" si="14"/>
        <v>651.86271002594663</v>
      </c>
      <c r="BC63" s="124">
        <f t="shared" si="15"/>
        <v>218.64639999999997</v>
      </c>
      <c r="BD63" s="124">
        <f t="shared" si="16"/>
        <v>562.27512293325822</v>
      </c>
    </row>
    <row r="64" spans="7:63" x14ac:dyDescent="0.25">
      <c r="G64" s="125"/>
      <c r="J64" s="129">
        <v>16</v>
      </c>
      <c r="K64" s="132">
        <f t="shared" si="23"/>
        <v>40.053699999999999</v>
      </c>
      <c r="L64" s="133">
        <f t="shared" si="24"/>
        <v>346.7236086109271</v>
      </c>
      <c r="M64" s="132">
        <f t="shared" si="25"/>
        <v>34.825200000000002</v>
      </c>
      <c r="N64" s="133">
        <f t="shared" si="26"/>
        <v>339.93872271942593</v>
      </c>
      <c r="O64" s="132">
        <f t="shared" si="27"/>
        <v>17.1799</v>
      </c>
      <c r="P64" s="133">
        <f t="shared" si="22"/>
        <v>316.80782361253142</v>
      </c>
      <c r="S64" s="17"/>
      <c r="T64" s="125"/>
      <c r="U64" s="125"/>
      <c r="V64" s="125"/>
      <c r="W64" s="125"/>
      <c r="X64" s="125"/>
      <c r="Y64" s="125"/>
      <c r="Z64" s="125"/>
      <c r="AA64" s="125"/>
      <c r="AO64" s="129">
        <v>31</v>
      </c>
      <c r="AP64" s="222">
        <f t="shared" si="21"/>
        <v>431.52000000000004</v>
      </c>
      <c r="AQ64" s="124">
        <f t="shared" si="10"/>
        <v>744.36123280311529</v>
      </c>
      <c r="AX64" s="15">
        <v>23</v>
      </c>
      <c r="AY64" s="124">
        <f t="shared" si="11"/>
        <v>382.53959999999989</v>
      </c>
      <c r="AZ64" s="124">
        <f t="shared" si="12"/>
        <v>757.6849917781459</v>
      </c>
      <c r="BA64" s="124">
        <f t="shared" si="13"/>
        <v>314.21809999999999</v>
      </c>
      <c r="BB64" s="124">
        <f t="shared" si="14"/>
        <v>676.50082042324038</v>
      </c>
      <c r="BC64" s="124">
        <f t="shared" si="15"/>
        <v>238.44349999999997</v>
      </c>
      <c r="BD64" s="124">
        <f t="shared" si="16"/>
        <v>586.01235216877433</v>
      </c>
    </row>
    <row r="65" spans="7:56" x14ac:dyDescent="0.25">
      <c r="G65" s="125"/>
      <c r="J65" s="129">
        <v>17</v>
      </c>
      <c r="K65" s="132">
        <f t="shared" si="23"/>
        <v>42.621499999999997</v>
      </c>
      <c r="L65" s="133">
        <f t="shared" si="24"/>
        <v>350.04725007054645</v>
      </c>
      <c r="M65" s="132">
        <f t="shared" si="25"/>
        <v>36.8123</v>
      </c>
      <c r="N65" s="133">
        <f t="shared" si="26"/>
        <v>342.52022901166657</v>
      </c>
      <c r="O65" s="132">
        <f t="shared" si="27"/>
        <v>18.775099999999998</v>
      </c>
      <c r="P65" s="133">
        <f t="shared" si="22"/>
        <v>318.91872476999862</v>
      </c>
      <c r="S65" s="17"/>
      <c r="T65" s="125"/>
      <c r="U65" s="125"/>
      <c r="V65" s="125"/>
      <c r="W65" s="125"/>
      <c r="X65" s="125"/>
      <c r="Y65" s="125"/>
      <c r="Z65" s="125"/>
      <c r="AA65" s="125"/>
      <c r="AO65" s="129">
        <v>32</v>
      </c>
      <c r="AP65" s="222">
        <f t="shared" si="21"/>
        <v>468.47999999999996</v>
      </c>
      <c r="AQ65" s="124">
        <f t="shared" si="10"/>
        <v>782.06680676616816</v>
      </c>
      <c r="AX65" s="15">
        <v>24</v>
      </c>
      <c r="AY65" s="124">
        <f t="shared" si="11"/>
        <v>401.06480000000005</v>
      </c>
      <c r="AZ65" s="124">
        <f t="shared" si="12"/>
        <v>779.64309382027398</v>
      </c>
      <c r="BA65" s="124">
        <f t="shared" si="13"/>
        <v>333.90359999999981</v>
      </c>
      <c r="BB65" s="124">
        <f t="shared" si="14"/>
        <v>699.92738607360445</v>
      </c>
      <c r="BC65" s="124">
        <f t="shared" si="15"/>
        <v>257.6604000000001</v>
      </c>
      <c r="BD65" s="124">
        <f t="shared" si="16"/>
        <v>609.0127664342408</v>
      </c>
    </row>
    <row r="66" spans="7:56" x14ac:dyDescent="0.25">
      <c r="G66" s="125"/>
      <c r="J66" s="129">
        <v>18</v>
      </c>
      <c r="K66" s="132">
        <f t="shared" si="23"/>
        <v>45.189299999999996</v>
      </c>
      <c r="L66" s="133">
        <f t="shared" si="24"/>
        <v>353.36578875553005</v>
      </c>
      <c r="M66" s="132">
        <f t="shared" si="25"/>
        <v>38.799399999999999</v>
      </c>
      <c r="N66" s="133">
        <f t="shared" si="26"/>
        <v>345.09813694002565</v>
      </c>
      <c r="O66" s="132">
        <f t="shared" si="27"/>
        <v>20.3703</v>
      </c>
      <c r="P66" s="133">
        <f t="shared" si="22"/>
        <v>321.02470425652302</v>
      </c>
      <c r="S66" s="17"/>
      <c r="T66" s="125"/>
      <c r="U66" s="125"/>
      <c r="V66" s="125"/>
      <c r="W66" s="125"/>
      <c r="X66" s="125"/>
      <c r="Y66" s="125"/>
      <c r="Z66" s="125"/>
      <c r="AA66" s="125"/>
      <c r="AO66" s="129">
        <v>33</v>
      </c>
      <c r="AP66" s="222">
        <f t="shared" si="21"/>
        <v>506.88</v>
      </c>
      <c r="AQ66" s="124">
        <f t="shared" si="10"/>
        <v>821.17614484495687</v>
      </c>
      <c r="AX66" s="15">
        <v>25</v>
      </c>
      <c r="AY66" s="124">
        <f t="shared" si="11"/>
        <v>418.51000000000005</v>
      </c>
      <c r="AZ66" s="124">
        <f t="shared" si="12"/>
        <v>800.30180774121811</v>
      </c>
      <c r="BA66" s="124">
        <f t="shared" si="13"/>
        <v>352.6275</v>
      </c>
      <c r="BB66" s="124">
        <f t="shared" si="14"/>
        <v>722.18252308066371</v>
      </c>
      <c r="BC66" s="124">
        <f t="shared" si="15"/>
        <v>276.30250000000012</v>
      </c>
      <c r="BD66" s="124">
        <f t="shared" si="16"/>
        <v>631.28970523654061</v>
      </c>
    </row>
    <row r="67" spans="7:56" x14ac:dyDescent="0.25">
      <c r="G67" s="125"/>
      <c r="J67" s="129">
        <v>19</v>
      </c>
      <c r="K67" s="132">
        <f t="shared" si="23"/>
        <v>47.757100000000001</v>
      </c>
      <c r="L67" s="133">
        <f t="shared" si="24"/>
        <v>356.67954766175939</v>
      </c>
      <c r="M67" s="132">
        <f t="shared" si="25"/>
        <v>40.786499999999997</v>
      </c>
      <c r="N67" s="133">
        <f t="shared" si="26"/>
        <v>347.67265181683763</v>
      </c>
      <c r="O67" s="132">
        <f t="shared" si="27"/>
        <v>21.965499999999999</v>
      </c>
      <c r="P67" s="133">
        <f t="shared" si="22"/>
        <v>323.12619130829643</v>
      </c>
      <c r="S67" s="17"/>
      <c r="T67" s="125"/>
      <c r="U67" s="125"/>
      <c r="V67" s="125"/>
      <c r="W67" s="125"/>
      <c r="X67" s="125"/>
      <c r="Y67" s="125"/>
      <c r="Z67" s="125"/>
      <c r="AA67" s="125"/>
      <c r="AO67" s="129">
        <v>34</v>
      </c>
      <c r="AP67" s="222">
        <f t="shared" si="21"/>
        <v>546.72</v>
      </c>
      <c r="AQ67" s="124">
        <f t="shared" si="10"/>
        <v>861.68768375586149</v>
      </c>
      <c r="AX67" s="15">
        <v>26</v>
      </c>
      <c r="AY67" s="124">
        <f t="shared" si="11"/>
        <v>434.91359999999992</v>
      </c>
      <c r="AZ67" s="124">
        <f t="shared" si="12"/>
        <v>819.71080966325701</v>
      </c>
      <c r="BA67" s="124">
        <f t="shared" si="13"/>
        <v>370.41799999999984</v>
      </c>
      <c r="BB67" s="124">
        <f t="shared" si="14"/>
        <v>743.30521118635988</v>
      </c>
      <c r="BC67" s="124">
        <f t="shared" si="15"/>
        <v>294.37520000000006</v>
      </c>
      <c r="BD67" s="124">
        <f t="shared" si="16"/>
        <v>652.85535333267399</v>
      </c>
    </row>
    <row r="68" spans="7:56" x14ac:dyDescent="0.25">
      <c r="G68" s="125"/>
      <c r="J68" s="129">
        <v>20</v>
      </c>
      <c r="K68" s="132">
        <f t="shared" si="23"/>
        <v>50.3249</v>
      </c>
      <c r="L68" s="133">
        <f t="shared" si="24"/>
        <v>359.98881308978974</v>
      </c>
      <c r="M68" s="132">
        <f t="shared" si="25"/>
        <v>42.773600000000002</v>
      </c>
      <c r="N68" s="133">
        <f t="shared" si="26"/>
        <v>350.24395781873289</v>
      </c>
      <c r="O68" s="132">
        <f t="shared" si="27"/>
        <v>23.560700000000001</v>
      </c>
      <c r="P68" s="133">
        <f t="shared" si="22"/>
        <v>325.22354928223473</v>
      </c>
      <c r="S68" s="17"/>
      <c r="T68" s="125"/>
      <c r="U68" s="125"/>
      <c r="V68" s="125"/>
      <c r="W68" s="125"/>
      <c r="X68" s="125"/>
      <c r="Y68" s="125"/>
      <c r="Z68" s="125"/>
      <c r="AA68" s="125"/>
      <c r="AO68" s="129">
        <v>35</v>
      </c>
      <c r="AP68" s="222">
        <f t="shared" si="21"/>
        <v>588</v>
      </c>
      <c r="AQ68" s="124">
        <f t="shared" si="10"/>
        <v>903.59991655477609</v>
      </c>
      <c r="AX68" s="15">
        <v>27</v>
      </c>
      <c r="AY68" s="124">
        <f t="shared" si="11"/>
        <v>450.31400000000014</v>
      </c>
      <c r="AZ68" s="124">
        <f t="shared" si="12"/>
        <v>837.91908477971276</v>
      </c>
      <c r="BA68" s="124">
        <f t="shared" si="13"/>
        <v>387.30329999999998</v>
      </c>
      <c r="BB68" s="124">
        <f t="shared" si="14"/>
        <v>763.33352307518089</v>
      </c>
      <c r="BC68" s="124">
        <f t="shared" si="15"/>
        <v>311.88390000000015</v>
      </c>
      <c r="BD68" s="124">
        <f t="shared" si="16"/>
        <v>673.7209982387003</v>
      </c>
    </row>
    <row r="69" spans="7:56" x14ac:dyDescent="0.25">
      <c r="G69" s="125"/>
      <c r="J69" s="129">
        <v>21</v>
      </c>
      <c r="K69" s="132">
        <f t="shared" si="23"/>
        <v>52.892699999999998</v>
      </c>
      <c r="L69" s="133">
        <f t="shared" si="24"/>
        <v>363.29384047322998</v>
      </c>
      <c r="M69" s="132">
        <f t="shared" si="25"/>
        <v>44.7607</v>
      </c>
      <c r="N69" s="133">
        <f t="shared" si="26"/>
        <v>352.81222104292061</v>
      </c>
      <c r="O69" s="132">
        <f t="shared" si="27"/>
        <v>25.155900000000003</v>
      </c>
      <c r="P69" s="133">
        <f t="shared" si="22"/>
        <v>327.3170895479156</v>
      </c>
      <c r="S69" s="17"/>
      <c r="T69" s="125"/>
      <c r="U69" s="125"/>
      <c r="V69" s="125"/>
      <c r="W69" s="125"/>
      <c r="X69" s="125"/>
      <c r="Y69" s="125"/>
      <c r="Z69" s="125"/>
      <c r="AA69" s="125"/>
      <c r="AO69" s="129">
        <v>36</v>
      </c>
      <c r="AP69" s="222">
        <f t="shared" si="21"/>
        <v>630.71999999999991</v>
      </c>
      <c r="AQ69" s="124">
        <f t="shared" si="10"/>
        <v>946.91138985483042</v>
      </c>
      <c r="AX69" s="15">
        <v>28</v>
      </c>
      <c r="AY69" s="124">
        <f t="shared" si="11"/>
        <v>464.74960000000016</v>
      </c>
      <c r="AZ69" s="124">
        <f t="shared" si="12"/>
        <v>854.97504537389011</v>
      </c>
      <c r="BA69" s="124">
        <f t="shared" si="13"/>
        <v>403.31160000000006</v>
      </c>
      <c r="BB69" s="124">
        <f t="shared" si="14"/>
        <v>782.3047958848033</v>
      </c>
      <c r="BC69" s="124">
        <f t="shared" si="15"/>
        <v>328.83400000000017</v>
      </c>
      <c r="BD69" s="124">
        <f t="shared" si="16"/>
        <v>693.89721593034415</v>
      </c>
    </row>
    <row r="70" spans="7:56" x14ac:dyDescent="0.25">
      <c r="G70" s="125"/>
      <c r="J70" s="129">
        <v>22</v>
      </c>
      <c r="K70" s="132">
        <f t="shared" si="23"/>
        <v>55.460500000000003</v>
      </c>
      <c r="L70" s="133">
        <f t="shared" si="24"/>
        <v>366.59485904320996</v>
      </c>
      <c r="M70" s="132">
        <f t="shared" si="25"/>
        <v>46.747799999999998</v>
      </c>
      <c r="N70" s="133">
        <f t="shared" si="26"/>
        <v>355.37759200542462</v>
      </c>
      <c r="O70" s="132">
        <f t="shared" si="27"/>
        <v>26.751100000000001</v>
      </c>
      <c r="P70" s="133">
        <f t="shared" si="22"/>
        <v>329.40708175308544</v>
      </c>
      <c r="S70" s="17"/>
      <c r="T70" s="125"/>
      <c r="U70" s="125"/>
      <c r="V70" s="125"/>
      <c r="W70" s="125"/>
      <c r="X70" s="125"/>
      <c r="Y70" s="125"/>
      <c r="Z70" s="125"/>
      <c r="AA70" s="125"/>
      <c r="AO70" s="129">
        <v>37</v>
      </c>
      <c r="AP70" s="222">
        <f t="shared" si="21"/>
        <v>674.87999999999988</v>
      </c>
      <c r="AQ70" s="124">
        <f t="shared" si="10"/>
        <v>991.62070109727404</v>
      </c>
      <c r="AX70" s="15">
        <v>29</v>
      </c>
      <c r="AY70" s="124">
        <f t="shared" si="11"/>
        <v>478.25880000000001</v>
      </c>
      <c r="AZ70" s="124">
        <f t="shared" si="12"/>
        <v>870.92662416253859</v>
      </c>
      <c r="BA70" s="124">
        <f t="shared" si="13"/>
        <v>418.47109999999981</v>
      </c>
      <c r="BB70" s="124">
        <f t="shared" si="14"/>
        <v>800.25576221775611</v>
      </c>
      <c r="BC70" s="124">
        <f t="shared" si="15"/>
        <v>345.23090000000013</v>
      </c>
      <c r="BD70" s="124">
        <f t="shared" si="16"/>
        <v>713.39400818884144</v>
      </c>
    </row>
    <row r="71" spans="7:56" x14ac:dyDescent="0.25">
      <c r="G71" s="125"/>
      <c r="J71" s="129">
        <v>23</v>
      </c>
      <c r="K71" s="132">
        <f t="shared" si="23"/>
        <v>58.028300000000002</v>
      </c>
      <c r="L71" s="133">
        <f t="shared" si="24"/>
        <v>369.89207560455463</v>
      </c>
      <c r="M71" s="132">
        <f t="shared" si="25"/>
        <v>48.734899999999996</v>
      </c>
      <c r="N71" s="133">
        <f t="shared" si="26"/>
        <v>357.94020770257515</v>
      </c>
      <c r="O71" s="132">
        <f t="shared" si="27"/>
        <v>28.346299999999999</v>
      </c>
      <c r="P71" s="133">
        <f t="shared" si="22"/>
        <v>331.49376156982083</v>
      </c>
      <c r="S71" s="17"/>
      <c r="T71" s="125"/>
      <c r="U71" s="125"/>
      <c r="V71" s="125"/>
      <c r="W71" s="125"/>
      <c r="X71" s="125"/>
      <c r="Y71" s="125"/>
      <c r="Z71" s="125"/>
      <c r="AA71" s="125"/>
      <c r="AO71" s="129">
        <v>38</v>
      </c>
      <c r="AP71" s="222">
        <f t="shared" si="21"/>
        <v>720.4799999999999</v>
      </c>
      <c r="AQ71" s="124">
        <f t="shared" si="10"/>
        <v>1037.726495915334</v>
      </c>
      <c r="AX71" s="15">
        <v>30</v>
      </c>
      <c r="AY71" s="124">
        <f t="shared" si="11"/>
        <v>490.88000000000017</v>
      </c>
      <c r="AZ71" s="124">
        <f t="shared" si="12"/>
        <v>885.82134920199371</v>
      </c>
      <c r="BA71" s="124">
        <f t="shared" si="13"/>
        <v>432.80999999999989</v>
      </c>
      <c r="BB71" s="124">
        <f t="shared" si="14"/>
        <v>817.2226520691803</v>
      </c>
      <c r="BC71" s="124">
        <f t="shared" si="15"/>
        <v>361.08000000000004</v>
      </c>
      <c r="BD71" s="124">
        <f t="shared" si="16"/>
        <v>732.22090640942622</v>
      </c>
    </row>
    <row r="72" spans="7:56" x14ac:dyDescent="0.25">
      <c r="G72" s="125"/>
      <c r="J72" s="129">
        <v>24</v>
      </c>
      <c r="K72" s="132">
        <f t="shared" si="23"/>
        <v>60.5961</v>
      </c>
      <c r="L72" s="133">
        <f t="shared" si="24"/>
        <v>373.18567762469155</v>
      </c>
      <c r="M72" s="132">
        <f t="shared" si="25"/>
        <v>50.722000000000001</v>
      </c>
      <c r="N72" s="133">
        <f t="shared" si="26"/>
        <v>360.50019332681308</v>
      </c>
      <c r="O72" s="132">
        <f t="shared" si="27"/>
        <v>29.941499999999998</v>
      </c>
      <c r="P72" s="133">
        <f t="shared" si="22"/>
        <v>333.57733664695945</v>
      </c>
      <c r="S72" s="17"/>
      <c r="T72" s="125"/>
      <c r="U72" s="125"/>
      <c r="V72" s="125"/>
      <c r="W72" s="125"/>
      <c r="X72" s="125"/>
      <c r="Y72" s="125"/>
      <c r="Z72" s="125"/>
      <c r="AA72" s="125"/>
      <c r="AO72" s="129">
        <v>39</v>
      </c>
      <c r="AP72" s="222">
        <f t="shared" si="21"/>
        <v>767.52</v>
      </c>
      <c r="AQ72" s="124">
        <f t="shared" si="10"/>
        <v>1085.2274656139382</v>
      </c>
      <c r="AX72" s="15">
        <v>31</v>
      </c>
      <c r="AY72" s="124">
        <f t="shared" si="11"/>
        <v>502.65159999999997</v>
      </c>
      <c r="AZ72" s="124">
        <f t="shared" si="12"/>
        <v>899.70640478100404</v>
      </c>
      <c r="BA72" s="124">
        <f t="shared" si="13"/>
        <v>446.35649999999981</v>
      </c>
      <c r="BB72" s="124">
        <f t="shared" si="14"/>
        <v>833.2412734165182</v>
      </c>
      <c r="BC72" s="124">
        <f t="shared" si="15"/>
        <v>376.38670000000013</v>
      </c>
      <c r="BD72" s="124">
        <f t="shared" si="16"/>
        <v>750.38705155064451</v>
      </c>
    </row>
    <row r="73" spans="7:56" x14ac:dyDescent="0.25">
      <c r="G73" s="125"/>
      <c r="J73" s="129">
        <v>25</v>
      </c>
      <c r="K73" s="132">
        <f t="shared" si="23"/>
        <v>63.163900000000005</v>
      </c>
      <c r="L73" s="133">
        <f t="shared" si="24"/>
        <v>376.47583578421774</v>
      </c>
      <c r="M73" s="132">
        <f t="shared" si="25"/>
        <v>52.709099999999999</v>
      </c>
      <c r="N73" s="133">
        <f t="shared" si="26"/>
        <v>363.05766370605403</v>
      </c>
      <c r="O73" s="132">
        <f t="shared" si="27"/>
        <v>31.536699999999996</v>
      </c>
      <c r="P73" s="133">
        <f t="shared" si="22"/>
        <v>335.65799125779074</v>
      </c>
      <c r="S73" s="17"/>
      <c r="T73" s="125"/>
      <c r="U73" s="125"/>
      <c r="V73" s="125"/>
      <c r="W73" s="125"/>
      <c r="X73" s="125"/>
      <c r="Y73" s="125"/>
      <c r="Z73" s="125"/>
      <c r="AA73" s="125"/>
      <c r="AO73" s="129">
        <v>40</v>
      </c>
      <c r="AP73" s="222">
        <f t="shared" si="21"/>
        <v>815.99999999999989</v>
      </c>
      <c r="AQ73" s="124">
        <f t="shared" si="10"/>
        <v>1134.1223447770819</v>
      </c>
      <c r="AX73" s="15">
        <v>32</v>
      </c>
      <c r="AY73" s="124">
        <f t="shared" si="11"/>
        <v>513.61200000000008</v>
      </c>
      <c r="AZ73" s="124">
        <f t="shared" si="12"/>
        <v>912.62868149795167</v>
      </c>
      <c r="BA73" s="124">
        <f t="shared" si="13"/>
        <v>459.13879999999989</v>
      </c>
      <c r="BB73" s="124">
        <f t="shared" si="14"/>
        <v>848.34707685588432</v>
      </c>
      <c r="BC73" s="124">
        <f t="shared" si="15"/>
        <v>391.15640000000008</v>
      </c>
      <c r="BD73" s="124">
        <f t="shared" si="16"/>
        <v>767.90125673026444</v>
      </c>
    </row>
    <row r="74" spans="7:56" x14ac:dyDescent="0.25">
      <c r="G74" s="125"/>
      <c r="J74" s="129">
        <v>26</v>
      </c>
      <c r="K74" s="132">
        <f t="shared" si="23"/>
        <v>65.731700000000004</v>
      </c>
      <c r="L74" s="133">
        <f t="shared" si="24"/>
        <v>379.76270610103649</v>
      </c>
      <c r="M74" s="132">
        <f t="shared" si="25"/>
        <v>54.696199999999997</v>
      </c>
      <c r="N74" s="133">
        <f t="shared" si="26"/>
        <v>365.61272451989709</v>
      </c>
      <c r="O74" s="132">
        <f t="shared" si="27"/>
        <v>33.131900000000002</v>
      </c>
      <c r="P74" s="133">
        <f t="shared" si="22"/>
        <v>337.73588998063627</v>
      </c>
      <c r="S74" s="17"/>
      <c r="T74" s="125"/>
      <c r="U74" s="125"/>
      <c r="V74" s="125"/>
      <c r="W74" s="125"/>
      <c r="X74" s="125"/>
      <c r="Y74" s="125"/>
      <c r="Z74" s="125"/>
      <c r="AA74" s="125"/>
      <c r="AO74" s="129">
        <v>41</v>
      </c>
      <c r="AP74" s="222">
        <f t="shared" si="21"/>
        <v>865.91999999999985</v>
      </c>
      <c r="AQ74" s="124">
        <f t="shared" si="10"/>
        <v>1184.4099090073109</v>
      </c>
      <c r="AX74" s="15">
        <v>33</v>
      </c>
      <c r="AY74" s="124">
        <f t="shared" si="11"/>
        <v>523.79960000000028</v>
      </c>
      <c r="AZ74" s="124">
        <f t="shared" si="12"/>
        <v>924.63481787320802</v>
      </c>
      <c r="BA74" s="124">
        <f t="shared" si="13"/>
        <v>471.18509999999998</v>
      </c>
      <c r="BB74" s="124">
        <f t="shared" si="14"/>
        <v>862.57520810916094</v>
      </c>
      <c r="BC74" s="124">
        <f t="shared" si="15"/>
        <v>405.39449999999999</v>
      </c>
      <c r="BD74" s="124">
        <f t="shared" si="16"/>
        <v>784.7720569520925</v>
      </c>
    </row>
    <row r="75" spans="7:56" x14ac:dyDescent="0.25">
      <c r="G75" s="125"/>
      <c r="J75" s="129">
        <v>27</v>
      </c>
      <c r="K75" s="132">
        <f t="shared" si="23"/>
        <v>68.299500000000009</v>
      </c>
      <c r="L75" s="133">
        <f t="shared" si="24"/>
        <v>383.04643171323772</v>
      </c>
      <c r="M75" s="132">
        <f t="shared" si="25"/>
        <v>56.683300000000003</v>
      </c>
      <c r="N75" s="133">
        <f t="shared" si="26"/>
        <v>368.165473334127</v>
      </c>
      <c r="O75" s="132">
        <f t="shared" si="27"/>
        <v>34.7271</v>
      </c>
      <c r="P75" s="133">
        <f t="shared" si="22"/>
        <v>339.81118065049964</v>
      </c>
      <c r="S75" s="17"/>
      <c r="T75" s="125"/>
      <c r="U75" s="125"/>
      <c r="V75" s="125"/>
      <c r="W75" s="125"/>
      <c r="X75" s="125"/>
      <c r="Y75" s="125"/>
      <c r="Z75" s="125"/>
      <c r="AA75" s="125"/>
      <c r="AO75" s="129">
        <v>42</v>
      </c>
      <c r="AP75" s="222">
        <f t="shared" si="21"/>
        <v>917.28</v>
      </c>
      <c r="AQ75" s="124">
        <f t="shared" si="10"/>
        <v>1236.0889727970996</v>
      </c>
      <c r="AX75" s="15">
        <v>34</v>
      </c>
      <c r="AY75" s="124">
        <f t="shared" si="11"/>
        <v>533.25279999999998</v>
      </c>
      <c r="AZ75" s="124">
        <f t="shared" si="12"/>
        <v>935.77123525105321</v>
      </c>
      <c r="BA75" s="124">
        <f t="shared" si="13"/>
        <v>482.52359999999982</v>
      </c>
      <c r="BB75" s="124">
        <f t="shared" si="14"/>
        <v>875.9605511694291</v>
      </c>
      <c r="BC75" s="124">
        <f t="shared" si="15"/>
        <v>419.10640000000001</v>
      </c>
      <c r="BD75" s="124">
        <f t="shared" si="16"/>
        <v>801.00774912367729</v>
      </c>
    </row>
    <row r="76" spans="7:56" x14ac:dyDescent="0.25">
      <c r="G76" s="125"/>
      <c r="J76" s="129">
        <v>28</v>
      </c>
      <c r="K76" s="132">
        <f t="shared" si="23"/>
        <v>70.867300000000014</v>
      </c>
      <c r="L76" s="133">
        <f t="shared" si="24"/>
        <v>386.32714438632291</v>
      </c>
      <c r="M76" s="132">
        <f t="shared" si="25"/>
        <v>58.670400000000001</v>
      </c>
      <c r="N76" s="133">
        <f t="shared" si="26"/>
        <v>370.71600048607871</v>
      </c>
      <c r="O76" s="132">
        <f t="shared" si="27"/>
        <v>36.322299999999998</v>
      </c>
      <c r="P76" s="133">
        <f t="shared" si="22"/>
        <v>341.88399675303839</v>
      </c>
      <c r="S76" s="17"/>
      <c r="T76" s="125"/>
      <c r="U76" s="125"/>
      <c r="V76" s="125"/>
      <c r="W76" s="125"/>
      <c r="X76" s="125"/>
      <c r="Y76" s="125"/>
      <c r="Z76" s="125"/>
      <c r="AA76" s="125"/>
      <c r="AO76" s="129">
        <v>43</v>
      </c>
      <c r="AP76" s="222">
        <f t="shared" si="21"/>
        <v>970.08</v>
      </c>
      <c r="AQ76" s="124">
        <f t="shared" si="10"/>
        <v>1289.1583875288929</v>
      </c>
      <c r="AX76" s="15">
        <v>35</v>
      </c>
      <c r="AY76" s="124">
        <f t="shared" si="11"/>
        <v>542.01000000000022</v>
      </c>
      <c r="AZ76" s="124">
        <f t="shared" si="12"/>
        <v>946.08416731830062</v>
      </c>
      <c r="BA76" s="124">
        <f t="shared" si="13"/>
        <v>493.18249999999995</v>
      </c>
      <c r="BB76" s="124">
        <f t="shared" si="14"/>
        <v>888.53776412188347</v>
      </c>
      <c r="BC76" s="124">
        <f t="shared" si="15"/>
        <v>432.29750000000001</v>
      </c>
      <c r="BD76" s="124">
        <f t="shared" si="16"/>
        <v>816.61642463574708</v>
      </c>
    </row>
    <row r="77" spans="7:56" x14ac:dyDescent="0.25">
      <c r="G77" s="125"/>
      <c r="J77" s="129">
        <v>29</v>
      </c>
      <c r="K77" s="132">
        <f t="shared" si="23"/>
        <v>73.435100000000006</v>
      </c>
      <c r="L77" s="133">
        <f t="shared" si="24"/>
        <v>389.60496579583906</v>
      </c>
      <c r="M77" s="132">
        <f t="shared" si="25"/>
        <v>60.657499999999999</v>
      </c>
      <c r="N77" s="133">
        <f t="shared" si="26"/>
        <v>373.26438984668653</v>
      </c>
      <c r="O77" s="132">
        <f t="shared" si="27"/>
        <v>37.917499999999997</v>
      </c>
      <c r="P77" s="133">
        <f t="shared" si="22"/>
        <v>343.95445938611169</v>
      </c>
      <c r="S77" s="17"/>
      <c r="T77" s="125"/>
      <c r="U77" s="125"/>
      <c r="V77" s="125"/>
      <c r="W77" s="125"/>
      <c r="X77" s="125"/>
      <c r="Y77" s="125"/>
      <c r="Z77" s="125"/>
      <c r="AA77" s="125"/>
      <c r="AO77" s="129">
        <v>44</v>
      </c>
      <c r="AP77" s="222">
        <f t="shared" si="21"/>
        <v>1024.32</v>
      </c>
      <c r="AQ77" s="124">
        <f t="shared" si="10"/>
        <v>1343.617039598771</v>
      </c>
      <c r="AX77" s="15">
        <v>36</v>
      </c>
      <c r="AY77" s="124">
        <f t="shared" si="11"/>
        <v>550.1096</v>
      </c>
      <c r="AZ77" s="124">
        <f t="shared" si="12"/>
        <v>955.61968525572377</v>
      </c>
      <c r="BA77" s="124">
        <f t="shared" si="13"/>
        <v>503.19</v>
      </c>
      <c r="BB77" s="124">
        <f t="shared" si="14"/>
        <v>900.34130916262006</v>
      </c>
      <c r="BC77" s="124">
        <f t="shared" si="15"/>
        <v>444.97320000000002</v>
      </c>
      <c r="BD77" s="124">
        <f t="shared" si="16"/>
        <v>831.60599616411014</v>
      </c>
    </row>
    <row r="78" spans="7:56" x14ac:dyDescent="0.25">
      <c r="G78" s="125"/>
      <c r="J78" s="129">
        <v>30</v>
      </c>
      <c r="K78" s="132">
        <f t="shared" si="23"/>
        <v>76.002900000000011</v>
      </c>
      <c r="L78" s="133">
        <f t="shared" si="24"/>
        <v>392.88000862557311</v>
      </c>
      <c r="M78" s="132">
        <f t="shared" si="25"/>
        <v>62.644599999999997</v>
      </c>
      <c r="N78" s="133">
        <f t="shared" si="26"/>
        <v>375.81071947987141</v>
      </c>
      <c r="O78" s="132">
        <f t="shared" si="27"/>
        <v>39.512700000000002</v>
      </c>
      <c r="P78" s="133">
        <f t="shared" si="22"/>
        <v>346.02267888193211</v>
      </c>
      <c r="S78" s="17"/>
      <c r="T78" s="125"/>
      <c r="U78" s="125"/>
      <c r="V78" s="125"/>
      <c r="W78" s="125"/>
      <c r="X78" s="125"/>
      <c r="Y78" s="125"/>
      <c r="Z78" s="125"/>
      <c r="AA78" s="125"/>
      <c r="AO78" s="129">
        <v>45</v>
      </c>
      <c r="AP78" s="222">
        <f t="shared" si="21"/>
        <v>1080</v>
      </c>
      <c r="AQ78" s="124">
        <f t="shared" si="10"/>
        <v>1399.4638486576282</v>
      </c>
      <c r="AX78" s="15">
        <v>37</v>
      </c>
      <c r="AY78" s="124">
        <f t="shared" si="11"/>
        <v>557.58999999999992</v>
      </c>
      <c r="AZ78" s="124">
        <f t="shared" si="12"/>
        <v>964.42371930863317</v>
      </c>
      <c r="BA78" s="124">
        <f t="shared" si="13"/>
        <v>512.57429999999999</v>
      </c>
      <c r="BB78" s="124">
        <f t="shared" si="14"/>
        <v>911.40547796864143</v>
      </c>
      <c r="BC78" s="124">
        <f t="shared" si="15"/>
        <v>457.13890000000004</v>
      </c>
      <c r="BD78" s="124">
        <f t="shared" si="16"/>
        <v>845.9842199278404</v>
      </c>
    </row>
    <row r="79" spans="7:56" x14ac:dyDescent="0.25">
      <c r="G79" s="125"/>
      <c r="J79" s="129">
        <v>31</v>
      </c>
      <c r="K79" s="132">
        <f t="shared" si="23"/>
        <v>78.570700000000002</v>
      </c>
      <c r="L79" s="133">
        <f t="shared" si="24"/>
        <v>396.15237751316505</v>
      </c>
      <c r="M79" s="132">
        <f t="shared" si="25"/>
        <v>64.631700000000009</v>
      </c>
      <c r="N79" s="133">
        <f t="shared" si="26"/>
        <v>378.3550622159147</v>
      </c>
      <c r="O79" s="132">
        <f t="shared" si="27"/>
        <v>41.107900000000001</v>
      </c>
      <c r="P79" s="133">
        <f t="shared" si="22"/>
        <v>348.08875615988569</v>
      </c>
      <c r="S79" s="17"/>
      <c r="T79" s="125"/>
      <c r="U79" s="125"/>
      <c r="V79" s="125"/>
      <c r="W79" s="125"/>
      <c r="X79" s="125"/>
      <c r="Y79" s="125"/>
      <c r="Z79" s="125"/>
      <c r="AA79" s="125"/>
      <c r="AO79" s="129">
        <v>46</v>
      </c>
      <c r="AP79" s="222">
        <f t="shared" si="21"/>
        <v>1137.1199999999997</v>
      </c>
      <c r="AQ79" s="124">
        <f t="shared" si="10"/>
        <v>1456.6977659632485</v>
      </c>
      <c r="AX79" s="15">
        <v>38</v>
      </c>
      <c r="AY79" s="124">
        <f t="shared" si="11"/>
        <v>564.48960000000011</v>
      </c>
      <c r="AZ79" s="124">
        <f t="shared" si="12"/>
        <v>972.54207739095602</v>
      </c>
      <c r="BA79" s="124">
        <f t="shared" si="13"/>
        <v>521.36360000000013</v>
      </c>
      <c r="BB79" s="124">
        <f t="shared" si="14"/>
        <v>921.76441330364696</v>
      </c>
      <c r="BC79" s="124">
        <f t="shared" si="15"/>
        <v>468.80000000000007</v>
      </c>
      <c r="BD79" s="124">
        <f t="shared" si="16"/>
        <v>859.75871433356281</v>
      </c>
    </row>
    <row r="80" spans="7:56" x14ac:dyDescent="0.25">
      <c r="G80" s="125"/>
      <c r="J80" s="129">
        <v>32</v>
      </c>
      <c r="K80" s="132">
        <f t="shared" si="23"/>
        <v>81.138500000000008</v>
      </c>
      <c r="L80" s="133">
        <f t="shared" si="24"/>
        <v>399.42216986863247</v>
      </c>
      <c r="M80" s="132">
        <f t="shared" si="25"/>
        <v>66.618800000000007</v>
      </c>
      <c r="N80" s="133">
        <f t="shared" si="26"/>
        <v>380.89748615233668</v>
      </c>
      <c r="O80" s="132">
        <f t="shared" si="27"/>
        <v>42.703099999999999</v>
      </c>
      <c r="P80" s="133">
        <f t="shared" si="22"/>
        <v>350.15278386345864</v>
      </c>
      <c r="S80" s="17"/>
      <c r="T80" s="125"/>
      <c r="U80" s="125"/>
      <c r="V80" s="125"/>
      <c r="W80" s="125"/>
      <c r="X80" s="125"/>
      <c r="Y80" s="125"/>
      <c r="Z80" s="125"/>
      <c r="AA80" s="125"/>
      <c r="AO80" s="129">
        <v>47</v>
      </c>
      <c r="AP80" s="222">
        <f t="shared" si="21"/>
        <v>1195.6799999999998</v>
      </c>
      <c r="AQ80" s="124">
        <f t="shared" si="10"/>
        <v>1515.3177728364831</v>
      </c>
      <c r="AX80" s="15">
        <v>39</v>
      </c>
      <c r="AY80" s="124">
        <f t="shared" si="11"/>
        <v>570.84680000000026</v>
      </c>
      <c r="AZ80" s="124">
        <f t="shared" si="12"/>
        <v>980.02046120679734</v>
      </c>
      <c r="BA80" s="124">
        <f t="shared" si="13"/>
        <v>529.58609999999976</v>
      </c>
      <c r="BB80" s="124">
        <f t="shared" si="14"/>
        <v>931.45212754563715</v>
      </c>
      <c r="BC80" s="124">
        <f t="shared" si="15"/>
        <v>479.96190000000013</v>
      </c>
      <c r="BD80" s="124">
        <f t="shared" si="16"/>
        <v>872.93697571567907</v>
      </c>
    </row>
    <row r="81" spans="7:56" x14ac:dyDescent="0.25">
      <c r="G81" s="125"/>
      <c r="J81" s="129">
        <v>33</v>
      </c>
      <c r="K81" s="132">
        <f t="shared" si="23"/>
        <v>83.706300000000013</v>
      </c>
      <c r="L81" s="133">
        <f t="shared" si="24"/>
        <v>402.68947658636858</v>
      </c>
      <c r="M81" s="132">
        <f t="shared" si="25"/>
        <v>68.605900000000005</v>
      </c>
      <c r="N81" s="133">
        <f t="shared" si="26"/>
        <v>383.43805509333646</v>
      </c>
      <c r="O81" s="132">
        <f t="shared" si="27"/>
        <v>44.298299999999998</v>
      </c>
      <c r="P81" s="133">
        <f t="shared" ref="P81:P112" si="28">IF(O81&gt;0,(((O81*K$3*K$4) +EXP(-1.0587+(0.8836*LN(O81*K$3*K$4))+0.284))*0.475+70+10)*(44/12),0)</f>
        <v>352.21484732250565</v>
      </c>
      <c r="S81" s="17"/>
      <c r="T81" s="125"/>
      <c r="U81" s="125"/>
      <c r="V81" s="125"/>
      <c r="W81" s="125"/>
      <c r="X81" s="125"/>
      <c r="Y81" s="125"/>
      <c r="Z81" s="125"/>
      <c r="AA81" s="125"/>
      <c r="AO81" s="129">
        <v>48</v>
      </c>
      <c r="AP81" s="222">
        <f t="shared" si="21"/>
        <v>1255.6799999999998</v>
      </c>
      <c r="AQ81" s="124">
        <f t="shared" si="10"/>
        <v>1575.3228792147775</v>
      </c>
      <c r="AX81" s="15">
        <v>40</v>
      </c>
      <c r="AY81" s="124">
        <f t="shared" si="11"/>
        <v>576.69999999999982</v>
      </c>
      <c r="AZ81" s="124">
        <f t="shared" si="12"/>
        <v>986.90448027354148</v>
      </c>
      <c r="BA81" s="124">
        <f t="shared" si="13"/>
        <v>537.27</v>
      </c>
      <c r="BB81" s="124">
        <f t="shared" si="14"/>
        <v>940.50251867375709</v>
      </c>
      <c r="BC81" s="124">
        <f t="shared" si="15"/>
        <v>490.63000000000011</v>
      </c>
      <c r="BD81" s="124">
        <f t="shared" si="16"/>
        <v>885.52639172088334</v>
      </c>
    </row>
    <row r="82" spans="7:56" x14ac:dyDescent="0.25">
      <c r="G82" s="125"/>
      <c r="J82" s="129">
        <v>34</v>
      </c>
      <c r="K82" s="132">
        <f t="shared" si="23"/>
        <v>86.274100000000004</v>
      </c>
      <c r="L82" s="133">
        <f t="shared" si="24"/>
        <v>405.95438266732009</v>
      </c>
      <c r="M82" s="132">
        <f t="shared" si="25"/>
        <v>70.593000000000004</v>
      </c>
      <c r="N82" s="133">
        <f t="shared" si="26"/>
        <v>385.97682893688847</v>
      </c>
      <c r="O82" s="132">
        <f t="shared" si="27"/>
        <v>45.893499999999996</v>
      </c>
      <c r="P82" s="133">
        <f t="shared" si="28"/>
        <v>354.27502537301604</v>
      </c>
      <c r="AO82" s="129">
        <v>49</v>
      </c>
      <c r="AP82" s="222">
        <f t="shared" si="21"/>
        <v>1317.12</v>
      </c>
      <c r="AQ82" s="124">
        <f t="shared" si="10"/>
        <v>1636.7121222965068</v>
      </c>
      <c r="AX82" s="15">
        <v>41</v>
      </c>
      <c r="AY82" s="124">
        <f t="shared" si="11"/>
        <v>582.08759999999984</v>
      </c>
      <c r="AZ82" s="124">
        <f t="shared" si="12"/>
        <v>993.23966415309212</v>
      </c>
      <c r="BA82" s="124">
        <f t="shared" si="13"/>
        <v>544.44350000000009</v>
      </c>
      <c r="BB82" s="124">
        <f t="shared" si="14"/>
        <v>948.94938413919897</v>
      </c>
      <c r="BC82" s="124">
        <f t="shared" si="15"/>
        <v>500.80970000000002</v>
      </c>
      <c r="BD82" s="124">
        <f t="shared" si="16"/>
        <v>897.53425276518317</v>
      </c>
    </row>
    <row r="83" spans="7:56" x14ac:dyDescent="0.25">
      <c r="G83" s="125"/>
      <c r="J83" s="129">
        <v>35</v>
      </c>
      <c r="K83" s="132">
        <f t="shared" si="23"/>
        <v>88.84190000000001</v>
      </c>
      <c r="L83" s="133">
        <f t="shared" si="24"/>
        <v>409.21696776501108</v>
      </c>
      <c r="M83" s="132">
        <f t="shared" si="25"/>
        <v>72.580100000000002</v>
      </c>
      <c r="N83" s="133">
        <f t="shared" si="26"/>
        <v>388.51386401702842</v>
      </c>
      <c r="O83" s="132">
        <f t="shared" si="27"/>
        <v>47.488700000000001</v>
      </c>
      <c r="P83" s="133">
        <f t="shared" si="28"/>
        <v>356.33339105970163</v>
      </c>
      <c r="AO83" s="129">
        <v>50</v>
      </c>
      <c r="AP83" s="222">
        <f t="shared" si="21"/>
        <v>1379.9999999999995</v>
      </c>
      <c r="AQ83" s="124">
        <f t="shared" si="10"/>
        <v>1699.4845652698559</v>
      </c>
      <c r="AX83" s="15">
        <v>42</v>
      </c>
      <c r="AY83" s="124">
        <f t="shared" si="11"/>
        <v>587.048</v>
      </c>
      <c r="AZ83" s="124">
        <f t="shared" si="12"/>
        <v>999.07147313724829</v>
      </c>
      <c r="BA83" s="124">
        <f t="shared" si="13"/>
        <v>551.13479999999981</v>
      </c>
      <c r="BB83" s="124">
        <f t="shared" si="14"/>
        <v>956.82643295874846</v>
      </c>
      <c r="BC83" s="124">
        <f t="shared" si="15"/>
        <v>510.5064000000001</v>
      </c>
      <c r="BD83" s="124">
        <f t="shared" si="16"/>
        <v>908.967761901171</v>
      </c>
    </row>
    <row r="84" spans="7:56" x14ac:dyDescent="0.25">
      <c r="G84" s="125"/>
      <c r="J84" s="129">
        <v>36</v>
      </c>
      <c r="K84" s="132">
        <f t="shared" si="23"/>
        <v>91.409700000000001</v>
      </c>
      <c r="L84" s="133">
        <f t="shared" si="24"/>
        <v>412.47730666666666</v>
      </c>
      <c r="M84" s="132">
        <f t="shared" si="25"/>
        <v>74.5672</v>
      </c>
      <c r="N84" s="133">
        <f t="shared" si="26"/>
        <v>391.049213407602</v>
      </c>
      <c r="O84" s="132">
        <f t="shared" si="27"/>
        <v>49.0839</v>
      </c>
      <c r="P84" s="133">
        <f t="shared" si="28"/>
        <v>358.39001224152986</v>
      </c>
      <c r="AO84" s="17"/>
      <c r="AP84" s="223"/>
      <c r="AQ84" s="125"/>
      <c r="AX84" s="15">
        <v>43</v>
      </c>
      <c r="AY84" s="124">
        <f t="shared" si="11"/>
        <v>591.61960000000022</v>
      </c>
      <c r="AZ84" s="124">
        <f t="shared" si="12"/>
        <v>1004.4453075853991</v>
      </c>
      <c r="BA84" s="124">
        <f t="shared" si="13"/>
        <v>557.37209999999982</v>
      </c>
      <c r="BB84" s="124">
        <f t="shared" si="14"/>
        <v>964.16729630275893</v>
      </c>
      <c r="BC84" s="124">
        <f t="shared" si="15"/>
        <v>519.72550000000001</v>
      </c>
      <c r="BD84" s="124">
        <f t="shared" si="16"/>
        <v>919.83404336439548</v>
      </c>
    </row>
    <row r="85" spans="7:56" x14ac:dyDescent="0.25">
      <c r="G85" s="125"/>
      <c r="J85" s="129">
        <v>37</v>
      </c>
      <c r="K85" s="132">
        <f t="shared" si="23"/>
        <v>93.977500000000006</v>
      </c>
      <c r="L85" s="133">
        <f t="shared" si="24"/>
        <v>415.73546971875464</v>
      </c>
      <c r="M85" s="132">
        <f t="shared" si="25"/>
        <v>76.554299999999998</v>
      </c>
      <c r="N85" s="133">
        <f t="shared" si="26"/>
        <v>393.58292719272436</v>
      </c>
      <c r="O85" s="132">
        <f t="shared" si="27"/>
        <v>50.679099999999998</v>
      </c>
      <c r="P85" s="133">
        <f t="shared" si="28"/>
        <v>360.44495211632733</v>
      </c>
      <c r="AO85" s="17"/>
      <c r="AP85" s="223"/>
      <c r="AQ85" s="125"/>
      <c r="AX85" s="15">
        <v>44</v>
      </c>
      <c r="AY85" s="124">
        <f t="shared" si="11"/>
        <v>595.84080000000017</v>
      </c>
      <c r="AZ85" s="124">
        <f t="shared" si="12"/>
        <v>1009.4065160746078</v>
      </c>
      <c r="BA85" s="124">
        <f t="shared" si="13"/>
        <v>563.18359999999984</v>
      </c>
      <c r="BB85" s="124">
        <f t="shared" si="14"/>
        <v>971.00553679713846</v>
      </c>
      <c r="BC85" s="124">
        <f t="shared" si="15"/>
        <v>528.47240000000011</v>
      </c>
      <c r="BD85" s="124">
        <f t="shared" si="16"/>
        <v>930.14015001467385</v>
      </c>
    </row>
    <row r="86" spans="7:56" x14ac:dyDescent="0.25">
      <c r="G86" s="125"/>
      <c r="J86" s="129">
        <v>38</v>
      </c>
      <c r="K86" s="132">
        <f t="shared" si="23"/>
        <v>96.545300000000012</v>
      </c>
      <c r="L86" s="133">
        <f t="shared" si="24"/>
        <v>418.99152320471075</v>
      </c>
      <c r="M86" s="132">
        <f t="shared" si="25"/>
        <v>78.541399999999996</v>
      </c>
      <c r="N86" s="133">
        <f t="shared" si="26"/>
        <v>396.11505270836858</v>
      </c>
      <c r="O86" s="132">
        <f t="shared" si="27"/>
        <v>52.274299999999997</v>
      </c>
      <c r="P86" s="133">
        <f t="shared" si="28"/>
        <v>362.49826967747754</v>
      </c>
      <c r="AO86" s="17"/>
      <c r="AP86" s="223"/>
      <c r="AQ86" s="125"/>
      <c r="AX86" s="15">
        <v>45</v>
      </c>
      <c r="AY86" s="124">
        <f t="shared" si="11"/>
        <v>599.75000000000023</v>
      </c>
      <c r="AZ86" s="124">
        <f t="shared" si="12"/>
        <v>1014.0004024916726</v>
      </c>
      <c r="BA86" s="124">
        <f t="shared" si="13"/>
        <v>568.59749999999985</v>
      </c>
      <c r="BB86" s="124">
        <f t="shared" si="14"/>
        <v>977.37465671776795</v>
      </c>
      <c r="BC86" s="124">
        <f t="shared" si="15"/>
        <v>536.75250000000005</v>
      </c>
      <c r="BD86" s="124">
        <f t="shared" si="16"/>
        <v>939.89306984700136</v>
      </c>
    </row>
    <row r="87" spans="7:56" x14ac:dyDescent="0.25">
      <c r="G87" s="125"/>
      <c r="J87" s="129">
        <v>39</v>
      </c>
      <c r="K87" s="132">
        <f t="shared" si="23"/>
        <v>99.113100000000003</v>
      </c>
      <c r="L87" s="133">
        <f t="shared" si="24"/>
        <v>422.24552968134856</v>
      </c>
      <c r="M87" s="132">
        <f t="shared" si="25"/>
        <v>80.528499999999994</v>
      </c>
      <c r="N87" s="133">
        <f t="shared" si="26"/>
        <v>398.64563475881744</v>
      </c>
      <c r="O87" s="132">
        <f t="shared" si="27"/>
        <v>53.869500000000002</v>
      </c>
      <c r="P87" s="133">
        <f t="shared" si="28"/>
        <v>364.55002011330589</v>
      </c>
      <c r="AO87" s="17"/>
      <c r="AP87" s="223"/>
      <c r="AQ87" s="125"/>
      <c r="AX87" s="15">
        <v>46</v>
      </c>
      <c r="AY87" s="124">
        <f t="shared" si="11"/>
        <v>603.38560000000007</v>
      </c>
      <c r="AZ87" s="124">
        <f t="shared" si="12"/>
        <v>1018.2722321721419</v>
      </c>
      <c r="BA87" s="124">
        <f t="shared" si="13"/>
        <v>573.64200000000005</v>
      </c>
      <c r="BB87" s="124">
        <f t="shared" si="14"/>
        <v>983.30810522298668</v>
      </c>
      <c r="BC87" s="124">
        <f t="shared" si="15"/>
        <v>544.57119999999998</v>
      </c>
      <c r="BD87" s="124">
        <f t="shared" si="16"/>
        <v>949.09973171442891</v>
      </c>
    </row>
    <row r="88" spans="7:56" x14ac:dyDescent="0.25">
      <c r="G88" s="125"/>
      <c r="J88" s="129">
        <v>40</v>
      </c>
      <c r="K88" s="132">
        <f t="shared" si="23"/>
        <v>101.68090000000001</v>
      </c>
      <c r="L88" s="133">
        <f t="shared" si="24"/>
        <v>425.49754827942576</v>
      </c>
      <c r="M88" s="132">
        <f t="shared" si="25"/>
        <v>82.515600000000006</v>
      </c>
      <c r="N88" s="133">
        <f t="shared" si="26"/>
        <v>401.17471581114955</v>
      </c>
      <c r="O88" s="132">
        <f t="shared" si="27"/>
        <v>55.464700000000001</v>
      </c>
      <c r="P88" s="133">
        <f t="shared" si="28"/>
        <v>366.60025515782866</v>
      </c>
      <c r="AO88" s="17"/>
      <c r="AP88" s="223"/>
      <c r="AQ88" s="125"/>
      <c r="AX88" s="15">
        <v>47</v>
      </c>
      <c r="AY88" s="124">
        <f t="shared" si="11"/>
        <v>606.78600000000006</v>
      </c>
      <c r="AZ88" s="124">
        <f t="shared" si="12"/>
        <v>1022.2672371714053</v>
      </c>
      <c r="BA88" s="124">
        <f t="shared" si="13"/>
        <v>578.34529999999972</v>
      </c>
      <c r="BB88" s="124">
        <f t="shared" si="14"/>
        <v>988.839284743544</v>
      </c>
      <c r="BC88" s="124">
        <f t="shared" si="15"/>
        <v>551.93389999999999</v>
      </c>
      <c r="BD88" s="124">
        <f t="shared" si="16"/>
        <v>957.7670103797692</v>
      </c>
    </row>
    <row r="89" spans="7:56" x14ac:dyDescent="0.25">
      <c r="G89" s="125"/>
      <c r="J89" s="129">
        <v>41</v>
      </c>
      <c r="K89" s="132">
        <f t="shared" si="23"/>
        <v>104.24870000000001</v>
      </c>
      <c r="L89" s="133">
        <f t="shared" si="24"/>
        <v>428.74763497299426</v>
      </c>
      <c r="M89" s="132">
        <f t="shared" si="25"/>
        <v>84.502700000000004</v>
      </c>
      <c r="N89" s="133">
        <f t="shared" si="26"/>
        <v>403.70233617046324</v>
      </c>
      <c r="O89" s="132">
        <f t="shared" si="27"/>
        <v>57.059899999999999</v>
      </c>
      <c r="P89" s="133">
        <f t="shared" si="28"/>
        <v>368.64902340001674</v>
      </c>
      <c r="AX89" s="15">
        <v>48</v>
      </c>
      <c r="AY89" s="124">
        <f t="shared" si="11"/>
        <v>609.98960000000011</v>
      </c>
      <c r="AZ89" s="124">
        <f t="shared" si="12"/>
        <v>1026.0306207368608</v>
      </c>
      <c r="BA89" s="124">
        <f t="shared" si="13"/>
        <v>582.73559999999975</v>
      </c>
      <c r="BB89" s="124">
        <f t="shared" si="14"/>
        <v>994.00155662820259</v>
      </c>
      <c r="BC89" s="124">
        <f t="shared" si="15"/>
        <v>558.84600000000023</v>
      </c>
      <c r="BD89" s="124">
        <f t="shared" si="16"/>
        <v>965.90173099265996</v>
      </c>
    </row>
    <row r="90" spans="7:56" x14ac:dyDescent="0.25">
      <c r="G90" s="125"/>
      <c r="J90" s="129">
        <v>42</v>
      </c>
      <c r="K90" s="132">
        <f t="shared" si="23"/>
        <v>106.8165</v>
      </c>
      <c r="L90" s="133">
        <f t="shared" si="24"/>
        <v>431.9958428214656</v>
      </c>
      <c r="M90" s="132">
        <f t="shared" si="25"/>
        <v>86.489800000000002</v>
      </c>
      <c r="N90" s="133">
        <f t="shared" si="26"/>
        <v>406.22853413815483</v>
      </c>
      <c r="O90" s="132">
        <f t="shared" si="27"/>
        <v>58.655100000000004</v>
      </c>
      <c r="P90" s="133">
        <f t="shared" si="28"/>
        <v>370.6963705575036</v>
      </c>
      <c r="AX90" s="15">
        <v>49</v>
      </c>
      <c r="AY90" s="124">
        <f t="shared" si="11"/>
        <v>613.03480000000013</v>
      </c>
      <c r="AZ90" s="124">
        <f t="shared" si="12"/>
        <v>1029.6075610371518</v>
      </c>
      <c r="BA90" s="124">
        <f t="shared" si="13"/>
        <v>586.84109999999987</v>
      </c>
      <c r="BB90" s="124">
        <f t="shared" si="14"/>
        <v>998.82824612594118</v>
      </c>
      <c r="BC90" s="124">
        <f t="shared" si="15"/>
        <v>565.31290000000024</v>
      </c>
      <c r="BD90" s="124">
        <f t="shared" si="16"/>
        <v>973.51067307220535</v>
      </c>
    </row>
    <row r="91" spans="7:56" x14ac:dyDescent="0.25">
      <c r="G91" s="125"/>
      <c r="J91" s="129">
        <v>43</v>
      </c>
      <c r="K91" s="132">
        <f t="shared" si="23"/>
        <v>109.38430000000001</v>
      </c>
      <c r="L91" s="133">
        <f t="shared" si="24"/>
        <v>435.24222218774463</v>
      </c>
      <c r="M91" s="132">
        <f t="shared" si="25"/>
        <v>88.476900000000001</v>
      </c>
      <c r="N91" s="133">
        <f t="shared" si="26"/>
        <v>408.7533461552411</v>
      </c>
      <c r="O91" s="132">
        <f t="shared" si="27"/>
        <v>60.250299999999996</v>
      </c>
      <c r="P91" s="133">
        <f t="shared" si="28"/>
        <v>372.74233971968022</v>
      </c>
      <c r="AX91" s="15">
        <v>50</v>
      </c>
      <c r="AY91" s="124">
        <f t="shared" si="11"/>
        <v>615.96</v>
      </c>
      <c r="AZ91" s="124">
        <f t="shared" si="12"/>
        <v>1033.0432141940205</v>
      </c>
      <c r="BA91" s="124">
        <f t="shared" si="13"/>
        <v>590.69000000000005</v>
      </c>
      <c r="BB91" s="124">
        <f t="shared" si="14"/>
        <v>1003.3526467716551</v>
      </c>
      <c r="BC91" s="124">
        <f t="shared" si="15"/>
        <v>571.34000000000026</v>
      </c>
      <c r="BD91" s="124">
        <f t="shared" si="16"/>
        <v>980.60057406224598</v>
      </c>
    </row>
    <row r="92" spans="7:56" x14ac:dyDescent="0.25">
      <c r="G92" s="125"/>
      <c r="J92" s="129">
        <v>44</v>
      </c>
      <c r="K92" s="132">
        <f t="shared" si="23"/>
        <v>111.95210000000002</v>
      </c>
      <c r="L92" s="133">
        <f t="shared" si="24"/>
        <v>438.48682093530232</v>
      </c>
      <c r="M92" s="132">
        <f t="shared" si="25"/>
        <v>90.463999999999999</v>
      </c>
      <c r="N92" s="133">
        <f t="shared" si="26"/>
        <v>411.27680693244304</v>
      </c>
      <c r="O92" s="132">
        <f t="shared" si="27"/>
        <v>61.845500000000001</v>
      </c>
      <c r="P92" s="133">
        <f t="shared" si="28"/>
        <v>374.78697156432122</v>
      </c>
      <c r="AX92" s="15">
        <v>51</v>
      </c>
      <c r="AY92" s="124">
        <f t="shared" si="11"/>
        <v>618.80359999999996</v>
      </c>
      <c r="AZ92" s="124">
        <f t="shared" si="12"/>
        <v>1036.3827166540257</v>
      </c>
      <c r="BA92" s="124">
        <f t="shared" si="13"/>
        <v>594.31050000000005</v>
      </c>
      <c r="BB92" s="124">
        <f t="shared" si="14"/>
        <v>1007.6080242306831</v>
      </c>
      <c r="BC92" s="124">
        <f t="shared" si="15"/>
        <v>576.93270000000018</v>
      </c>
      <c r="BD92" s="124">
        <f t="shared" si="16"/>
        <v>987.17813251557698</v>
      </c>
    </row>
    <row r="93" spans="7:56" x14ac:dyDescent="0.25">
      <c r="G93" s="125"/>
      <c r="J93" s="129">
        <v>45</v>
      </c>
      <c r="K93" s="132">
        <f t="shared" si="23"/>
        <v>114.51990000000001</v>
      </c>
      <c r="L93" s="133">
        <f t="shared" si="24"/>
        <v>441.72968460665942</v>
      </c>
      <c r="M93" s="132">
        <f t="shared" si="25"/>
        <v>92.451099999999997</v>
      </c>
      <c r="N93" s="133">
        <f t="shared" si="26"/>
        <v>413.79894956851842</v>
      </c>
      <c r="O93" s="132">
        <f t="shared" si="27"/>
        <v>63.440699999999993</v>
      </c>
      <c r="P93" s="133">
        <f t="shared" si="28"/>
        <v>376.83030455123225</v>
      </c>
      <c r="AX93" s="15">
        <v>52</v>
      </c>
      <c r="AY93" s="124">
        <f t="shared" si="11"/>
        <v>621.60399999999981</v>
      </c>
      <c r="AZ93" s="124">
        <f t="shared" si="12"/>
        <v>1039.6711869309349</v>
      </c>
      <c r="BA93" s="124">
        <f t="shared" si="13"/>
        <v>597.73079999999959</v>
      </c>
      <c r="BB93" s="124">
        <f t="shared" si="14"/>
        <v>1011.6276196479979</v>
      </c>
      <c r="BC93" s="124">
        <f t="shared" si="15"/>
        <v>582.09640000000024</v>
      </c>
      <c r="BD93" s="124">
        <f t="shared" si="16"/>
        <v>993.2500109546877</v>
      </c>
    </row>
    <row r="94" spans="7:56" x14ac:dyDescent="0.25">
      <c r="G94" s="125"/>
      <c r="J94" s="129">
        <v>46</v>
      </c>
      <c r="K94" s="132">
        <f t="shared" si="23"/>
        <v>117.08770000000001</v>
      </c>
      <c r="L94" s="133">
        <f t="shared" si="24"/>
        <v>444.97085658541016</v>
      </c>
      <c r="M94" s="132">
        <f t="shared" si="25"/>
        <v>94.438199999999995</v>
      </c>
      <c r="N94" s="133">
        <f t="shared" si="26"/>
        <v>416.31980565813257</v>
      </c>
      <c r="O94" s="132">
        <f t="shared" si="27"/>
        <v>65.035899999999998</v>
      </c>
      <c r="P94" s="133">
        <f t="shared" si="28"/>
        <v>378.87237509587163</v>
      </c>
      <c r="AX94" s="15">
        <v>53</v>
      </c>
      <c r="AY94" s="124">
        <f t="shared" si="11"/>
        <v>624.39960000000019</v>
      </c>
      <c r="AZ94" s="124">
        <f t="shared" si="12"/>
        <v>1042.9537267447931</v>
      </c>
      <c r="BA94" s="124">
        <f t="shared" si="13"/>
        <v>600.97909999999956</v>
      </c>
      <c r="BB94" s="124">
        <f t="shared" si="14"/>
        <v>1015.4446525400625</v>
      </c>
      <c r="BC94" s="124">
        <f t="shared" si="15"/>
        <v>586.83650000000011</v>
      </c>
      <c r="BD94" s="124">
        <f t="shared" si="16"/>
        <v>998.8228384493641</v>
      </c>
    </row>
    <row r="95" spans="7:56" x14ac:dyDescent="0.25">
      <c r="G95" s="125"/>
      <c r="J95" s="129">
        <v>47</v>
      </c>
      <c r="K95" s="132">
        <f t="shared" si="23"/>
        <v>119.6555</v>
      </c>
      <c r="L95" s="133">
        <f t="shared" si="24"/>
        <v>448.21037824363219</v>
      </c>
      <c r="M95" s="132">
        <f t="shared" si="25"/>
        <v>96.425300000000007</v>
      </c>
      <c r="N95" s="133">
        <f t="shared" si="26"/>
        <v>418.83940539039571</v>
      </c>
      <c r="O95" s="132">
        <f t="shared" si="27"/>
        <v>66.631100000000004</v>
      </c>
      <c r="P95" s="133">
        <f t="shared" si="28"/>
        <v>380.91321772545905</v>
      </c>
      <c r="AX95" s="15">
        <v>54</v>
      </c>
      <c r="AY95" s="124">
        <f t="shared" si="11"/>
        <v>627.22880000000032</v>
      </c>
      <c r="AZ95" s="124">
        <f t="shared" si="12"/>
        <v>1046.2754215802836</v>
      </c>
      <c r="BA95" s="124">
        <f t="shared" si="13"/>
        <v>604.08359999999993</v>
      </c>
      <c r="BB95" s="124">
        <f t="shared" si="14"/>
        <v>1019.0923232609031</v>
      </c>
      <c r="BC95" s="124">
        <f t="shared" si="15"/>
        <v>591.15840000000014</v>
      </c>
      <c r="BD95" s="124">
        <f t="shared" si="16"/>
        <v>1003.9032129455476</v>
      </c>
    </row>
    <row r="96" spans="7:56" x14ac:dyDescent="0.25">
      <c r="G96" s="125"/>
      <c r="J96" s="129">
        <v>48</v>
      </c>
      <c r="K96" s="132">
        <f t="shared" si="23"/>
        <v>122.22330000000001</v>
      </c>
      <c r="L96" s="133">
        <f t="shared" si="24"/>
        <v>451.4482890762855</v>
      </c>
      <c r="M96" s="132">
        <f t="shared" si="25"/>
        <v>98.412400000000005</v>
      </c>
      <c r="N96" s="133">
        <f t="shared" si="26"/>
        <v>421.35777763904656</v>
      </c>
      <c r="O96" s="132">
        <f t="shared" si="27"/>
        <v>68.226299999999995</v>
      </c>
      <c r="P96" s="133">
        <f t="shared" si="28"/>
        <v>382.95286521971286</v>
      </c>
      <c r="AX96" s="15">
        <v>55</v>
      </c>
      <c r="AY96" s="124">
        <f t="shared" si="11"/>
        <v>630.13000000000034</v>
      </c>
      <c r="AZ96" s="124">
        <f t="shared" si="12"/>
        <v>1049.6813406849176</v>
      </c>
      <c r="BA96" s="124">
        <f t="shared" si="13"/>
        <v>607.07250000000022</v>
      </c>
      <c r="BB96" s="124">
        <f t="shared" si="14"/>
        <v>1022.6038150686653</v>
      </c>
      <c r="BC96" s="124">
        <f t="shared" si="15"/>
        <v>595.06750000000022</v>
      </c>
      <c r="BD96" s="124">
        <f t="shared" si="16"/>
        <v>1008.4977033748614</v>
      </c>
    </row>
    <row r="97" spans="7:56" x14ac:dyDescent="0.25">
      <c r="G97" s="125"/>
      <c r="J97" s="129">
        <v>49</v>
      </c>
      <c r="K97" s="132">
        <f t="shared" si="23"/>
        <v>124.79110000000001</v>
      </c>
      <c r="L97" s="133">
        <f t="shared" si="24"/>
        <v>454.68462682399883</v>
      </c>
      <c r="M97" s="132">
        <f t="shared" si="25"/>
        <v>100.3995</v>
      </c>
      <c r="N97" s="133">
        <f t="shared" si="26"/>
        <v>423.87495004514795</v>
      </c>
      <c r="O97" s="132">
        <f t="shared" si="27"/>
        <v>69.8215</v>
      </c>
      <c r="P97" s="133">
        <f t="shared" si="28"/>
        <v>384.9913487380548</v>
      </c>
      <c r="AX97" s="15">
        <v>56</v>
      </c>
      <c r="AY97" s="124">
        <f t="shared" si="11"/>
        <v>633.14160000000061</v>
      </c>
      <c r="AZ97" s="124">
        <f t="shared" si="12"/>
        <v>1053.2165365266756</v>
      </c>
      <c r="BA97" s="124">
        <f t="shared" si="13"/>
        <v>609.97400000000016</v>
      </c>
      <c r="BB97" s="124">
        <f t="shared" si="14"/>
        <v>1026.0122958146242</v>
      </c>
      <c r="BC97" s="124">
        <f t="shared" si="15"/>
        <v>598.56920000000025</v>
      </c>
      <c r="BD97" s="124">
        <f t="shared" si="16"/>
        <v>1012.6128515700866</v>
      </c>
    </row>
    <row r="98" spans="7:56" x14ac:dyDescent="0.25">
      <c r="G98" s="125"/>
      <c r="J98" s="129">
        <v>50</v>
      </c>
      <c r="K98" s="132">
        <f t="shared" si="23"/>
        <v>127.35890000000002</v>
      </c>
      <c r="L98" s="133">
        <f t="shared" si="24"/>
        <v>457.91942758546378</v>
      </c>
      <c r="M98" s="132">
        <f t="shared" si="25"/>
        <v>102.3866</v>
      </c>
      <c r="N98" s="133">
        <f t="shared" si="26"/>
        <v>426.3909490930501</v>
      </c>
      <c r="O98" s="132">
        <f t="shared" si="27"/>
        <v>71.416699999999992</v>
      </c>
      <c r="P98" s="133">
        <f t="shared" si="28"/>
        <v>387.02869793486155</v>
      </c>
      <c r="AX98" s="15">
        <v>57</v>
      </c>
      <c r="AY98" s="124">
        <f t="shared" si="11"/>
        <v>636.30200000000013</v>
      </c>
      <c r="AZ98" s="124">
        <f t="shared" si="12"/>
        <v>1056.9260437308621</v>
      </c>
      <c r="BA98" s="124">
        <f t="shared" si="13"/>
        <v>612.8162999999995</v>
      </c>
      <c r="BB98" s="124">
        <f t="shared" si="14"/>
        <v>1029.3509192731337</v>
      </c>
      <c r="BC98" s="124">
        <f t="shared" si="15"/>
        <v>601.66890000000024</v>
      </c>
      <c r="BD98" s="124">
        <f t="shared" si="16"/>
        <v>1016.2551740083748</v>
      </c>
    </row>
    <row r="99" spans="7:56" x14ac:dyDescent="0.25">
      <c r="G99" s="125"/>
      <c r="J99" s="129">
        <v>51</v>
      </c>
      <c r="K99" s="132">
        <f t="shared" si="23"/>
        <v>129.92669999999998</v>
      </c>
      <c r="L99" s="133">
        <f t="shared" si="24"/>
        <v>461.15272592050957</v>
      </c>
      <c r="M99" s="132">
        <f t="shared" si="25"/>
        <v>104.3737</v>
      </c>
      <c r="N99" s="133">
        <f t="shared" si="26"/>
        <v>428.90580018028953</v>
      </c>
      <c r="O99" s="132">
        <f t="shared" si="27"/>
        <v>73.011899999999997</v>
      </c>
      <c r="P99" s="133">
        <f t="shared" si="28"/>
        <v>389.06494106412958</v>
      </c>
      <c r="AX99" s="15">
        <v>58</v>
      </c>
      <c r="AY99" s="124">
        <f t="shared" si="11"/>
        <v>639.64960000000019</v>
      </c>
      <c r="AZ99" s="124">
        <f t="shared" si="12"/>
        <v>1060.8548775170739</v>
      </c>
      <c r="BA99" s="124">
        <f t="shared" si="13"/>
        <v>615.6275999999998</v>
      </c>
      <c r="BB99" s="124">
        <f t="shared" si="14"/>
        <v>1032.6528261283238</v>
      </c>
      <c r="BC99" s="124">
        <f t="shared" si="15"/>
        <v>604.37200000000018</v>
      </c>
      <c r="BD99" s="124">
        <f t="shared" si="16"/>
        <v>1019.431163401058</v>
      </c>
    </row>
    <row r="100" spans="7:56" x14ac:dyDescent="0.25">
      <c r="G100" s="125"/>
      <c r="J100" s="129">
        <v>52</v>
      </c>
      <c r="K100" s="132">
        <f t="shared" si="23"/>
        <v>132.49449999999999</v>
      </c>
      <c r="L100" s="133">
        <f t="shared" si="24"/>
        <v>464.38455494479808</v>
      </c>
      <c r="M100" s="132">
        <f t="shared" si="25"/>
        <v>106.3608</v>
      </c>
      <c r="N100" s="133">
        <f t="shared" si="26"/>
        <v>431.41952768201571</v>
      </c>
      <c r="O100" s="132">
        <f t="shared" si="27"/>
        <v>74.607100000000003</v>
      </c>
      <c r="P100" s="133">
        <f t="shared" si="28"/>
        <v>391.10010507473396</v>
      </c>
      <c r="AX100" s="15">
        <v>59</v>
      </c>
      <c r="AY100" s="124">
        <f t="shared" si="11"/>
        <v>643.22280000000001</v>
      </c>
      <c r="AZ100" s="124">
        <f t="shared" si="12"/>
        <v>1065.0480316591036</v>
      </c>
      <c r="BA100" s="124">
        <f t="shared" si="13"/>
        <v>618.4360999999999</v>
      </c>
      <c r="BB100" s="124">
        <f t="shared" si="14"/>
        <v>1035.9511446312408</v>
      </c>
      <c r="BC100" s="124">
        <f t="shared" si="15"/>
        <v>606.68390000000011</v>
      </c>
      <c r="BD100" s="124">
        <f t="shared" si="16"/>
        <v>1022.1472901464231</v>
      </c>
    </row>
    <row r="101" spans="7:56" x14ac:dyDescent="0.25">
      <c r="G101" s="125"/>
      <c r="J101" s="129">
        <v>53</v>
      </c>
      <c r="K101" s="132">
        <f t="shared" si="23"/>
        <v>135.06229999999999</v>
      </c>
      <c r="L101" s="133">
        <f t="shared" si="24"/>
        <v>467.61494641697118</v>
      </c>
      <c r="M101" s="132">
        <f t="shared" si="25"/>
        <v>108.3479</v>
      </c>
      <c r="N101" s="133">
        <f t="shared" si="26"/>
        <v>433.93215501046581</v>
      </c>
      <c r="O101" s="132">
        <f t="shared" si="27"/>
        <v>76.202299999999994</v>
      </c>
      <c r="P101" s="133">
        <f t="shared" si="28"/>
        <v>393.13421569731094</v>
      </c>
      <c r="AX101" s="15">
        <v>60</v>
      </c>
      <c r="AY101" s="124">
        <f t="shared" si="11"/>
        <v>647.0600000000004</v>
      </c>
      <c r="AZ101" s="124">
        <f t="shared" si="12"/>
        <v>1069.5504759933756</v>
      </c>
      <c r="BA101" s="124">
        <f t="shared" si="13"/>
        <v>621.26999999999975</v>
      </c>
      <c r="BB101" s="124">
        <f t="shared" si="14"/>
        <v>1039.2789909397034</v>
      </c>
      <c r="BC101" s="124">
        <f t="shared" si="15"/>
        <v>608.61000000000024</v>
      </c>
      <c r="BD101" s="124">
        <f t="shared" si="16"/>
        <v>1024.4100036597019</v>
      </c>
    </row>
    <row r="102" spans="7:56" x14ac:dyDescent="0.25">
      <c r="G102" s="125"/>
      <c r="J102" s="129">
        <v>54</v>
      </c>
      <c r="K102" s="132">
        <f t="shared" si="23"/>
        <v>137.6301</v>
      </c>
      <c r="L102" s="133">
        <f t="shared" si="24"/>
        <v>470.84393081898287</v>
      </c>
      <c r="M102" s="132">
        <f t="shared" si="25"/>
        <v>110.33500000000001</v>
      </c>
      <c r="N102" s="133">
        <f t="shared" si="26"/>
        <v>436.44370466995309</v>
      </c>
      <c r="O102" s="132">
        <f t="shared" si="27"/>
        <v>77.797499999999999</v>
      </c>
      <c r="P102" s="133">
        <f t="shared" si="28"/>
        <v>395.1672975236599</v>
      </c>
      <c r="AX102" s="15">
        <v>61</v>
      </c>
      <c r="AY102" s="124">
        <f t="shared" si="11"/>
        <v>651.19960000000037</v>
      </c>
      <c r="AZ102" s="124">
        <f t="shared" si="12"/>
        <v>1074.4071535047976</v>
      </c>
      <c r="BA102" s="124">
        <f t="shared" si="13"/>
        <v>624.1574999999998</v>
      </c>
      <c r="BB102" s="124">
        <f t="shared" si="14"/>
        <v>1042.669469152137</v>
      </c>
      <c r="BC102" s="124">
        <f t="shared" si="15"/>
        <v>610.15570000000014</v>
      </c>
      <c r="BD102" s="124">
        <f t="shared" si="16"/>
        <v>1026.2257335927286</v>
      </c>
    </row>
    <row r="103" spans="7:56" x14ac:dyDescent="0.25">
      <c r="G103" s="125"/>
      <c r="J103" s="129">
        <v>55</v>
      </c>
      <c r="K103" s="132">
        <f t="shared" si="23"/>
        <v>140.1979</v>
      </c>
      <c r="L103" s="133">
        <f t="shared" si="24"/>
        <v>474.07153743026714</v>
      </c>
      <c r="M103" s="132">
        <f t="shared" si="25"/>
        <v>112.32210000000001</v>
      </c>
      <c r="N103" s="133">
        <f t="shared" si="26"/>
        <v>438.95419830778246</v>
      </c>
      <c r="O103" s="132">
        <f t="shared" si="27"/>
        <v>79.392700000000005</v>
      </c>
      <c r="P103" s="133">
        <f t="shared" si="28"/>
        <v>397.1993740794486</v>
      </c>
      <c r="AX103" s="15">
        <v>62</v>
      </c>
      <c r="AY103" s="124">
        <f t="shared" si="11"/>
        <v>655.67999999999984</v>
      </c>
      <c r="AZ103" s="124">
        <f t="shared" si="12"/>
        <v>1079.6629770227746</v>
      </c>
      <c r="BA103" s="124">
        <f t="shared" si="13"/>
        <v>627.12679999999978</v>
      </c>
      <c r="BB103" s="124">
        <f t="shared" si="14"/>
        <v>1046.1556710462096</v>
      </c>
      <c r="BC103" s="124">
        <f t="shared" si="15"/>
        <v>611.32640000000026</v>
      </c>
      <c r="BD103" s="124">
        <f t="shared" si="16"/>
        <v>1027.600890954162</v>
      </c>
    </row>
    <row r="104" spans="7:56" x14ac:dyDescent="0.25">
      <c r="G104" s="125"/>
      <c r="J104" s="129">
        <v>56</v>
      </c>
      <c r="K104" s="132">
        <f t="shared" si="23"/>
        <v>142.76570000000001</v>
      </c>
      <c r="L104" s="133">
        <f t="shared" si="24"/>
        <v>477.29779439631864</v>
      </c>
      <c r="M104" s="132">
        <f t="shared" si="25"/>
        <v>114.3092</v>
      </c>
      <c r="N104" s="133">
        <f t="shared" si="26"/>
        <v>441.46365676146081</v>
      </c>
      <c r="O104" s="132">
        <f t="shared" si="27"/>
        <v>80.987899999999996</v>
      </c>
      <c r="P104" s="133">
        <f t="shared" si="28"/>
        <v>399.23046789091063</v>
      </c>
      <c r="AX104" s="15">
        <v>63</v>
      </c>
      <c r="AY104" s="124">
        <f t="shared" si="11"/>
        <v>660.53960000000006</v>
      </c>
      <c r="AZ104" s="124">
        <f t="shared" si="12"/>
        <v>1085.362825564285</v>
      </c>
      <c r="BA104" s="124">
        <f t="shared" si="13"/>
        <v>630.20609999999988</v>
      </c>
      <c r="BB104" s="124">
        <f t="shared" ref="BB104:BB106" si="29">IF(BA104&gt;0,(((BA104*AY$3*AY$4) +EXP(-1.0587+(0.8836*LN(BA104*AY$3*AY$4))+0.284))*0.475+70+10)*(44/12),0)</f>
        <v>1049.770675533043</v>
      </c>
      <c r="BC104" s="124">
        <f t="shared" si="15"/>
        <v>612.12750000000017</v>
      </c>
      <c r="BD104" s="124">
        <f t="shared" ref="BD104:BD106" si="30">IF(BC104&gt;0,(((BC104*AY$3*AY$4) +EXP(-1.0587+(0.8836*LN(BC104*AY$3*AY$4))+0.284))*0.475+70+10)*(44/12),0)</f>
        <v>1028.5418691398329</v>
      </c>
    </row>
    <row r="105" spans="7:56" x14ac:dyDescent="0.25">
      <c r="G105" s="125"/>
      <c r="J105" s="129">
        <v>57</v>
      </c>
      <c r="K105" s="132">
        <f t="shared" si="23"/>
        <v>145.33349999999999</v>
      </c>
      <c r="L105" s="133">
        <f t="shared" si="24"/>
        <v>480.52272879219839</v>
      </c>
      <c r="M105" s="132">
        <f t="shared" si="25"/>
        <v>116.2963</v>
      </c>
      <c r="N105" s="133">
        <f t="shared" si="26"/>
        <v>443.97210010253127</v>
      </c>
      <c r="O105" s="132">
        <f t="shared" si="27"/>
        <v>82.583100000000002</v>
      </c>
      <c r="P105" s="133">
        <f t="shared" si="28"/>
        <v>401.26060054613959</v>
      </c>
      <c r="AX105" s="15">
        <v>64</v>
      </c>
      <c r="AY105" s="124">
        <f t="shared" si="11"/>
        <v>665.81680000000006</v>
      </c>
      <c r="AZ105" s="124">
        <f t="shared" si="12"/>
        <v>1091.5515403652321</v>
      </c>
      <c r="BA105" s="124">
        <f t="shared" si="13"/>
        <v>633.42360000000008</v>
      </c>
      <c r="BB105" s="124">
        <f t="shared" si="29"/>
        <v>1053.5475478381102</v>
      </c>
      <c r="BC105" s="124">
        <f t="shared" si="15"/>
        <v>612.56440000000009</v>
      </c>
      <c r="BD105" s="124">
        <f t="shared" si="30"/>
        <v>1029.0550448816452</v>
      </c>
    </row>
    <row r="106" spans="7:56" x14ac:dyDescent="0.25">
      <c r="G106" s="125"/>
      <c r="J106" s="129">
        <v>58</v>
      </c>
      <c r="K106" s="132">
        <f t="shared" si="23"/>
        <v>147.90129999999999</v>
      </c>
      <c r="L106" s="133">
        <f t="shared" si="24"/>
        <v>483.74636668142608</v>
      </c>
      <c r="M106" s="132">
        <f t="shared" si="25"/>
        <v>118.2834</v>
      </c>
      <c r="N106" s="133">
        <f t="shared" si="26"/>
        <v>446.47954767732693</v>
      </c>
      <c r="O106" s="132">
        <f t="shared" si="27"/>
        <v>84.178299999999993</v>
      </c>
      <c r="P106" s="133">
        <f t="shared" si="28"/>
        <v>403.28979275151261</v>
      </c>
      <c r="AX106" s="15">
        <v>65</v>
      </c>
      <c r="AY106" s="124">
        <f t="shared" si="11"/>
        <v>671.55000000000109</v>
      </c>
      <c r="AZ106" s="124">
        <f t="shared" si="12"/>
        <v>1098.2739206456438</v>
      </c>
      <c r="BA106" s="124">
        <f t="shared" si="13"/>
        <v>636.80749999999944</v>
      </c>
      <c r="BB106" s="124">
        <f t="shared" si="29"/>
        <v>1057.5193384206532</v>
      </c>
      <c r="BC106" s="124">
        <f t="shared" si="15"/>
        <v>612.64250000000004</v>
      </c>
      <c r="BD106" s="124">
        <f t="shared" si="30"/>
        <v>1029.1467791224329</v>
      </c>
    </row>
    <row r="107" spans="7:56" x14ac:dyDescent="0.25">
      <c r="G107" s="125"/>
      <c r="J107" s="129">
        <v>59</v>
      </c>
      <c r="K107" s="132">
        <f t="shared" si="23"/>
        <v>150.4691</v>
      </c>
      <c r="L107" s="133">
        <f t="shared" si="24"/>
        <v>486.9687331706657</v>
      </c>
      <c r="M107" s="132">
        <f t="shared" si="25"/>
        <v>120.2705</v>
      </c>
      <c r="N107" s="133">
        <f t="shared" si="26"/>
        <v>448.98601814490877</v>
      </c>
      <c r="O107" s="132">
        <f t="shared" si="27"/>
        <v>85.773499999999999</v>
      </c>
      <c r="P107" s="133">
        <f t="shared" si="28"/>
        <v>405.31806438371689</v>
      </c>
    </row>
    <row r="108" spans="7:56" x14ac:dyDescent="0.25">
      <c r="G108" s="125"/>
      <c r="J108" s="129">
        <v>60</v>
      </c>
      <c r="K108" s="132">
        <f t="shared" si="23"/>
        <v>153.0369</v>
      </c>
      <c r="L108" s="133">
        <f t="shared" si="24"/>
        <v>490.18985246057184</v>
      </c>
      <c r="M108" s="132">
        <f t="shared" si="25"/>
        <v>122.2576</v>
      </c>
      <c r="N108" s="133">
        <f t="shared" si="26"/>
        <v>451.49152951242434</v>
      </c>
      <c r="O108" s="132">
        <f t="shared" si="27"/>
        <v>87.368700000000004</v>
      </c>
      <c r="P108" s="133">
        <f t="shared" si="28"/>
        <v>407.34543453779611</v>
      </c>
    </row>
    <row r="109" spans="7:56" x14ac:dyDescent="0.25">
      <c r="G109" s="125"/>
      <c r="J109" s="129">
        <v>61</v>
      </c>
      <c r="K109" s="132">
        <f t="shared" si="23"/>
        <v>155.60470000000001</v>
      </c>
      <c r="L109" s="133">
        <f t="shared" si="24"/>
        <v>493.40974789312867</v>
      </c>
      <c r="M109" s="132">
        <f t="shared" si="25"/>
        <v>124.24470000000001</v>
      </c>
      <c r="N109" s="133">
        <f t="shared" si="26"/>
        <v>453.9960991681038</v>
      </c>
      <c r="O109" s="132">
        <f t="shared" si="27"/>
        <v>88.963899999999995</v>
      </c>
      <c r="P109" s="133">
        <f t="shared" si="28"/>
        <v>409.37192157158836</v>
      </c>
    </row>
    <row r="110" spans="7:56" x14ac:dyDescent="0.25">
      <c r="G110" s="125"/>
      <c r="J110" s="129">
        <v>62</v>
      </c>
      <c r="K110" s="132">
        <f t="shared" si="23"/>
        <v>158.17249999999999</v>
      </c>
      <c r="L110" s="133">
        <f t="shared" si="24"/>
        <v>496.62844199577353</v>
      </c>
      <c r="M110" s="132">
        <f t="shared" si="25"/>
        <v>126.23180000000001</v>
      </c>
      <c r="N110" s="133">
        <f t="shared" si="26"/>
        <v>456.49974391208417</v>
      </c>
      <c r="O110" s="132">
        <f t="shared" si="27"/>
        <v>90.559100000000001</v>
      </c>
      <c r="P110" s="133">
        <f t="shared" si="28"/>
        <v>411.39754314688724</v>
      </c>
    </row>
    <row r="111" spans="7:56" x14ac:dyDescent="0.25">
      <c r="G111" s="125"/>
      <c r="J111" s="129">
        <v>63</v>
      </c>
      <c r="K111" s="132">
        <f t="shared" si="23"/>
        <v>160.74029999999999</v>
      </c>
      <c r="L111" s="133">
        <f t="shared" si="24"/>
        <v>499.84595652257548</v>
      </c>
      <c r="M111" s="132">
        <f t="shared" si="25"/>
        <v>128.21890000000002</v>
      </c>
      <c r="N111" s="133">
        <f t="shared" si="26"/>
        <v>459.0024799852377</v>
      </c>
      <c r="O111" s="132">
        <f t="shared" si="27"/>
        <v>92.154299999999992</v>
      </c>
      <c r="P111" s="133">
        <f t="shared" si="28"/>
        <v>413.42231626761981</v>
      </c>
    </row>
    <row r="112" spans="7:56" x14ac:dyDescent="0.25">
      <c r="J112" s="129">
        <v>64</v>
      </c>
      <c r="K112" s="132">
        <f t="shared" si="23"/>
        <v>163.3081</v>
      </c>
      <c r="L112" s="133">
        <f t="shared" si="24"/>
        <v>503.06231249270672</v>
      </c>
      <c r="M112" s="132">
        <f t="shared" si="25"/>
        <v>130.20600000000002</v>
      </c>
      <c r="N112" s="133">
        <f t="shared" si="26"/>
        <v>461.50432309616303</v>
      </c>
      <c r="O112" s="132">
        <f t="shared" si="27"/>
        <v>93.749499999999998</v>
      </c>
      <c r="P112" s="133">
        <f t="shared" si="28"/>
        <v>415.44625731530704</v>
      </c>
    </row>
    <row r="113" spans="10:16" x14ac:dyDescent="0.25">
      <c r="J113" s="129">
        <v>65</v>
      </c>
      <c r="K113" s="132">
        <f t="shared" si="23"/>
        <v>165.8759</v>
      </c>
      <c r="L113" s="133">
        <f t="shared" si="24"/>
        <v>506.27753022642719</v>
      </c>
      <c r="M113" s="132">
        <f t="shared" si="25"/>
        <v>132.19310000000002</v>
      </c>
      <c r="N113" s="133">
        <f t="shared" si="26"/>
        <v>464.00528844648164</v>
      </c>
      <c r="O113" s="132">
        <f t="shared" si="27"/>
        <v>95.344700000000003</v>
      </c>
      <c r="P113" s="133">
        <f t="shared" ref="P113:P144" si="31">IF(O113&gt;0,(((O113*K$3*K$4) +EXP(-1.0587+(0.8836*LN(O113*K$3*K$4))+0.284))*0.475+70+10)*(44/12),0)</f>
        <v>417.46938208204176</v>
      </c>
    </row>
    <row r="114" spans="10:16" x14ac:dyDescent="0.25">
      <c r="J114" s="129">
        <v>66</v>
      </c>
      <c r="K114" s="132">
        <f t="shared" ref="K114:K177" si="32">2.5678*J114-1.0311</f>
        <v>168.44370000000001</v>
      </c>
      <c r="L114" s="133">
        <f t="shared" si="24"/>
        <v>509.49162937877628</v>
      </c>
      <c r="M114" s="132">
        <f t="shared" ref="M114:M177" si="33">1.9871*J114+3.0316</f>
        <v>134.18020000000001</v>
      </c>
      <c r="N114" s="133">
        <f t="shared" ref="N114:N177" si="34">IF(M114&gt;0,(((M114*K$3*K$4) +EXP(-1.0587+(0.8836*LN(M114*K$3*K$4))+0.284))*0.475+70+10)*(44/12),0)</f>
        <v>466.50539075456942</v>
      </c>
      <c r="O114" s="132">
        <f t="shared" ref="O114:O177" si="35">1.5952*J114-8.3433</f>
        <v>96.939899999999994</v>
      </c>
      <c r="P114" s="133">
        <f t="shared" si="31"/>
        <v>419.49170580119733</v>
      </c>
    </row>
    <row r="115" spans="10:16" x14ac:dyDescent="0.25">
      <c r="J115" s="129">
        <v>67</v>
      </c>
      <c r="K115" s="132">
        <f t="shared" si="32"/>
        <v>171.01149999999998</v>
      </c>
      <c r="L115" s="133">
        <f t="shared" ref="L115:L178" si="36">IF(K115&gt;0,(((K115*K$3*K$4) +EXP(-1.0587+(0.8836*LN(K115*K$3*K$4))+0.284))*0.475+70+10)*(44/12),0)</f>
        <v>512.70462897115294</v>
      </c>
      <c r="M115" s="132">
        <f t="shared" si="33"/>
        <v>136.16730000000001</v>
      </c>
      <c r="N115" s="133">
        <f t="shared" si="34"/>
        <v>469.00464427784391</v>
      </c>
      <c r="O115" s="132">
        <f t="shared" si="35"/>
        <v>98.5351</v>
      </c>
      <c r="P115" s="133">
        <f t="shared" si="31"/>
        <v>421.51324317605776</v>
      </c>
    </row>
    <row r="116" spans="10:16" x14ac:dyDescent="0.25">
      <c r="J116" s="129">
        <v>68</v>
      </c>
      <c r="K116" s="132">
        <f t="shared" si="32"/>
        <v>173.57929999999999</v>
      </c>
      <c r="L116" s="133">
        <f t="shared" si="36"/>
        <v>515.9165474209442</v>
      </c>
      <c r="M116" s="132">
        <f t="shared" si="33"/>
        <v>138.15440000000001</v>
      </c>
      <c r="N116" s="133">
        <f t="shared" si="34"/>
        <v>471.50306283371225</v>
      </c>
      <c r="O116" s="132">
        <f t="shared" si="35"/>
        <v>100.13029999999999</v>
      </c>
      <c r="P116" s="133">
        <f t="shared" si="31"/>
        <v>423.53400840654098</v>
      </c>
    </row>
    <row r="117" spans="10:16" x14ac:dyDescent="0.25">
      <c r="J117" s="129">
        <v>69</v>
      </c>
      <c r="K117" s="132">
        <f t="shared" si="32"/>
        <v>176.14709999999999</v>
      </c>
      <c r="L117" s="133">
        <f t="shared" si="36"/>
        <v>519.12740256935149</v>
      </c>
      <c r="M117" s="132">
        <f t="shared" si="33"/>
        <v>140.14150000000001</v>
      </c>
      <c r="N117" s="133">
        <f t="shared" si="34"/>
        <v>474.00065981928071</v>
      </c>
      <c r="O117" s="132">
        <f t="shared" si="35"/>
        <v>101.7255</v>
      </c>
      <c r="P117" s="133">
        <f t="shared" si="31"/>
        <v>425.55401521417139</v>
      </c>
    </row>
    <row r="118" spans="10:16" x14ac:dyDescent="0.25">
      <c r="J118" s="129">
        <v>70</v>
      </c>
      <c r="K118" s="132">
        <f t="shared" si="32"/>
        <v>178.7149</v>
      </c>
      <c r="L118" s="133">
        <f t="shared" si="36"/>
        <v>522.33721170754814</v>
      </c>
      <c r="M118" s="132">
        <f t="shared" si="33"/>
        <v>142.12860000000001</v>
      </c>
      <c r="N118" s="133">
        <f t="shared" si="34"/>
        <v>476.49744822991363</v>
      </c>
      <c r="O118" s="132">
        <f t="shared" si="35"/>
        <v>103.3207</v>
      </c>
      <c r="P118" s="133">
        <f t="shared" si="31"/>
        <v>427.57327686544073</v>
      </c>
    </row>
    <row r="119" spans="10:16" x14ac:dyDescent="0.25">
      <c r="J119" s="129">
        <v>71</v>
      </c>
      <c r="K119" s="132">
        <f t="shared" si="32"/>
        <v>181.28270000000001</v>
      </c>
      <c r="L119" s="133">
        <f t="shared" si="36"/>
        <v>525.54599160129032</v>
      </c>
      <c r="M119" s="132">
        <f t="shared" si="33"/>
        <v>144.1157</v>
      </c>
      <c r="N119" s="133">
        <f t="shared" si="34"/>
        <v>478.99344067672644</v>
      </c>
      <c r="O119" s="132">
        <f t="shared" si="35"/>
        <v>104.91589999999999</v>
      </c>
      <c r="P119" s="133">
        <f t="shared" si="31"/>
        <v>429.59180619368647</v>
      </c>
    </row>
    <row r="120" spans="10:16" x14ac:dyDescent="0.25">
      <c r="J120" s="129">
        <v>72</v>
      </c>
      <c r="K120" s="132">
        <f t="shared" si="32"/>
        <v>183.85049999999998</v>
      </c>
      <c r="L120" s="133">
        <f t="shared" si="36"/>
        <v>528.75375851409456</v>
      </c>
      <c r="M120" s="132">
        <f t="shared" si="33"/>
        <v>146.1028</v>
      </c>
      <c r="N120" s="133">
        <f t="shared" si="34"/>
        <v>481.48864940308437</v>
      </c>
      <c r="O120" s="132">
        <f t="shared" si="35"/>
        <v>106.5111</v>
      </c>
      <c r="P120" s="133">
        <f t="shared" si="31"/>
        <v>431.60961561960045</v>
      </c>
    </row>
    <row r="121" spans="10:16" x14ac:dyDescent="0.25">
      <c r="J121" s="129">
        <v>73</v>
      </c>
      <c r="K121" s="132">
        <f t="shared" si="32"/>
        <v>186.41829999999999</v>
      </c>
      <c r="L121" s="133">
        <f t="shared" si="36"/>
        <v>531.96052822908302</v>
      </c>
      <c r="M121" s="132">
        <f t="shared" si="33"/>
        <v>148.0899</v>
      </c>
      <c r="N121" s="133">
        <f t="shared" si="34"/>
        <v>483.98308630018005</v>
      </c>
      <c r="O121" s="132">
        <f t="shared" si="35"/>
        <v>108.10629999999999</v>
      </c>
      <c r="P121" s="133">
        <f t="shared" si="31"/>
        <v>433.62671717047522</v>
      </c>
    </row>
    <row r="122" spans="10:16" x14ac:dyDescent="0.25">
      <c r="J122" s="129">
        <v>74</v>
      </c>
      <c r="K122" s="132">
        <f t="shared" si="32"/>
        <v>188.98609999999999</v>
      </c>
      <c r="L122" s="133">
        <f t="shared" si="36"/>
        <v>535.16631606959174</v>
      </c>
      <c r="M122" s="132">
        <f t="shared" si="33"/>
        <v>150.077</v>
      </c>
      <c r="N122" s="133">
        <f t="shared" si="34"/>
        <v>486.47676292175015</v>
      </c>
      <c r="O122" s="132">
        <f t="shared" si="35"/>
        <v>109.7015</v>
      </c>
      <c r="P122" s="133">
        <f t="shared" si="31"/>
        <v>435.6431224982814</v>
      </c>
    </row>
    <row r="123" spans="10:16" x14ac:dyDescent="0.25">
      <c r="J123" s="129">
        <v>75</v>
      </c>
      <c r="K123" s="132">
        <f t="shared" si="32"/>
        <v>191.5539</v>
      </c>
      <c r="L123" s="133">
        <f t="shared" si="36"/>
        <v>538.37113691862601</v>
      </c>
      <c r="M123" s="132">
        <f t="shared" si="33"/>
        <v>152.0641</v>
      </c>
      <c r="N123" s="133">
        <f t="shared" si="34"/>
        <v>488.96969049799031</v>
      </c>
      <c r="O123" s="132">
        <f t="shared" si="35"/>
        <v>111.2967</v>
      </c>
      <c r="P123" s="133">
        <f t="shared" si="31"/>
        <v>437.658842896664</v>
      </c>
    </row>
    <row r="124" spans="10:16" x14ac:dyDescent="0.25">
      <c r="J124" s="129">
        <v>76</v>
      </c>
      <c r="K124" s="132">
        <f t="shared" si="32"/>
        <v>194.1217</v>
      </c>
      <c r="L124" s="133">
        <f t="shared" si="36"/>
        <v>541.57500523724343</v>
      </c>
      <c r="M124" s="132">
        <f t="shared" si="33"/>
        <v>154.05119999999999</v>
      </c>
      <c r="N124" s="133">
        <f t="shared" si="34"/>
        <v>491.46187994872298</v>
      </c>
      <c r="O124" s="132">
        <f t="shared" si="35"/>
        <v>112.89189999999999</v>
      </c>
      <c r="P124" s="133">
        <f t="shared" si="31"/>
        <v>439.67388931693642</v>
      </c>
    </row>
    <row r="125" spans="10:16" x14ac:dyDescent="0.25">
      <c r="J125" s="129">
        <v>77</v>
      </c>
      <c r="K125" s="132">
        <f t="shared" si="32"/>
        <v>196.68950000000001</v>
      </c>
      <c r="L125" s="133">
        <f t="shared" si="36"/>
        <v>544.7779350819369</v>
      </c>
      <c r="M125" s="132">
        <f t="shared" si="33"/>
        <v>156.03829999999999</v>
      </c>
      <c r="N125" s="133">
        <f t="shared" si="34"/>
        <v>493.95334189586526</v>
      </c>
      <c r="O125" s="132">
        <f t="shared" si="35"/>
        <v>114.4871</v>
      </c>
      <c r="P125" s="133">
        <f t="shared" si="31"/>
        <v>441.6882723831452</v>
      </c>
    </row>
    <row r="126" spans="10:16" x14ac:dyDescent="0.25">
      <c r="J126" s="129">
        <v>78</v>
      </c>
      <c r="K126" s="132">
        <f t="shared" si="32"/>
        <v>199.25729999999999</v>
      </c>
      <c r="L126" s="133">
        <f t="shared" si="36"/>
        <v>547.97994012108256</v>
      </c>
      <c r="M126" s="132">
        <f t="shared" si="33"/>
        <v>158.02539999999999</v>
      </c>
      <c r="N126" s="133">
        <f t="shared" si="34"/>
        <v>496.44408667524471</v>
      </c>
      <c r="O126" s="132">
        <f t="shared" si="35"/>
        <v>116.0823</v>
      </c>
      <c r="P126" s="133">
        <f t="shared" si="31"/>
        <v>443.70200240627054</v>
      </c>
    </row>
    <row r="127" spans="10:16" x14ac:dyDescent="0.25">
      <c r="J127" s="129">
        <v>79</v>
      </c>
      <c r="K127" s="132">
        <f t="shared" si="32"/>
        <v>201.82509999999999</v>
      </c>
      <c r="L127" s="133">
        <f t="shared" si="36"/>
        <v>551.18103365051854</v>
      </c>
      <c r="M127" s="132">
        <f t="shared" si="33"/>
        <v>160.01250000000002</v>
      </c>
      <c r="N127" s="133">
        <f t="shared" si="34"/>
        <v>498.93412434780333</v>
      </c>
      <c r="O127" s="132">
        <f t="shared" si="35"/>
        <v>117.67749999999999</v>
      </c>
      <c r="P127" s="133">
        <f t="shared" si="31"/>
        <v>445.71508939762487</v>
      </c>
    </row>
    <row r="128" spans="10:16" x14ac:dyDescent="0.25">
      <c r="J128" s="129">
        <v>80</v>
      </c>
      <c r="K128" s="132">
        <f t="shared" si="32"/>
        <v>204.3929</v>
      </c>
      <c r="L128" s="133">
        <f t="shared" si="36"/>
        <v>554.38122860830481</v>
      </c>
      <c r="M128" s="132">
        <f t="shared" si="33"/>
        <v>161.99960000000002</v>
      </c>
      <c r="N128" s="133">
        <f t="shared" si="34"/>
        <v>501.42346471022853</v>
      </c>
      <c r="O128" s="132">
        <f t="shared" si="35"/>
        <v>119.2727</v>
      </c>
      <c r="P128" s="133">
        <f t="shared" si="31"/>
        <v>447.72754308150348</v>
      </c>
    </row>
    <row r="129" spans="10:16" x14ac:dyDescent="0.25">
      <c r="J129" s="129">
        <v>81</v>
      </c>
      <c r="K129" s="132">
        <f t="shared" si="32"/>
        <v>206.9607</v>
      </c>
      <c r="L129" s="133">
        <f t="shared" si="36"/>
        <v>557.58053758872302</v>
      </c>
      <c r="M129" s="132">
        <f t="shared" si="33"/>
        <v>163.98670000000001</v>
      </c>
      <c r="N129" s="133">
        <f t="shared" si="34"/>
        <v>503.91211730504955</v>
      </c>
      <c r="O129" s="132">
        <f t="shared" si="35"/>
        <v>120.86789999999999</v>
      </c>
      <c r="P129" s="133">
        <f t="shared" si="31"/>
        <v>449.73937290713991</v>
      </c>
    </row>
    <row r="130" spans="10:16" x14ac:dyDescent="0.25">
      <c r="J130" s="129">
        <v>82</v>
      </c>
      <c r="K130" s="132">
        <f t="shared" si="32"/>
        <v>209.52850000000001</v>
      </c>
      <c r="L130" s="133">
        <f t="shared" si="36"/>
        <v>560.7789728555606</v>
      </c>
      <c r="M130" s="132">
        <f t="shared" si="33"/>
        <v>165.97380000000001</v>
      </c>
      <c r="N130" s="133">
        <f t="shared" si="34"/>
        <v>506.40009143022849</v>
      </c>
      <c r="O130" s="132">
        <f t="shared" si="35"/>
        <v>122.4631</v>
      </c>
      <c r="P130" s="133">
        <f t="shared" si="31"/>
        <v>451.75058806001152</v>
      </c>
    </row>
    <row r="131" spans="10:16" x14ac:dyDescent="0.25">
      <c r="J131" s="129">
        <v>83</v>
      </c>
      <c r="K131" s="132">
        <f t="shared" si="32"/>
        <v>212.09629999999999</v>
      </c>
      <c r="L131" s="133">
        <f t="shared" si="36"/>
        <v>563.97654635472509</v>
      </c>
      <c r="M131" s="132">
        <f t="shared" si="33"/>
        <v>167.96090000000001</v>
      </c>
      <c r="N131" s="133">
        <f t="shared" si="34"/>
        <v>508.88739614827983</v>
      </c>
      <c r="O131" s="132">
        <f t="shared" si="35"/>
        <v>124.0583</v>
      </c>
      <c r="P131" s="133">
        <f t="shared" si="31"/>
        <v>453.76119747253955</v>
      </c>
    </row>
    <row r="132" spans="10:16" x14ac:dyDescent="0.25">
      <c r="J132" s="129">
        <v>84</v>
      </c>
      <c r="K132" s="132">
        <f t="shared" si="32"/>
        <v>214.66409999999999</v>
      </c>
      <c r="L132" s="133">
        <f t="shared" si="36"/>
        <v>567.17326972622993</v>
      </c>
      <c r="M132" s="132">
        <f t="shared" si="33"/>
        <v>169.94800000000001</v>
      </c>
      <c r="N132" s="133">
        <f t="shared" si="34"/>
        <v>511.37404029494621</v>
      </c>
      <c r="O132" s="132">
        <f t="shared" si="35"/>
        <v>125.65350000000001</v>
      </c>
      <c r="P132" s="133">
        <f t="shared" si="31"/>
        <v>455.7712098342231</v>
      </c>
    </row>
    <row r="133" spans="10:16" x14ac:dyDescent="0.25">
      <c r="J133" s="129">
        <v>85</v>
      </c>
      <c r="K133" s="132">
        <f t="shared" si="32"/>
        <v>217.2319</v>
      </c>
      <c r="L133" s="133">
        <f t="shared" si="36"/>
        <v>570.36915431559146</v>
      </c>
      <c r="M133" s="132">
        <f t="shared" si="33"/>
        <v>171.93510000000001</v>
      </c>
      <c r="N133" s="133">
        <f t="shared" si="34"/>
        <v>513.86003248745681</v>
      </c>
      <c r="O133" s="132">
        <f t="shared" si="35"/>
        <v>127.24869999999999</v>
      </c>
      <c r="P133" s="133">
        <f t="shared" si="31"/>
        <v>457.78063360124418</v>
      </c>
    </row>
    <row r="134" spans="10:16" x14ac:dyDescent="0.25">
      <c r="J134" s="129">
        <v>86</v>
      </c>
      <c r="K134" s="132">
        <f t="shared" si="32"/>
        <v>219.7997</v>
      </c>
      <c r="L134" s="133">
        <f t="shared" si="36"/>
        <v>573.56421118467028</v>
      </c>
      <c r="M134" s="132">
        <f t="shared" si="33"/>
        <v>173.9222</v>
      </c>
      <c r="N134" s="133">
        <f t="shared" si="34"/>
        <v>516.34538113239319</v>
      </c>
      <c r="O134" s="132">
        <f t="shared" si="35"/>
        <v>128.84389999999999</v>
      </c>
      <c r="P134" s="133">
        <f t="shared" si="31"/>
        <v>459.78947700557671</v>
      </c>
    </row>
    <row r="135" spans="10:16" x14ac:dyDescent="0.25">
      <c r="J135" s="129">
        <v>87</v>
      </c>
      <c r="K135" s="132">
        <f t="shared" si="32"/>
        <v>222.36750000000001</v>
      </c>
      <c r="L135" s="133">
        <f t="shared" si="36"/>
        <v>576.75845112199329</v>
      </c>
      <c r="M135" s="132">
        <f t="shared" si="33"/>
        <v>175.9093</v>
      </c>
      <c r="N135" s="133">
        <f t="shared" si="34"/>
        <v>518.83009443318406</v>
      </c>
      <c r="O135" s="132">
        <f t="shared" si="35"/>
        <v>130.4391</v>
      </c>
      <c r="P135" s="133">
        <f t="shared" si="31"/>
        <v>461.79774806363241</v>
      </c>
    </row>
    <row r="136" spans="10:16" x14ac:dyDescent="0.25">
      <c r="J136" s="129">
        <v>88</v>
      </c>
      <c r="K136" s="132">
        <f t="shared" si="32"/>
        <v>224.93530000000001</v>
      </c>
      <c r="L136" s="133">
        <f t="shared" si="36"/>
        <v>579.9518846525832</v>
      </c>
      <c r="M136" s="132">
        <f t="shared" si="33"/>
        <v>177.8964</v>
      </c>
      <c r="N136" s="133">
        <f t="shared" si="34"/>
        <v>521.31418039725429</v>
      </c>
      <c r="O136" s="132">
        <f t="shared" si="35"/>
        <v>132.0343</v>
      </c>
      <c r="P136" s="133">
        <f t="shared" si="31"/>
        <v>463.80545458447062</v>
      </c>
    </row>
    <row r="137" spans="10:16" x14ac:dyDescent="0.25">
      <c r="J137" s="129">
        <v>89</v>
      </c>
      <c r="K137" s="132">
        <f t="shared" si="32"/>
        <v>227.50309999999999</v>
      </c>
      <c r="L137" s="133">
        <f t="shared" si="36"/>
        <v>583.14452204732822</v>
      </c>
      <c r="M137" s="132">
        <f t="shared" si="33"/>
        <v>179.8835</v>
      </c>
      <c r="N137" s="133">
        <f t="shared" si="34"/>
        <v>523.79764684284305</v>
      </c>
      <c r="O137" s="132">
        <f t="shared" si="35"/>
        <v>133.62950000000001</v>
      </c>
      <c r="P137" s="133">
        <f t="shared" si="31"/>
        <v>465.81260417760137</v>
      </c>
    </row>
    <row r="138" spans="10:16" x14ac:dyDescent="0.25">
      <c r="J138" s="129">
        <v>90</v>
      </c>
      <c r="K138" s="132">
        <f t="shared" si="32"/>
        <v>230.07089999999999</v>
      </c>
      <c r="L138" s="133">
        <f t="shared" si="36"/>
        <v>586.33637333191575</v>
      </c>
      <c r="M138" s="132">
        <f t="shared" si="33"/>
        <v>181.8706</v>
      </c>
      <c r="N138" s="133">
        <f t="shared" si="34"/>
        <v>526.28050140551318</v>
      </c>
      <c r="O138" s="132">
        <f t="shared" si="35"/>
        <v>135.22469999999998</v>
      </c>
      <c r="P138" s="133">
        <f t="shared" si="31"/>
        <v>467.81920426040386</v>
      </c>
    </row>
    <row r="139" spans="10:16" x14ac:dyDescent="0.25">
      <c r="J139" s="129">
        <v>91</v>
      </c>
      <c r="K139" s="132">
        <f t="shared" si="32"/>
        <v>232.6387</v>
      </c>
      <c r="L139" s="133">
        <f t="shared" si="36"/>
        <v>589.52744829535663</v>
      </c>
      <c r="M139" s="132">
        <f t="shared" si="33"/>
        <v>183.85769999999999</v>
      </c>
      <c r="N139" s="133">
        <f t="shared" si="34"/>
        <v>528.76275154436769</v>
      </c>
      <c r="O139" s="132">
        <f t="shared" si="35"/>
        <v>136.81989999999999</v>
      </c>
      <c r="P139" s="133">
        <f t="shared" si="31"/>
        <v>469.82526206518639</v>
      </c>
    </row>
    <row r="140" spans="10:16" x14ac:dyDescent="0.25">
      <c r="J140" s="129">
        <v>92</v>
      </c>
      <c r="K140" s="132">
        <f t="shared" si="32"/>
        <v>235.20650000000001</v>
      </c>
      <c r="L140" s="133">
        <f t="shared" si="36"/>
        <v>592.71775649812025</v>
      </c>
      <c r="M140" s="132">
        <f t="shared" si="33"/>
        <v>185.84479999999999</v>
      </c>
      <c r="N140" s="133">
        <f t="shared" si="34"/>
        <v>531.24440454799048</v>
      </c>
      <c r="O140" s="132">
        <f t="shared" si="35"/>
        <v>138.4151</v>
      </c>
      <c r="P140" s="133">
        <f t="shared" si="31"/>
        <v>471.83078464590608</v>
      </c>
    </row>
    <row r="141" spans="10:16" x14ac:dyDescent="0.25">
      <c r="J141" s="129">
        <v>93</v>
      </c>
      <c r="K141" s="132">
        <f t="shared" si="32"/>
        <v>237.77430000000001</v>
      </c>
      <c r="L141" s="133">
        <f t="shared" si="36"/>
        <v>595.90730727990774</v>
      </c>
      <c r="M141" s="132">
        <f t="shared" si="33"/>
        <v>187.83190000000002</v>
      </c>
      <c r="N141" s="133">
        <f t="shared" si="34"/>
        <v>533.72546754012433</v>
      </c>
      <c r="O141" s="132">
        <f t="shared" si="35"/>
        <v>140.0103</v>
      </c>
      <c r="P141" s="133">
        <f t="shared" si="31"/>
        <v>473.83577888457125</v>
      </c>
    </row>
    <row r="142" spans="10:16" x14ac:dyDescent="0.25">
      <c r="J142" s="129">
        <v>94</v>
      </c>
      <c r="K142" s="132">
        <f t="shared" si="32"/>
        <v>240.34209999999999</v>
      </c>
      <c r="L142" s="133">
        <f t="shared" si="36"/>
        <v>599.0961097670762</v>
      </c>
      <c r="M142" s="132">
        <f t="shared" si="33"/>
        <v>189.81900000000002</v>
      </c>
      <c r="N142" s="133">
        <f t="shared" si="34"/>
        <v>536.20594748510291</v>
      </c>
      <c r="O142" s="132">
        <f t="shared" si="35"/>
        <v>141.60550000000001</v>
      </c>
      <c r="P142" s="133">
        <f t="shared" si="31"/>
        <v>475.84025149734293</v>
      </c>
    </row>
    <row r="143" spans="10:16" x14ac:dyDescent="0.25">
      <c r="J143" s="129">
        <v>95</v>
      </c>
      <c r="K143" s="132">
        <f t="shared" si="32"/>
        <v>242.90989999999999</v>
      </c>
      <c r="L143" s="133">
        <f t="shared" si="36"/>
        <v>602.28417287973923</v>
      </c>
      <c r="M143" s="132">
        <f t="shared" si="33"/>
        <v>191.80610000000001</v>
      </c>
      <c r="N143" s="133">
        <f t="shared" si="34"/>
        <v>538.68585119304873</v>
      </c>
      <c r="O143" s="132">
        <f t="shared" si="35"/>
        <v>143.20069999999998</v>
      </c>
      <c r="P143" s="133">
        <f t="shared" si="31"/>
        <v>477.84420904035392</v>
      </c>
    </row>
    <row r="144" spans="10:16" x14ac:dyDescent="0.25">
      <c r="J144" s="129">
        <v>96</v>
      </c>
      <c r="K144" s="132">
        <f t="shared" si="32"/>
        <v>245.4777</v>
      </c>
      <c r="L144" s="133">
        <f t="shared" si="36"/>
        <v>605.47150533855722</v>
      </c>
      <c r="M144" s="132">
        <f t="shared" si="33"/>
        <v>193.79320000000001</v>
      </c>
      <c r="N144" s="133">
        <f t="shared" si="34"/>
        <v>541.16518532484906</v>
      </c>
      <c r="O144" s="132">
        <f t="shared" si="35"/>
        <v>144.79589999999999</v>
      </c>
      <c r="P144" s="133">
        <f t="shared" si="31"/>
        <v>479.84765791526144</v>
      </c>
    </row>
    <row r="145" spans="10:16" x14ac:dyDescent="0.25">
      <c r="J145" s="129">
        <v>97</v>
      </c>
      <c r="K145" s="132">
        <f t="shared" si="32"/>
        <v>248.0455</v>
      </c>
      <c r="L145" s="133">
        <f t="shared" si="36"/>
        <v>608.65811567123546</v>
      </c>
      <c r="M145" s="132">
        <f t="shared" si="33"/>
        <v>195.78030000000001</v>
      </c>
      <c r="N145" s="133">
        <f t="shared" si="34"/>
        <v>543.64395639692191</v>
      </c>
      <c r="O145" s="132">
        <f t="shared" si="35"/>
        <v>146.39109999999999</v>
      </c>
      <c r="P145" s="133">
        <f t="shared" ref="P145:P176" si="37">IF(O145&gt;0,(((O145*K$3*K$4) +EXP(-1.0587+(0.8836*LN(O145*K$3*K$4))+0.284))*0.475+70+10)*(44/12),0)</f>
        <v>481.85060437454717</v>
      </c>
    </row>
    <row r="146" spans="10:16" x14ac:dyDescent="0.25">
      <c r="J146" s="129">
        <v>98</v>
      </c>
      <c r="K146" s="132">
        <f t="shared" si="32"/>
        <v>250.61330000000001</v>
      </c>
      <c r="L146" s="133">
        <f t="shared" si="36"/>
        <v>611.84401221874657</v>
      </c>
      <c r="M146" s="132">
        <f t="shared" si="33"/>
        <v>197.76740000000001</v>
      </c>
      <c r="N146" s="133">
        <f t="shared" si="34"/>
        <v>546.12217078578408</v>
      </c>
      <c r="O146" s="132">
        <f t="shared" si="35"/>
        <v>147.9863</v>
      </c>
      <c r="P146" s="133">
        <f t="shared" si="37"/>
        <v>483.85305452658071</v>
      </c>
    </row>
    <row r="147" spans="10:16" x14ac:dyDescent="0.25">
      <c r="J147" s="129">
        <v>99</v>
      </c>
      <c r="K147" s="132">
        <f t="shared" si="32"/>
        <v>253.18109999999999</v>
      </c>
      <c r="L147" s="133">
        <f t="shared" si="36"/>
        <v>615.02920314128926</v>
      </c>
      <c r="M147" s="132">
        <f t="shared" si="33"/>
        <v>199.75450000000001</v>
      </c>
      <c r="N147" s="133">
        <f t="shared" si="34"/>
        <v>548.59983473242869</v>
      </c>
      <c r="O147" s="132">
        <f t="shared" si="35"/>
        <v>149.58150000000001</v>
      </c>
      <c r="P147" s="133">
        <f t="shared" si="37"/>
        <v>485.85501434045779</v>
      </c>
    </row>
    <row r="148" spans="10:16" x14ac:dyDescent="0.25">
      <c r="J148" s="129">
        <v>100</v>
      </c>
      <c r="K148" s="132">
        <f t="shared" si="32"/>
        <v>255.74890000000002</v>
      </c>
      <c r="L148" s="133">
        <f t="shared" si="36"/>
        <v>618.21369642399964</v>
      </c>
      <c r="M148" s="132">
        <f t="shared" si="33"/>
        <v>201.74160000000001</v>
      </c>
      <c r="N148" s="133">
        <f t="shared" si="34"/>
        <v>551.07695434652487</v>
      </c>
      <c r="O148" s="132">
        <f t="shared" si="35"/>
        <v>151.17669999999998</v>
      </c>
      <c r="P148" s="133">
        <f t="shared" si="37"/>
        <v>487.85648965062666</v>
      </c>
    </row>
    <row r="149" spans="10:16" x14ac:dyDescent="0.25">
      <c r="J149" s="129">
        <v>101</v>
      </c>
      <c r="K149" s="132">
        <f t="shared" si="32"/>
        <v>258.31670000000003</v>
      </c>
      <c r="L149" s="133">
        <f t="shared" si="36"/>
        <v>621.39749988242511</v>
      </c>
      <c r="M149" s="132">
        <f t="shared" si="33"/>
        <v>203.7287</v>
      </c>
      <c r="N149" s="133">
        <f t="shared" si="34"/>
        <v>553.55353561044694</v>
      </c>
      <c r="O149" s="132">
        <f t="shared" si="35"/>
        <v>152.77189999999999</v>
      </c>
      <c r="P149" s="133">
        <f t="shared" si="37"/>
        <v>489.85748616131343</v>
      </c>
    </row>
    <row r="150" spans="10:16" x14ac:dyDescent="0.25">
      <c r="J150" s="129">
        <v>102</v>
      </c>
      <c r="K150" s="132">
        <f t="shared" si="32"/>
        <v>260.8845</v>
      </c>
      <c r="L150" s="133">
        <f t="shared" si="36"/>
        <v>624.58062116777671</v>
      </c>
      <c r="M150" s="132">
        <f t="shared" si="33"/>
        <v>205.7158</v>
      </c>
      <c r="N150" s="133">
        <f t="shared" si="34"/>
        <v>556.0295843831409</v>
      </c>
      <c r="O150" s="132">
        <f t="shared" si="35"/>
        <v>154.36709999999999</v>
      </c>
      <c r="P150" s="133">
        <f t="shared" si="37"/>
        <v>491.85800945075715</v>
      </c>
    </row>
    <row r="151" spans="10:16" x14ac:dyDescent="0.25">
      <c r="J151" s="129">
        <v>103</v>
      </c>
      <c r="K151" s="132">
        <f t="shared" si="32"/>
        <v>263.45230000000004</v>
      </c>
      <c r="L151" s="133">
        <f t="shared" si="36"/>
        <v>627.76306777196589</v>
      </c>
      <c r="M151" s="132">
        <f t="shared" si="33"/>
        <v>207.7029</v>
      </c>
      <c r="N151" s="133">
        <f t="shared" si="34"/>
        <v>558.50510640383914</v>
      </c>
      <c r="O151" s="132">
        <f t="shared" si="35"/>
        <v>155.9623</v>
      </c>
      <c r="P151" s="133">
        <f t="shared" si="37"/>
        <v>493.85806497526505</v>
      </c>
    </row>
    <row r="152" spans="10:16" x14ac:dyDescent="0.25">
      <c r="J152" s="129">
        <v>104</v>
      </c>
      <c r="K152" s="132">
        <f t="shared" si="32"/>
        <v>266.02010000000001</v>
      </c>
      <c r="L152" s="133">
        <f t="shared" si="36"/>
        <v>630.94484703244143</v>
      </c>
      <c r="M152" s="132">
        <f t="shared" si="33"/>
        <v>209.69</v>
      </c>
      <c r="N152" s="133">
        <f t="shared" si="34"/>
        <v>560.98010729562691</v>
      </c>
      <c r="O152" s="132">
        <f t="shared" si="35"/>
        <v>157.5575</v>
      </c>
      <c r="P152" s="133">
        <f t="shared" si="37"/>
        <v>495.85765807309696</v>
      </c>
    </row>
    <row r="153" spans="10:16" x14ac:dyDescent="0.25">
      <c r="J153" s="129">
        <v>105</v>
      </c>
      <c r="K153" s="132">
        <f t="shared" si="32"/>
        <v>268.58790000000005</v>
      </c>
      <c r="L153" s="133">
        <f t="shared" si="36"/>
        <v>634.12596613683388</v>
      </c>
      <c r="M153" s="132">
        <f t="shared" si="33"/>
        <v>211.6771</v>
      </c>
      <c r="N153" s="133">
        <f t="shared" si="34"/>
        <v>563.45459256887193</v>
      </c>
      <c r="O153" s="132">
        <f t="shared" si="35"/>
        <v>159.15269999999998</v>
      </c>
      <c r="P153" s="133">
        <f t="shared" si="37"/>
        <v>497.85679396818824</v>
      </c>
    </row>
    <row r="154" spans="10:16" x14ac:dyDescent="0.25">
      <c r="J154" s="129">
        <v>106</v>
      </c>
      <c r="K154" s="132">
        <f t="shared" si="32"/>
        <v>271.15570000000002</v>
      </c>
      <c r="L154" s="133">
        <f t="shared" si="36"/>
        <v>637.3064321274162</v>
      </c>
      <c r="M154" s="132">
        <f t="shared" si="33"/>
        <v>213.66419999999999</v>
      </c>
      <c r="N154" s="133">
        <f t="shared" si="34"/>
        <v>565.92856762451925</v>
      </c>
      <c r="O154" s="132">
        <f t="shared" si="35"/>
        <v>160.74789999999999</v>
      </c>
      <c r="P154" s="133">
        <f t="shared" si="37"/>
        <v>499.85547777371886</v>
      </c>
    </row>
    <row r="155" spans="10:16" x14ac:dyDescent="0.25">
      <c r="J155" s="129">
        <v>107</v>
      </c>
      <c r="K155" s="132">
        <f t="shared" si="32"/>
        <v>273.7235</v>
      </c>
      <c r="L155" s="133">
        <f t="shared" si="36"/>
        <v>640.48625190539246</v>
      </c>
      <c r="M155" s="132">
        <f t="shared" si="33"/>
        <v>215.65130000000002</v>
      </c>
      <c r="N155" s="133">
        <f t="shared" si="34"/>
        <v>568.40203775726127</v>
      </c>
      <c r="O155" s="132">
        <f t="shared" si="35"/>
        <v>162.34309999999999</v>
      </c>
      <c r="P155" s="133">
        <f t="shared" si="37"/>
        <v>501.85371449553679</v>
      </c>
    </row>
    <row r="156" spans="10:16" x14ac:dyDescent="0.25">
      <c r="J156" s="129">
        <v>108</v>
      </c>
      <c r="K156" s="132">
        <f t="shared" si="32"/>
        <v>276.29130000000004</v>
      </c>
      <c r="L156" s="133">
        <f t="shared" si="36"/>
        <v>643.66543223501901</v>
      </c>
      <c r="M156" s="132">
        <f t="shared" si="33"/>
        <v>217.63840000000002</v>
      </c>
      <c r="N156" s="133">
        <f t="shared" si="34"/>
        <v>570.87500815858778</v>
      </c>
      <c r="O156" s="132">
        <f t="shared" si="35"/>
        <v>163.9383</v>
      </c>
      <c r="P156" s="133">
        <f t="shared" si="37"/>
        <v>503.85150903544297</v>
      </c>
    </row>
    <row r="157" spans="10:16" x14ac:dyDescent="0.25">
      <c r="J157" s="129">
        <v>109</v>
      </c>
      <c r="K157" s="132">
        <f t="shared" si="32"/>
        <v>278.85910000000001</v>
      </c>
      <c r="L157" s="133">
        <f t="shared" si="36"/>
        <v>646.84397974756962</v>
      </c>
      <c r="M157" s="132">
        <f t="shared" si="33"/>
        <v>219.62550000000002</v>
      </c>
      <c r="N157" s="133">
        <f t="shared" si="34"/>
        <v>573.34748391972096</v>
      </c>
      <c r="O157" s="132">
        <f t="shared" si="35"/>
        <v>165.5335</v>
      </c>
      <c r="P157" s="133">
        <f t="shared" si="37"/>
        <v>505.84886619434531</v>
      </c>
    </row>
    <row r="158" spans="10:16" x14ac:dyDescent="0.25">
      <c r="J158" s="129">
        <v>110</v>
      </c>
      <c r="K158" s="132">
        <f t="shared" si="32"/>
        <v>281.42690000000005</v>
      </c>
      <c r="L158" s="133">
        <f t="shared" si="36"/>
        <v>650.02190094514924</v>
      </c>
      <c r="M158" s="132">
        <f t="shared" si="33"/>
        <v>221.61260000000001</v>
      </c>
      <c r="N158" s="133">
        <f t="shared" si="34"/>
        <v>575.81947003444077</v>
      </c>
      <c r="O158" s="132">
        <f t="shared" si="35"/>
        <v>167.12870000000001</v>
      </c>
      <c r="P158" s="133">
        <f t="shared" si="37"/>
        <v>507.84579067528637</v>
      </c>
    </row>
    <row r="159" spans="10:16" x14ac:dyDescent="0.25">
      <c r="J159" s="129">
        <v>111</v>
      </c>
      <c r="K159" s="132">
        <f t="shared" si="32"/>
        <v>283.99470000000002</v>
      </c>
      <c r="L159" s="133">
        <f t="shared" si="36"/>
        <v>653.19920220436563</v>
      </c>
      <c r="M159" s="132">
        <f t="shared" si="33"/>
        <v>223.59970000000001</v>
      </c>
      <c r="N159" s="133">
        <f t="shared" si="34"/>
        <v>578.29097140180738</v>
      </c>
      <c r="O159" s="132">
        <f t="shared" si="35"/>
        <v>168.72389999999999</v>
      </c>
      <c r="P159" s="133">
        <f t="shared" si="37"/>
        <v>509.84228708635391</v>
      </c>
    </row>
    <row r="160" spans="10:16" x14ac:dyDescent="0.25">
      <c r="J160" s="129">
        <v>112</v>
      </c>
      <c r="K160" s="132">
        <f t="shared" si="32"/>
        <v>286.56250000000006</v>
      </c>
      <c r="L160" s="133">
        <f t="shared" si="36"/>
        <v>656.37588977986422</v>
      </c>
      <c r="M160" s="132">
        <f t="shared" si="33"/>
        <v>225.58680000000001</v>
      </c>
      <c r="N160" s="133">
        <f t="shared" si="34"/>
        <v>580.76199282878224</v>
      </c>
      <c r="O160" s="132">
        <f t="shared" si="35"/>
        <v>170.31909999999999</v>
      </c>
      <c r="P160" s="133">
        <f t="shared" si="37"/>
        <v>511.83835994347663</v>
      </c>
    </row>
    <row r="161" spans="10:16" x14ac:dyDescent="0.25">
      <c r="J161" s="129">
        <v>113</v>
      </c>
      <c r="K161" s="132">
        <f t="shared" si="32"/>
        <v>289.13030000000003</v>
      </c>
      <c r="L161" s="133">
        <f t="shared" si="36"/>
        <v>659.5519698077311</v>
      </c>
      <c r="M161" s="132">
        <f t="shared" si="33"/>
        <v>227.57390000000001</v>
      </c>
      <c r="N161" s="133">
        <f t="shared" si="34"/>
        <v>583.23253903275577</v>
      </c>
      <c r="O161" s="132">
        <f t="shared" si="35"/>
        <v>171.9143</v>
      </c>
      <c r="P161" s="133">
        <f t="shared" si="37"/>
        <v>513.83401367311274</v>
      </c>
    </row>
    <row r="162" spans="10:16" x14ac:dyDescent="0.25">
      <c r="J162" s="129">
        <v>114</v>
      </c>
      <c r="K162" s="132">
        <f t="shared" si="32"/>
        <v>291.69810000000001</v>
      </c>
      <c r="L162" s="133">
        <f t="shared" si="36"/>
        <v>662.72744830877389</v>
      </c>
      <c r="M162" s="132">
        <f t="shared" si="33"/>
        <v>229.56100000000001</v>
      </c>
      <c r="N162" s="133">
        <f t="shared" si="34"/>
        <v>585.70261464398345</v>
      </c>
      <c r="O162" s="132">
        <f t="shared" si="35"/>
        <v>173.5095</v>
      </c>
      <c r="P162" s="133">
        <f t="shared" si="37"/>
        <v>515.82925261483672</v>
      </c>
    </row>
    <row r="163" spans="10:16" x14ac:dyDescent="0.25">
      <c r="J163" s="129">
        <v>115</v>
      </c>
      <c r="K163" s="132">
        <f t="shared" si="32"/>
        <v>294.26590000000004</v>
      </c>
      <c r="L163" s="133">
        <f t="shared" si="36"/>
        <v>665.90233119168261</v>
      </c>
      <c r="M163" s="132">
        <f t="shared" si="33"/>
        <v>231.54810000000001</v>
      </c>
      <c r="N163" s="133">
        <f t="shared" si="34"/>
        <v>588.17222420793519</v>
      </c>
      <c r="O163" s="132">
        <f t="shared" si="35"/>
        <v>175.10470000000001</v>
      </c>
      <c r="P163" s="133">
        <f t="shared" si="37"/>
        <v>517.82408102382612</v>
      </c>
    </row>
    <row r="164" spans="10:16" x14ac:dyDescent="0.25">
      <c r="J164" s="129">
        <v>116</v>
      </c>
      <c r="K164" s="132">
        <f t="shared" si="32"/>
        <v>296.83370000000002</v>
      </c>
      <c r="L164" s="133">
        <f t="shared" si="36"/>
        <v>669.07662425607691</v>
      </c>
      <c r="M164" s="132">
        <f t="shared" si="33"/>
        <v>233.5352</v>
      </c>
      <c r="N164" s="133">
        <f t="shared" si="34"/>
        <v>590.64137218756184</v>
      </c>
      <c r="O164" s="132">
        <f t="shared" si="35"/>
        <v>176.69989999999999</v>
      </c>
      <c r="P164" s="133">
        <f t="shared" si="37"/>
        <v>519.81850307325772</v>
      </c>
    </row>
    <row r="165" spans="10:16" x14ac:dyDescent="0.25">
      <c r="J165" s="129">
        <v>117</v>
      </c>
      <c r="K165" s="132">
        <f t="shared" si="32"/>
        <v>299.40150000000006</v>
      </c>
      <c r="L165" s="133">
        <f t="shared" si="36"/>
        <v>672.25033319544559</v>
      </c>
      <c r="M165" s="132">
        <f t="shared" si="33"/>
        <v>235.5223</v>
      </c>
      <c r="N165" s="133">
        <f t="shared" si="34"/>
        <v>593.11006296548248</v>
      </c>
      <c r="O165" s="132">
        <f t="shared" si="35"/>
        <v>178.29509999999999</v>
      </c>
      <c r="P165" s="133">
        <f t="shared" si="37"/>
        <v>521.81252285661333</v>
      </c>
    </row>
    <row r="166" spans="10:16" x14ac:dyDescent="0.25">
      <c r="J166" s="129">
        <v>118</v>
      </c>
      <c r="K166" s="132">
        <f t="shared" si="32"/>
        <v>301.96930000000003</v>
      </c>
      <c r="L166" s="133">
        <f t="shared" si="36"/>
        <v>675.42346359998146</v>
      </c>
      <c r="M166" s="132">
        <f t="shared" si="33"/>
        <v>237.5094</v>
      </c>
      <c r="N166" s="133">
        <f t="shared" si="34"/>
        <v>595.57830084609589</v>
      </c>
      <c r="O166" s="132">
        <f t="shared" si="35"/>
        <v>179.8903</v>
      </c>
      <c r="P166" s="133">
        <f t="shared" si="37"/>
        <v>523.80614438989983</v>
      </c>
    </row>
    <row r="167" spans="10:16" x14ac:dyDescent="0.25">
      <c r="J167" s="129">
        <v>119</v>
      </c>
      <c r="K167" s="132">
        <f t="shared" si="32"/>
        <v>304.53710000000001</v>
      </c>
      <c r="L167" s="133">
        <f t="shared" si="36"/>
        <v>678.59602095931757</v>
      </c>
      <c r="M167" s="132">
        <f t="shared" si="33"/>
        <v>239.4965</v>
      </c>
      <c r="N167" s="133">
        <f t="shared" si="34"/>
        <v>598.0460900576179</v>
      </c>
      <c r="O167" s="132">
        <f t="shared" si="35"/>
        <v>181.4855</v>
      </c>
      <c r="P167" s="133">
        <f t="shared" si="37"/>
        <v>525.79937161379041</v>
      </c>
    </row>
    <row r="168" spans="10:16" x14ac:dyDescent="0.25">
      <c r="J168" s="129">
        <v>120</v>
      </c>
      <c r="K168" s="132">
        <f t="shared" si="32"/>
        <v>307.10490000000004</v>
      </c>
      <c r="L168" s="133">
        <f t="shared" si="36"/>
        <v>681.76801066516919</v>
      </c>
      <c r="M168" s="132">
        <f t="shared" si="33"/>
        <v>241.4836</v>
      </c>
      <c r="N168" s="133">
        <f t="shared" si="34"/>
        <v>600.51343475405224</v>
      </c>
      <c r="O168" s="132">
        <f t="shared" si="35"/>
        <v>183.08070000000001</v>
      </c>
      <c r="P168" s="133">
        <f t="shared" si="37"/>
        <v>527.79220839568609</v>
      </c>
    </row>
    <row r="169" spans="10:16" x14ac:dyDescent="0.25">
      <c r="J169" s="129">
        <v>121</v>
      </c>
      <c r="K169" s="132">
        <f t="shared" si="32"/>
        <v>309.67270000000002</v>
      </c>
      <c r="L169" s="133">
        <f t="shared" si="36"/>
        <v>684.93943801388298</v>
      </c>
      <c r="M169" s="132">
        <f t="shared" si="33"/>
        <v>243.47070000000002</v>
      </c>
      <c r="N169" s="133">
        <f t="shared" si="34"/>
        <v>602.98033901709141</v>
      </c>
      <c r="O169" s="132">
        <f t="shared" si="35"/>
        <v>184.67589999999998</v>
      </c>
      <c r="P169" s="133">
        <f t="shared" si="37"/>
        <v>529.78465853170542</v>
      </c>
    </row>
    <row r="170" spans="10:16" x14ac:dyDescent="0.25">
      <c r="J170" s="129">
        <v>122</v>
      </c>
      <c r="K170" s="132">
        <f t="shared" si="32"/>
        <v>312.24050000000005</v>
      </c>
      <c r="L170" s="133">
        <f t="shared" si="36"/>
        <v>688.11030820890119</v>
      </c>
      <c r="M170" s="132">
        <f t="shared" si="33"/>
        <v>245.45780000000002</v>
      </c>
      <c r="N170" s="133">
        <f t="shared" si="34"/>
        <v>605.44680685795538</v>
      </c>
      <c r="O170" s="132">
        <f t="shared" si="35"/>
        <v>186.27109999999999</v>
      </c>
      <c r="P170" s="133">
        <f t="shared" si="37"/>
        <v>531.77672574860173</v>
      </c>
    </row>
    <row r="171" spans="10:16" x14ac:dyDescent="0.25">
      <c r="J171" s="129">
        <v>123</v>
      </c>
      <c r="K171" s="132">
        <f t="shared" si="32"/>
        <v>314.80830000000003</v>
      </c>
      <c r="L171" s="133">
        <f t="shared" si="36"/>
        <v>691.28062636314121</v>
      </c>
      <c r="M171" s="132">
        <f t="shared" si="33"/>
        <v>247.44490000000002</v>
      </c>
      <c r="N171" s="133">
        <f t="shared" si="34"/>
        <v>607.91284221916874</v>
      </c>
      <c r="O171" s="132">
        <f t="shared" si="35"/>
        <v>187.8663</v>
      </c>
      <c r="P171" s="133">
        <f t="shared" si="37"/>
        <v>533.76841370561408</v>
      </c>
    </row>
    <row r="172" spans="10:16" x14ac:dyDescent="0.25">
      <c r="J172" s="129">
        <v>124</v>
      </c>
      <c r="K172" s="132">
        <f t="shared" si="32"/>
        <v>317.37610000000001</v>
      </c>
      <c r="L172" s="133">
        <f t="shared" si="36"/>
        <v>694.45039750129604</v>
      </c>
      <c r="M172" s="132">
        <f t="shared" si="33"/>
        <v>249.43200000000002</v>
      </c>
      <c r="N172" s="133">
        <f t="shared" si="34"/>
        <v>610.37844897627997</v>
      </c>
      <c r="O172" s="132">
        <f t="shared" si="35"/>
        <v>189.4615</v>
      </c>
      <c r="P172" s="133">
        <f t="shared" si="37"/>
        <v>535.75972599625243</v>
      </c>
    </row>
    <row r="173" spans="10:16" x14ac:dyDescent="0.25">
      <c r="J173" s="129">
        <v>125</v>
      </c>
      <c r="K173" s="132">
        <f t="shared" si="32"/>
        <v>319.94390000000004</v>
      </c>
      <c r="L173" s="133">
        <f t="shared" si="36"/>
        <v>697.61962656205753</v>
      </c>
      <c r="M173" s="132">
        <f t="shared" si="33"/>
        <v>251.41910000000001</v>
      </c>
      <c r="N173" s="133">
        <f t="shared" si="34"/>
        <v>612.84363093952243</v>
      </c>
      <c r="O173" s="132">
        <f t="shared" si="35"/>
        <v>191.05670000000001</v>
      </c>
      <c r="P173" s="133">
        <f t="shared" si="37"/>
        <v>537.75066615002197</v>
      </c>
    </row>
    <row r="174" spans="10:16" x14ac:dyDescent="0.25">
      <c r="J174" s="129">
        <v>126</v>
      </c>
      <c r="K174" s="132">
        <f t="shared" si="32"/>
        <v>322.51170000000002</v>
      </c>
      <c r="L174" s="133">
        <f t="shared" si="36"/>
        <v>700.78831840026646</v>
      </c>
      <c r="M174" s="132">
        <f t="shared" si="33"/>
        <v>253.40620000000001</v>
      </c>
      <c r="N174" s="133">
        <f t="shared" si="34"/>
        <v>615.30839185542277</v>
      </c>
      <c r="O174" s="132">
        <f t="shared" si="35"/>
        <v>192.65189999999998</v>
      </c>
      <c r="P174" s="133">
        <f t="shared" si="37"/>
        <v>539.74123763408761</v>
      </c>
    </row>
    <row r="175" spans="10:16" x14ac:dyDescent="0.25">
      <c r="J175" s="129">
        <v>127</v>
      </c>
      <c r="K175" s="132">
        <f t="shared" si="32"/>
        <v>325.07950000000005</v>
      </c>
      <c r="L175" s="133">
        <f t="shared" si="36"/>
        <v>703.95647778899252</v>
      </c>
      <c r="M175" s="132">
        <f t="shared" si="33"/>
        <v>255.39330000000001</v>
      </c>
      <c r="N175" s="133">
        <f t="shared" si="34"/>
        <v>617.77273540835722</v>
      </c>
      <c r="O175" s="132">
        <f t="shared" si="35"/>
        <v>194.24709999999999</v>
      </c>
      <c r="P175" s="133">
        <f t="shared" si="37"/>
        <v>541.73144385488217</v>
      </c>
    </row>
    <row r="176" spans="10:16" x14ac:dyDescent="0.25">
      <c r="J176" s="129">
        <v>128</v>
      </c>
      <c r="K176" s="132">
        <f t="shared" si="32"/>
        <v>327.64730000000003</v>
      </c>
      <c r="L176" s="133">
        <f t="shared" si="36"/>
        <v>707.12410942154565</v>
      </c>
      <c r="M176" s="132">
        <f t="shared" si="33"/>
        <v>257.38040000000001</v>
      </c>
      <c r="N176" s="133">
        <f t="shared" si="34"/>
        <v>620.23666522205872</v>
      </c>
      <c r="O176" s="132">
        <f t="shared" si="35"/>
        <v>195.84229999999999</v>
      </c>
      <c r="P176" s="133">
        <f t="shared" si="37"/>
        <v>543.72128815965959</v>
      </c>
    </row>
    <row r="177" spans="10:16" x14ac:dyDescent="0.25">
      <c r="J177" s="129">
        <v>129</v>
      </c>
      <c r="K177" s="132">
        <f t="shared" si="32"/>
        <v>330.21510000000001</v>
      </c>
      <c r="L177" s="133">
        <f t="shared" si="36"/>
        <v>710.2912179134247</v>
      </c>
      <c r="M177" s="132">
        <f t="shared" si="33"/>
        <v>259.36750000000006</v>
      </c>
      <c r="N177" s="133">
        <f t="shared" si="34"/>
        <v>622.70018486107347</v>
      </c>
      <c r="O177" s="132">
        <f t="shared" si="35"/>
        <v>197.4375</v>
      </c>
      <c r="P177" s="133">
        <f t="shared" ref="P177:P208" si="38">IF(O177&gt;0,(((O177*K$3*K$4) +EXP(-1.0587+(0.8836*LN(O177*K$3*K$4))+0.284))*0.475+70+10)*(44/12),0)</f>
        <v>545.71077383799684</v>
      </c>
    </row>
    <row r="178" spans="10:16" x14ac:dyDescent="0.25">
      <c r="J178" s="129">
        <v>130</v>
      </c>
      <c r="K178" s="132">
        <f t="shared" ref="K178:K218" si="39">2.5678*J178-1.0311</f>
        <v>332.78290000000004</v>
      </c>
      <c r="L178" s="133">
        <f t="shared" si="36"/>
        <v>713.45780780420068</v>
      </c>
      <c r="M178" s="132">
        <f t="shared" ref="M178:M228" si="40">1.9871*J178+3.0316</f>
        <v>261.35460000000006</v>
      </c>
      <c r="N178" s="133">
        <f t="shared" ref="N178:N228" si="41">IF(M178&gt;0,(((M178*K$3*K$4) +EXP(-1.0587+(0.8836*LN(M178*K$3*K$4))+0.284))*0.475+70+10)*(44/12),0)</f>
        <v>625.1632978321752</v>
      </c>
      <c r="O178" s="132">
        <f t="shared" ref="O178:O238" si="42">1.5952*J178-8.3433</f>
        <v>199.03270000000001</v>
      </c>
      <c r="P178" s="133">
        <f t="shared" si="38"/>
        <v>547.69990412324535</v>
      </c>
    </row>
    <row r="179" spans="10:16" x14ac:dyDescent="0.25">
      <c r="J179" s="129">
        <v>131</v>
      </c>
      <c r="K179" s="132">
        <f t="shared" si="39"/>
        <v>335.35070000000002</v>
      </c>
      <c r="L179" s="133">
        <f t="shared" ref="L179:L218" si="43">IF(K179&gt;0,(((K179*K$3*K$4) +EXP(-1.0587+(0.8836*LN(K179*K$3*K$4))+0.284))*0.475+70+10)*(44/12),0)</f>
        <v>716.6238835593424</v>
      </c>
      <c r="M179" s="132">
        <f t="shared" si="40"/>
        <v>263.34170000000006</v>
      </c>
      <c r="N179" s="133">
        <f t="shared" si="41"/>
        <v>627.62600758573319</v>
      </c>
      <c r="O179" s="132">
        <f t="shared" si="42"/>
        <v>200.62789999999998</v>
      </c>
      <c r="P179" s="133">
        <f t="shared" si="38"/>
        <v>549.68868219393471</v>
      </c>
    </row>
    <row r="180" spans="10:16" x14ac:dyDescent="0.25">
      <c r="J180" s="129">
        <v>132</v>
      </c>
      <c r="K180" s="132">
        <f t="shared" si="39"/>
        <v>337.91850000000005</v>
      </c>
      <c r="L180" s="133">
        <f t="shared" si="43"/>
        <v>719.78944957198496</v>
      </c>
      <c r="M180" s="132">
        <f t="shared" si="40"/>
        <v>265.32880000000006</v>
      </c>
      <c r="N180" s="133">
        <f t="shared" si="41"/>
        <v>630.08831751703758</v>
      </c>
      <c r="O180" s="132">
        <f t="shared" si="42"/>
        <v>202.22309999999999</v>
      </c>
      <c r="P180" s="133">
        <f t="shared" si="38"/>
        <v>551.67711117513113</v>
      </c>
    </row>
    <row r="181" spans="10:16" x14ac:dyDescent="0.25">
      <c r="J181" s="129">
        <v>133</v>
      </c>
      <c r="K181" s="132">
        <f t="shared" si="39"/>
        <v>340.48630000000003</v>
      </c>
      <c r="L181" s="133">
        <f t="shared" si="43"/>
        <v>722.95451016464006</v>
      </c>
      <c r="M181" s="132">
        <f t="shared" si="40"/>
        <v>267.31590000000006</v>
      </c>
      <c r="N181" s="133">
        <f t="shared" si="41"/>
        <v>632.55023096758441</v>
      </c>
      <c r="O181" s="132">
        <f t="shared" si="42"/>
        <v>203.81829999999999</v>
      </c>
      <c r="P181" s="133">
        <f t="shared" si="38"/>
        <v>553.66519413975016</v>
      </c>
    </row>
    <row r="182" spans="10:16" x14ac:dyDescent="0.25">
      <c r="J182" s="129">
        <v>134</v>
      </c>
      <c r="K182" s="132">
        <f t="shared" si="39"/>
        <v>343.05410000000001</v>
      </c>
      <c r="L182" s="133">
        <f t="shared" si="43"/>
        <v>726.11906959085707</v>
      </c>
      <c r="M182" s="132">
        <f t="shared" si="40"/>
        <v>269.30300000000005</v>
      </c>
      <c r="N182" s="133">
        <f t="shared" si="41"/>
        <v>635.01175122632208</v>
      </c>
      <c r="O182" s="132">
        <f t="shared" si="42"/>
        <v>205.4135</v>
      </c>
      <c r="P182" s="133">
        <f t="shared" si="38"/>
        <v>555.65293410982883</v>
      </c>
    </row>
    <row r="183" spans="10:16" x14ac:dyDescent="0.25">
      <c r="J183" s="129">
        <v>135</v>
      </c>
      <c r="K183" s="132">
        <f t="shared" si="39"/>
        <v>345.62190000000004</v>
      </c>
      <c r="L183" s="133">
        <f t="shared" si="43"/>
        <v>729.28313203683001</v>
      </c>
      <c r="M183" s="132">
        <f t="shared" si="40"/>
        <v>271.29010000000005</v>
      </c>
      <c r="N183" s="133">
        <f t="shared" si="41"/>
        <v>637.47288153085844</v>
      </c>
      <c r="O183" s="132">
        <f t="shared" si="42"/>
        <v>207.0087</v>
      </c>
      <c r="P183" s="133">
        <f t="shared" si="38"/>
        <v>557.64033405775649</v>
      </c>
    </row>
    <row r="184" spans="10:16" x14ac:dyDescent="0.25">
      <c r="J184" s="129">
        <v>136</v>
      </c>
      <c r="K184" s="132">
        <f t="shared" si="39"/>
        <v>348.18970000000002</v>
      </c>
      <c r="L184" s="133">
        <f t="shared" si="43"/>
        <v>732.4467016229562</v>
      </c>
      <c r="M184" s="132">
        <f t="shared" si="40"/>
        <v>273.27720000000005</v>
      </c>
      <c r="N184" s="133">
        <f t="shared" si="41"/>
        <v>639.93362506863218</v>
      </c>
      <c r="O184" s="132">
        <f t="shared" si="42"/>
        <v>208.60389999999998</v>
      </c>
      <c r="P184" s="133">
        <f t="shared" si="38"/>
        <v>559.62739690746628</v>
      </c>
    </row>
    <row r="185" spans="10:16" x14ac:dyDescent="0.25">
      <c r="J185" s="129">
        <v>137</v>
      </c>
      <c r="K185" s="132">
        <f t="shared" si="39"/>
        <v>350.75750000000005</v>
      </c>
      <c r="L185" s="133">
        <f t="shared" si="43"/>
        <v>735.60978240534905</v>
      </c>
      <c r="M185" s="132">
        <f t="shared" si="40"/>
        <v>275.26430000000005</v>
      </c>
      <c r="N185" s="133">
        <f t="shared" si="41"/>
        <v>642.39398497804996</v>
      </c>
      <c r="O185" s="132">
        <f t="shared" si="42"/>
        <v>210.19909999999999</v>
      </c>
      <c r="P185" s="133">
        <f t="shared" si="38"/>
        <v>561.61412553558955</v>
      </c>
    </row>
    <row r="186" spans="10:16" x14ac:dyDescent="0.25">
      <c r="J186" s="129">
        <v>138</v>
      </c>
      <c r="K186" s="132">
        <f t="shared" si="39"/>
        <v>353.32530000000003</v>
      </c>
      <c r="L186" s="133">
        <f t="shared" si="43"/>
        <v>738.77237837730263</v>
      </c>
      <c r="M186" s="132">
        <f t="shared" si="40"/>
        <v>277.25140000000005</v>
      </c>
      <c r="N186" s="133">
        <f t="shared" si="41"/>
        <v>644.85396434958852</v>
      </c>
      <c r="O186" s="132">
        <f t="shared" si="42"/>
        <v>211.79429999999999</v>
      </c>
      <c r="P186" s="133">
        <f t="shared" si="38"/>
        <v>563.60052277257455</v>
      </c>
    </row>
    <row r="187" spans="10:16" x14ac:dyDescent="0.25">
      <c r="J187" s="129">
        <v>139</v>
      </c>
      <c r="K187" s="132">
        <f t="shared" si="39"/>
        <v>355.8931</v>
      </c>
      <c r="L187" s="133">
        <f t="shared" si="43"/>
        <v>741.93449347071532</v>
      </c>
      <c r="M187" s="132">
        <f t="shared" si="40"/>
        <v>279.23850000000004</v>
      </c>
      <c r="N187" s="133">
        <f t="shared" si="41"/>
        <v>647.31356622686508</v>
      </c>
      <c r="O187" s="132">
        <f t="shared" si="42"/>
        <v>213.3895</v>
      </c>
      <c r="P187" s="133">
        <f t="shared" si="38"/>
        <v>565.58659140376915</v>
      </c>
    </row>
    <row r="188" spans="10:16" x14ac:dyDescent="0.25">
      <c r="J188" s="129">
        <v>140</v>
      </c>
      <c r="K188" s="132">
        <f t="shared" si="39"/>
        <v>358.46090000000004</v>
      </c>
      <c r="L188" s="133">
        <f t="shared" si="43"/>
        <v>745.09613155746831</v>
      </c>
      <c r="M188" s="132">
        <f t="shared" si="40"/>
        <v>281.22560000000004</v>
      </c>
      <c r="N188" s="133">
        <f t="shared" si="41"/>
        <v>649.77279360767568</v>
      </c>
      <c r="O188" s="132">
        <f t="shared" si="42"/>
        <v>214.9847</v>
      </c>
      <c r="P188" s="133">
        <f t="shared" si="38"/>
        <v>567.57233417047155</v>
      </c>
    </row>
    <row r="189" spans="10:16" x14ac:dyDescent="0.25">
      <c r="J189" s="129">
        <v>141</v>
      </c>
      <c r="K189" s="132">
        <f t="shared" si="39"/>
        <v>361.02870000000001</v>
      </c>
      <c r="L189" s="133">
        <f t="shared" si="43"/>
        <v>748.25729645076615</v>
      </c>
      <c r="M189" s="132">
        <f t="shared" si="40"/>
        <v>283.21270000000004</v>
      </c>
      <c r="N189" s="133">
        <f t="shared" si="41"/>
        <v>652.23164944500434</v>
      </c>
      <c r="O189" s="132">
        <f t="shared" si="42"/>
        <v>216.57989999999998</v>
      </c>
      <c r="P189" s="133">
        <f t="shared" si="38"/>
        <v>569.55775377094915</v>
      </c>
    </row>
    <row r="190" spans="10:16" x14ac:dyDescent="0.25">
      <c r="J190" s="129">
        <v>142</v>
      </c>
      <c r="K190" s="132">
        <f t="shared" si="39"/>
        <v>363.59650000000005</v>
      </c>
      <c r="L190" s="133">
        <f t="shared" si="43"/>
        <v>751.41799190643565</v>
      </c>
      <c r="M190" s="132">
        <f t="shared" si="40"/>
        <v>285.19980000000004</v>
      </c>
      <c r="N190" s="133">
        <f t="shared" si="41"/>
        <v>654.69013664800218</v>
      </c>
      <c r="O190" s="132">
        <f t="shared" si="42"/>
        <v>218.17509999999999</v>
      </c>
      <c r="P190" s="133">
        <f t="shared" si="38"/>
        <v>571.54285286142442</v>
      </c>
    </row>
    <row r="191" spans="10:16" x14ac:dyDescent="0.25">
      <c r="J191" s="129">
        <v>143</v>
      </c>
      <c r="K191" s="132">
        <f t="shared" si="39"/>
        <v>366.16430000000003</v>
      </c>
      <c r="L191" s="133">
        <f t="shared" si="43"/>
        <v>754.57822162418984</v>
      </c>
      <c r="M191" s="132">
        <f t="shared" si="40"/>
        <v>287.18690000000004</v>
      </c>
      <c r="N191" s="133">
        <f t="shared" si="41"/>
        <v>657.14825808293938</v>
      </c>
      <c r="O191" s="132">
        <f t="shared" si="42"/>
        <v>219.77029999999999</v>
      </c>
      <c r="P191" s="133">
        <f t="shared" si="38"/>
        <v>573.52763405703422</v>
      </c>
    </row>
    <row r="192" spans="10:16" x14ac:dyDescent="0.25">
      <c r="J192" s="129">
        <v>144</v>
      </c>
      <c r="K192" s="132">
        <f t="shared" si="39"/>
        <v>368.7321</v>
      </c>
      <c r="L192" s="133">
        <f t="shared" si="43"/>
        <v>757.73798924885205</v>
      </c>
      <c r="M192" s="132">
        <f t="shared" si="40"/>
        <v>289.17400000000004</v>
      </c>
      <c r="N192" s="133">
        <f t="shared" si="41"/>
        <v>659.60601657412815</v>
      </c>
      <c r="O192" s="132">
        <f t="shared" si="42"/>
        <v>221.3655</v>
      </c>
      <c r="P192" s="133">
        <f t="shared" si="38"/>
        <v>575.51209993275688</v>
      </c>
    </row>
    <row r="193" spans="10:16" x14ac:dyDescent="0.25">
      <c r="J193" s="129">
        <v>145</v>
      </c>
      <c r="K193" s="132">
        <f t="shared" si="39"/>
        <v>371.29990000000004</v>
      </c>
      <c r="L193" s="133">
        <f t="shared" si="43"/>
        <v>760.897298371548</v>
      </c>
      <c r="M193" s="132">
        <f t="shared" si="40"/>
        <v>291.16110000000003</v>
      </c>
      <c r="N193" s="133">
        <f t="shared" si="41"/>
        <v>662.06341490482248</v>
      </c>
      <c r="O193" s="132">
        <f t="shared" si="42"/>
        <v>222.9607</v>
      </c>
      <c r="P193" s="133">
        <f t="shared" si="38"/>
        <v>577.49625302431593</v>
      </c>
    </row>
    <row r="194" spans="10:16" x14ac:dyDescent="0.25">
      <c r="J194" s="129">
        <v>146</v>
      </c>
      <c r="K194" s="132">
        <f t="shared" si="39"/>
        <v>373.86770000000001</v>
      </c>
      <c r="L194" s="133">
        <f t="shared" si="43"/>
        <v>764.05615253086182</v>
      </c>
      <c r="M194" s="132">
        <f t="shared" si="40"/>
        <v>293.14820000000003</v>
      </c>
      <c r="N194" s="133">
        <f t="shared" si="41"/>
        <v>664.52045581809011</v>
      </c>
      <c r="O194" s="132">
        <f t="shared" si="42"/>
        <v>224.55589999999998</v>
      </c>
      <c r="P194" s="133">
        <f t="shared" si="38"/>
        <v>579.48009582905286</v>
      </c>
    </row>
    <row r="195" spans="10:16" x14ac:dyDescent="0.25">
      <c r="J195" s="129">
        <v>147</v>
      </c>
      <c r="K195" s="132">
        <f t="shared" si="39"/>
        <v>376.43550000000005</v>
      </c>
      <c r="L195" s="133">
        <f t="shared" si="43"/>
        <v>767.21455521396103</v>
      </c>
      <c r="M195" s="132">
        <f t="shared" si="40"/>
        <v>295.13530000000003</v>
      </c>
      <c r="N195" s="133">
        <f t="shared" si="41"/>
        <v>666.97714201766166</v>
      </c>
      <c r="O195" s="132">
        <f t="shared" si="42"/>
        <v>226.15109999999999</v>
      </c>
      <c r="P195" s="133">
        <f t="shared" si="38"/>
        <v>581.46363080677827</v>
      </c>
    </row>
    <row r="196" spans="10:16" x14ac:dyDescent="0.25">
      <c r="J196" s="129">
        <v>148</v>
      </c>
      <c r="K196" s="132">
        <f t="shared" si="39"/>
        <v>379.00330000000002</v>
      </c>
      <c r="L196" s="133">
        <f t="shared" si="43"/>
        <v>770.37250985768821</v>
      </c>
      <c r="M196" s="132">
        <f t="shared" si="40"/>
        <v>297.12240000000003</v>
      </c>
      <c r="N196" s="133">
        <f t="shared" si="41"/>
        <v>669.43347616875531</v>
      </c>
      <c r="O196" s="132">
        <f t="shared" si="42"/>
        <v>227.74629999999999</v>
      </c>
      <c r="P196" s="133">
        <f t="shared" si="38"/>
        <v>583.44686038059547</v>
      </c>
    </row>
    <row r="197" spans="10:16" x14ac:dyDescent="0.25">
      <c r="J197" s="129">
        <v>149</v>
      </c>
      <c r="K197" s="132">
        <f t="shared" si="39"/>
        <v>381.57110000000006</v>
      </c>
      <c r="L197" s="133">
        <f t="shared" si="43"/>
        <v>773.53001984962418</v>
      </c>
      <c r="M197" s="132">
        <f t="shared" si="40"/>
        <v>299.10950000000003</v>
      </c>
      <c r="N197" s="133">
        <f t="shared" si="41"/>
        <v>671.88946089887918</v>
      </c>
      <c r="O197" s="132">
        <f t="shared" si="42"/>
        <v>229.3415</v>
      </c>
      <c r="P197" s="133">
        <f t="shared" si="38"/>
        <v>585.42978693770169</v>
      </c>
    </row>
    <row r="198" spans="10:16" x14ac:dyDescent="0.25">
      <c r="J198" s="129">
        <v>150</v>
      </c>
      <c r="K198" s="132">
        <f t="shared" si="39"/>
        <v>384.13890000000004</v>
      </c>
      <c r="L198" s="133">
        <f t="shared" si="43"/>
        <v>776.68708852911971</v>
      </c>
      <c r="M198" s="132">
        <f t="shared" si="40"/>
        <v>301.09660000000002</v>
      </c>
      <c r="N198" s="133">
        <f t="shared" si="41"/>
        <v>674.3450987986123</v>
      </c>
      <c r="O198" s="132">
        <f t="shared" si="42"/>
        <v>230.9367</v>
      </c>
      <c r="P198" s="133">
        <f t="shared" si="38"/>
        <v>587.41241283016655</v>
      </c>
    </row>
    <row r="199" spans="10:16" x14ac:dyDescent="0.25">
      <c r="J199" s="129">
        <v>151</v>
      </c>
      <c r="K199" s="132">
        <f t="shared" si="39"/>
        <v>386.70670000000001</v>
      </c>
      <c r="L199" s="133">
        <f t="shared" si="43"/>
        <v>779.84371918830129</v>
      </c>
      <c r="M199" s="132">
        <f t="shared" si="40"/>
        <v>303.08370000000002</v>
      </c>
      <c r="N199" s="133">
        <f t="shared" si="41"/>
        <v>676.80039242236296</v>
      </c>
      <c r="O199" s="132">
        <f t="shared" si="42"/>
        <v>232.53190000000001</v>
      </c>
      <c r="P199" s="133">
        <f t="shared" si="38"/>
        <v>589.39474037568709</v>
      </c>
    </row>
    <row r="200" spans="10:16" x14ac:dyDescent="0.25">
      <c r="J200" s="129">
        <v>152</v>
      </c>
      <c r="K200" s="132">
        <f t="shared" si="39"/>
        <v>389.27450000000005</v>
      </c>
      <c r="L200" s="133">
        <f t="shared" si="43"/>
        <v>782.9999150730464</v>
      </c>
      <c r="M200" s="132">
        <f t="shared" si="40"/>
        <v>305.07080000000002</v>
      </c>
      <c r="N200" s="133">
        <f t="shared" si="41"/>
        <v>679.25534428910851</v>
      </c>
      <c r="O200" s="132">
        <f t="shared" si="42"/>
        <v>234.12709999999998</v>
      </c>
      <c r="P200" s="133">
        <f t="shared" si="38"/>
        <v>591.37677185832331</v>
      </c>
    </row>
    <row r="201" spans="10:16" x14ac:dyDescent="0.25">
      <c r="J201" s="129">
        <v>153</v>
      </c>
      <c r="K201" s="132">
        <f t="shared" si="39"/>
        <v>391.84230000000002</v>
      </c>
      <c r="L201" s="133">
        <f t="shared" si="43"/>
        <v>786.15567938393485</v>
      </c>
      <c r="M201" s="132">
        <f t="shared" si="40"/>
        <v>307.05790000000002</v>
      </c>
      <c r="N201" s="133">
        <f t="shared" si="41"/>
        <v>681.70995688311393</v>
      </c>
      <c r="O201" s="132">
        <f t="shared" si="42"/>
        <v>235.72229999999999</v>
      </c>
      <c r="P201" s="133">
        <f t="shared" si="38"/>
        <v>593.35850952921146</v>
      </c>
    </row>
    <row r="202" spans="10:16" x14ac:dyDescent="0.25">
      <c r="J202" s="129">
        <v>154</v>
      </c>
      <c r="K202" s="132">
        <f t="shared" si="39"/>
        <v>394.41010000000006</v>
      </c>
      <c r="L202" s="133">
        <f t="shared" si="43"/>
        <v>789.31101527717351</v>
      </c>
      <c r="M202" s="132">
        <f t="shared" si="40"/>
        <v>309.04500000000002</v>
      </c>
      <c r="N202" s="133">
        <f t="shared" si="41"/>
        <v>684.16423265463061</v>
      </c>
      <c r="O202" s="132">
        <f t="shared" si="42"/>
        <v>237.3175</v>
      </c>
      <c r="P202" s="133">
        <f t="shared" si="38"/>
        <v>595.33995560725828</v>
      </c>
    </row>
    <row r="203" spans="10:16" x14ac:dyDescent="0.25">
      <c r="J203" s="129">
        <v>155</v>
      </c>
      <c r="K203" s="132">
        <f t="shared" si="39"/>
        <v>396.97790000000003</v>
      </c>
      <c r="L203" s="133">
        <f t="shared" si="43"/>
        <v>792.46592586549571</v>
      </c>
      <c r="M203" s="132">
        <f t="shared" si="40"/>
        <v>311.03210000000001</v>
      </c>
      <c r="N203" s="133">
        <f t="shared" si="41"/>
        <v>686.61817402057989</v>
      </c>
      <c r="O203" s="132">
        <f t="shared" si="42"/>
        <v>238.9127</v>
      </c>
      <c r="P203" s="133">
        <f t="shared" si="38"/>
        <v>597.32111227981613</v>
      </c>
    </row>
    <row r="204" spans="10:16" x14ac:dyDescent="0.25">
      <c r="J204" s="129">
        <v>156</v>
      </c>
      <c r="K204" s="132">
        <f t="shared" si="39"/>
        <v>399.54570000000001</v>
      </c>
      <c r="L204" s="133">
        <f t="shared" si="43"/>
        <v>795.62041421903803</v>
      </c>
      <c r="M204" s="132">
        <f t="shared" si="40"/>
        <v>313.01920000000001</v>
      </c>
      <c r="N204" s="133">
        <f t="shared" si="41"/>
        <v>689.07178336521429</v>
      </c>
      <c r="O204" s="132">
        <f t="shared" si="42"/>
        <v>240.50790000000001</v>
      </c>
      <c r="P204" s="133">
        <f t="shared" si="38"/>
        <v>599.30198170333915</v>
      </c>
    </row>
    <row r="205" spans="10:16" x14ac:dyDescent="0.25">
      <c r="J205" s="129">
        <v>157</v>
      </c>
      <c r="K205" s="132">
        <f t="shared" si="39"/>
        <v>402.11350000000004</v>
      </c>
      <c r="L205" s="133">
        <f t="shared" si="43"/>
        <v>798.77448336619307</v>
      </c>
      <c r="M205" s="132">
        <f t="shared" si="40"/>
        <v>315.00630000000007</v>
      </c>
      <c r="N205" s="133">
        <f t="shared" si="41"/>
        <v>691.52506304076473</v>
      </c>
      <c r="O205" s="132">
        <f t="shared" si="42"/>
        <v>242.10309999999998</v>
      </c>
      <c r="P205" s="133">
        <f t="shared" si="38"/>
        <v>601.28256600402119</v>
      </c>
    </row>
    <row r="206" spans="10:16" x14ac:dyDescent="0.25">
      <c r="J206" s="129">
        <v>158</v>
      </c>
      <c r="K206" s="132">
        <f t="shared" si="39"/>
        <v>404.68130000000002</v>
      </c>
      <c r="L206" s="133">
        <f t="shared" si="43"/>
        <v>801.9281362944389</v>
      </c>
      <c r="M206" s="132">
        <f t="shared" si="40"/>
        <v>316.99340000000007</v>
      </c>
      <c r="N206" s="133">
        <f t="shared" si="41"/>
        <v>693.97801536806924</v>
      </c>
      <c r="O206" s="132">
        <f t="shared" si="42"/>
        <v>243.69829999999999</v>
      </c>
      <c r="P206" s="133">
        <f t="shared" si="38"/>
        <v>603.26286727841864</v>
      </c>
    </row>
    <row r="207" spans="10:16" x14ac:dyDescent="0.25">
      <c r="J207" s="129">
        <v>159</v>
      </c>
      <c r="K207" s="132">
        <f t="shared" si="39"/>
        <v>407.24910000000006</v>
      </c>
      <c r="L207" s="133">
        <f t="shared" si="43"/>
        <v>805.08137595114931</v>
      </c>
      <c r="M207" s="132">
        <f t="shared" si="40"/>
        <v>318.98050000000006</v>
      </c>
      <c r="N207" s="133">
        <f t="shared" si="41"/>
        <v>696.43064263718679</v>
      </c>
      <c r="O207" s="132">
        <f t="shared" si="42"/>
        <v>245.29349999999999</v>
      </c>
      <c r="P207" s="133">
        <f t="shared" si="38"/>
        <v>605.24288759405272</v>
      </c>
    </row>
    <row r="208" spans="10:16" x14ac:dyDescent="0.25">
      <c r="J208" s="129">
        <v>160</v>
      </c>
      <c r="K208" s="132">
        <f t="shared" si="39"/>
        <v>409.81690000000003</v>
      </c>
      <c r="L208" s="133">
        <f t="shared" si="43"/>
        <v>808.23420524438018</v>
      </c>
      <c r="M208" s="132">
        <f t="shared" si="40"/>
        <v>320.96760000000006</v>
      </c>
      <c r="N208" s="133">
        <f t="shared" si="41"/>
        <v>698.8829471079938</v>
      </c>
      <c r="O208" s="132">
        <f t="shared" si="42"/>
        <v>246.8887</v>
      </c>
      <c r="P208" s="133">
        <f t="shared" si="38"/>
        <v>607.2226289899985</v>
      </c>
    </row>
    <row r="209" spans="10:16" x14ac:dyDescent="0.25">
      <c r="J209" s="129">
        <v>161</v>
      </c>
      <c r="K209" s="132">
        <f t="shared" si="39"/>
        <v>412.38470000000001</v>
      </c>
      <c r="L209" s="133">
        <f t="shared" si="43"/>
        <v>811.38662704363787</v>
      </c>
      <c r="M209" s="132">
        <f t="shared" si="40"/>
        <v>322.95470000000006</v>
      </c>
      <c r="N209" s="133">
        <f t="shared" si="41"/>
        <v>701.33493101076692</v>
      </c>
      <c r="O209" s="132">
        <f t="shared" si="42"/>
        <v>248.48390000000001</v>
      </c>
      <c r="P209" s="133">
        <f t="shared" ref="P209:P238" si="44">IF(O209&gt;0,(((O209*K$3*K$4) +EXP(-1.0587+(0.8836*LN(O209*K$3*K$4))+0.284))*0.475+70+10)*(44/12),0)</f>
        <v>609.20209347745811</v>
      </c>
    </row>
    <row r="210" spans="10:16" x14ac:dyDescent="0.25">
      <c r="J210" s="129">
        <v>162</v>
      </c>
      <c r="K210" s="132">
        <f t="shared" si="39"/>
        <v>414.95250000000004</v>
      </c>
      <c r="L210" s="133">
        <f t="shared" si="43"/>
        <v>814.53864418062722</v>
      </c>
      <c r="M210" s="132">
        <f t="shared" si="40"/>
        <v>324.94180000000006</v>
      </c>
      <c r="N210" s="133">
        <f t="shared" si="41"/>
        <v>703.78659654674937</v>
      </c>
      <c r="O210" s="132">
        <f t="shared" si="42"/>
        <v>250.07909999999998</v>
      </c>
      <c r="P210" s="133">
        <f t="shared" si="44"/>
        <v>611.18128304031768</v>
      </c>
    </row>
    <row r="211" spans="10:16" x14ac:dyDescent="0.25">
      <c r="J211" s="129">
        <v>163</v>
      </c>
      <c r="K211" s="132">
        <f t="shared" si="39"/>
        <v>417.52030000000002</v>
      </c>
      <c r="L211" s="133">
        <f t="shared" si="43"/>
        <v>817.69025944997918</v>
      </c>
      <c r="M211" s="132">
        <f t="shared" si="40"/>
        <v>326.92890000000006</v>
      </c>
      <c r="N211" s="133">
        <f t="shared" si="41"/>
        <v>706.23794588870601</v>
      </c>
      <c r="O211" s="132">
        <f t="shared" si="42"/>
        <v>251.67430000000002</v>
      </c>
      <c r="P211" s="133">
        <f t="shared" si="44"/>
        <v>613.16019963568988</v>
      </c>
    </row>
    <row r="212" spans="10:16" x14ac:dyDescent="0.25">
      <c r="J212" s="129">
        <v>164</v>
      </c>
      <c r="K212" s="132">
        <f t="shared" si="39"/>
        <v>420.08810000000005</v>
      </c>
      <c r="L212" s="133">
        <f t="shared" si="43"/>
        <v>820.84147560996212</v>
      </c>
      <c r="M212" s="132">
        <f t="shared" si="40"/>
        <v>328.91600000000005</v>
      </c>
      <c r="N212" s="133">
        <f t="shared" si="41"/>
        <v>708.68898118146035</v>
      </c>
      <c r="O212" s="132">
        <f t="shared" si="42"/>
        <v>253.26949999999999</v>
      </c>
      <c r="P212" s="133">
        <f t="shared" si="44"/>
        <v>615.13884519444332</v>
      </c>
    </row>
    <row r="213" spans="10:16" x14ac:dyDescent="0.25">
      <c r="J213" s="129">
        <v>165</v>
      </c>
      <c r="K213" s="132">
        <f t="shared" si="39"/>
        <v>422.65590000000003</v>
      </c>
      <c r="L213" s="133">
        <f t="shared" si="43"/>
        <v>823.99229538317354</v>
      </c>
      <c r="M213" s="132">
        <f t="shared" si="40"/>
        <v>330.90310000000005</v>
      </c>
      <c r="N213" s="133">
        <f t="shared" si="41"/>
        <v>711.13970454242212</v>
      </c>
      <c r="O213" s="132">
        <f t="shared" si="42"/>
        <v>254.86469999999997</v>
      </c>
      <c r="P213" s="133">
        <f t="shared" si="44"/>
        <v>617.11722162171623</v>
      </c>
    </row>
    <row r="214" spans="10:16" x14ac:dyDescent="0.25">
      <c r="J214" s="129">
        <v>166</v>
      </c>
      <c r="K214" s="132">
        <f t="shared" si="39"/>
        <v>425.22370000000001</v>
      </c>
      <c r="L214" s="133">
        <f t="shared" si="43"/>
        <v>827.14272145721657</v>
      </c>
      <c r="M214" s="132">
        <f t="shared" si="40"/>
        <v>332.89020000000005</v>
      </c>
      <c r="N214" s="133">
        <f t="shared" si="41"/>
        <v>713.59011806209901</v>
      </c>
      <c r="O214" s="132">
        <f t="shared" si="42"/>
        <v>256.4599</v>
      </c>
      <c r="P214" s="133">
        <f t="shared" si="44"/>
        <v>619.09533079741993</v>
      </c>
    </row>
    <row r="215" spans="10:16" x14ac:dyDescent="0.25">
      <c r="J215" s="129">
        <v>167</v>
      </c>
      <c r="K215" s="132">
        <f t="shared" si="39"/>
        <v>427.79150000000004</v>
      </c>
      <c r="L215" s="133">
        <f t="shared" si="43"/>
        <v>830.29275648535656</v>
      </c>
      <c r="M215" s="132">
        <f t="shared" si="40"/>
        <v>334.87730000000005</v>
      </c>
      <c r="N215" s="133">
        <f t="shared" si="41"/>
        <v>716.04022380459764</v>
      </c>
      <c r="O215" s="132">
        <f t="shared" si="42"/>
        <v>258.05509999999998</v>
      </c>
      <c r="P215" s="133">
        <f t="shared" si="44"/>
        <v>621.07317457672639</v>
      </c>
    </row>
    <row r="216" spans="10:16" x14ac:dyDescent="0.25">
      <c r="J216" s="129">
        <v>168</v>
      </c>
      <c r="K216" s="132">
        <f t="shared" si="39"/>
        <v>430.35930000000002</v>
      </c>
      <c r="L216" s="133">
        <f t="shared" si="43"/>
        <v>833.44240308716417</v>
      </c>
      <c r="M216" s="132">
        <f t="shared" si="40"/>
        <v>336.86440000000005</v>
      </c>
      <c r="N216" s="133">
        <f t="shared" si="41"/>
        <v>718.4900238081118</v>
      </c>
      <c r="O216" s="132">
        <f t="shared" si="42"/>
        <v>259.65030000000002</v>
      </c>
      <c r="P216" s="133">
        <f t="shared" si="44"/>
        <v>623.05075479054483</v>
      </c>
    </row>
    <row r="217" spans="10:16" x14ac:dyDescent="0.25">
      <c r="J217" s="129">
        <v>169</v>
      </c>
      <c r="K217" s="132">
        <f t="shared" si="39"/>
        <v>432.92710000000005</v>
      </c>
      <c r="L217" s="133">
        <f t="shared" si="43"/>
        <v>836.5916638491417</v>
      </c>
      <c r="M217" s="132">
        <f t="shared" si="40"/>
        <v>338.85150000000004</v>
      </c>
      <c r="N217" s="133">
        <f t="shared" si="41"/>
        <v>720.93952008539736</v>
      </c>
      <c r="O217" s="132">
        <f t="shared" si="42"/>
        <v>261.24549999999999</v>
      </c>
      <c r="P217" s="133">
        <f t="shared" si="44"/>
        <v>625.02807324598666</v>
      </c>
    </row>
    <row r="218" spans="10:16" x14ac:dyDescent="0.25">
      <c r="J218" s="129">
        <v>170</v>
      </c>
      <c r="K218" s="132">
        <f t="shared" si="39"/>
        <v>435.49490000000003</v>
      </c>
      <c r="L218" s="133">
        <f t="shared" si="43"/>
        <v>839.74054132533388</v>
      </c>
      <c r="M218" s="132">
        <f t="shared" si="40"/>
        <v>340.83860000000004</v>
      </c>
      <c r="N218" s="133">
        <f t="shared" si="41"/>
        <v>723.38871462423867</v>
      </c>
      <c r="O218" s="132">
        <f t="shared" si="42"/>
        <v>262.84069999999997</v>
      </c>
      <c r="P218" s="133">
        <f t="shared" si="44"/>
        <v>627.00513172681747</v>
      </c>
    </row>
    <row r="219" spans="10:16" x14ac:dyDescent="0.25">
      <c r="J219" s="129">
        <v>171</v>
      </c>
      <c r="M219" s="132">
        <f t="shared" si="40"/>
        <v>342.82570000000004</v>
      </c>
      <c r="N219" s="133">
        <f t="shared" si="41"/>
        <v>725.83760938790101</v>
      </c>
      <c r="O219" s="132">
        <f t="shared" si="42"/>
        <v>264.4359</v>
      </c>
      <c r="P219" s="133">
        <f t="shared" si="44"/>
        <v>628.98193199389914</v>
      </c>
    </row>
    <row r="220" spans="10:16" x14ac:dyDescent="0.25">
      <c r="J220" s="129">
        <v>172</v>
      </c>
      <c r="M220" s="132">
        <f t="shared" si="40"/>
        <v>344.81280000000004</v>
      </c>
      <c r="N220" s="133">
        <f t="shared" si="41"/>
        <v>728.28620631557385</v>
      </c>
      <c r="O220" s="132">
        <f t="shared" si="42"/>
        <v>266.03109999999998</v>
      </c>
      <c r="P220" s="133">
        <f t="shared" si="44"/>
        <v>630.9584757856195</v>
      </c>
    </row>
    <row r="221" spans="10:16" x14ac:dyDescent="0.25">
      <c r="J221" s="129">
        <v>173</v>
      </c>
      <c r="M221" s="132">
        <f t="shared" si="40"/>
        <v>346.79990000000004</v>
      </c>
      <c r="N221" s="133">
        <f t="shared" si="41"/>
        <v>730.7345073228031</v>
      </c>
      <c r="O221" s="132">
        <f t="shared" si="42"/>
        <v>267.62630000000001</v>
      </c>
      <c r="P221" s="133">
        <f t="shared" si="44"/>
        <v>632.93476481831306</v>
      </c>
    </row>
    <row r="222" spans="10:16" x14ac:dyDescent="0.25">
      <c r="J222" s="129">
        <v>174</v>
      </c>
      <c r="M222" s="132">
        <f t="shared" si="40"/>
        <v>348.78700000000003</v>
      </c>
      <c r="N222" s="133">
        <f t="shared" si="41"/>
        <v>733.18251430191253</v>
      </c>
      <c r="O222" s="132">
        <f t="shared" si="42"/>
        <v>269.22149999999999</v>
      </c>
      <c r="P222" s="133">
        <f t="shared" si="44"/>
        <v>634.9108007866696</v>
      </c>
    </row>
    <row r="223" spans="10:16" x14ac:dyDescent="0.25">
      <c r="J223" s="129">
        <v>175</v>
      </c>
      <c r="M223" s="132">
        <f t="shared" si="40"/>
        <v>350.77410000000003</v>
      </c>
      <c r="N223" s="133">
        <f t="shared" si="41"/>
        <v>735.63022912241661</v>
      </c>
      <c r="O223" s="132">
        <f t="shared" si="42"/>
        <v>270.81669999999997</v>
      </c>
      <c r="P223" s="133">
        <f t="shared" si="44"/>
        <v>636.8865853641347</v>
      </c>
    </row>
    <row r="224" spans="10:16" x14ac:dyDescent="0.25">
      <c r="J224" s="129">
        <v>176</v>
      </c>
      <c r="M224" s="132">
        <f t="shared" si="40"/>
        <v>352.76120000000003</v>
      </c>
      <c r="N224" s="133">
        <f t="shared" si="41"/>
        <v>738.07765363142289</v>
      </c>
      <c r="O224" s="132">
        <f t="shared" si="42"/>
        <v>272.4119</v>
      </c>
      <c r="P224" s="133">
        <f t="shared" si="44"/>
        <v>638.86212020329833</v>
      </c>
    </row>
    <row r="225" spans="10:16" x14ac:dyDescent="0.25">
      <c r="J225" s="129">
        <v>177</v>
      </c>
      <c r="M225" s="132">
        <f t="shared" si="40"/>
        <v>354.74830000000003</v>
      </c>
      <c r="N225" s="133">
        <f t="shared" si="41"/>
        <v>740.52478965402565</v>
      </c>
      <c r="O225" s="132">
        <f t="shared" si="42"/>
        <v>274.00709999999998</v>
      </c>
      <c r="P225" s="133">
        <f t="shared" si="44"/>
        <v>640.83740693627669</v>
      </c>
    </row>
    <row r="226" spans="10:16" x14ac:dyDescent="0.25">
      <c r="J226" s="129">
        <v>178</v>
      </c>
      <c r="M226" s="132">
        <f t="shared" si="40"/>
        <v>356.73540000000003</v>
      </c>
      <c r="N226" s="133">
        <f t="shared" si="41"/>
        <v>742.97163899368888</v>
      </c>
      <c r="O226" s="132">
        <f t="shared" si="42"/>
        <v>275.60230000000001</v>
      </c>
      <c r="P226" s="133">
        <f t="shared" si="44"/>
        <v>642.81244717508309</v>
      </c>
    </row>
    <row r="227" spans="10:16" x14ac:dyDescent="0.25">
      <c r="J227" s="129">
        <v>179</v>
      </c>
      <c r="M227" s="132">
        <f t="shared" si="40"/>
        <v>358.72250000000003</v>
      </c>
      <c r="N227" s="133">
        <f t="shared" si="41"/>
        <v>745.41820343262282</v>
      </c>
      <c r="O227" s="132">
        <f t="shared" si="42"/>
        <v>277.19749999999999</v>
      </c>
      <c r="P227" s="133">
        <f t="shared" si="44"/>
        <v>644.78724251198912</v>
      </c>
    </row>
    <row r="228" spans="10:16" x14ac:dyDescent="0.25">
      <c r="J228" s="129">
        <v>180</v>
      </c>
      <c r="M228" s="132">
        <f t="shared" si="40"/>
        <v>360.70960000000002</v>
      </c>
      <c r="N228" s="133">
        <f t="shared" si="41"/>
        <v>747.86448473215023</v>
      </c>
      <c r="O228" s="132">
        <f t="shared" si="42"/>
        <v>278.79269999999997</v>
      </c>
      <c r="P228" s="133">
        <f t="shared" si="44"/>
        <v>646.76179451988128</v>
      </c>
    </row>
    <row r="229" spans="10:16" x14ac:dyDescent="0.25">
      <c r="J229" s="129">
        <v>181</v>
      </c>
      <c r="O229" s="132">
        <f t="shared" si="42"/>
        <v>280.3879</v>
      </c>
      <c r="P229" s="133">
        <f t="shared" si="44"/>
        <v>648.73610475260375</v>
      </c>
    </row>
    <row r="230" spans="10:16" x14ac:dyDescent="0.25">
      <c r="J230" s="129">
        <v>182</v>
      </c>
      <c r="O230" s="132">
        <f t="shared" si="42"/>
        <v>281.98309999999998</v>
      </c>
      <c r="P230" s="133">
        <f t="shared" si="44"/>
        <v>650.71017474529776</v>
      </c>
    </row>
    <row r="231" spans="10:16" x14ac:dyDescent="0.25">
      <c r="J231" s="129">
        <v>183</v>
      </c>
      <c r="O231" s="132">
        <f t="shared" si="42"/>
        <v>283.57830000000001</v>
      </c>
      <c r="P231" s="133">
        <f t="shared" si="44"/>
        <v>652.68400601473058</v>
      </c>
    </row>
    <row r="232" spans="10:16" x14ac:dyDescent="0.25">
      <c r="J232" s="129">
        <v>184</v>
      </c>
      <c r="O232" s="132">
        <f t="shared" si="42"/>
        <v>285.17349999999999</v>
      </c>
      <c r="P232" s="133">
        <f t="shared" si="44"/>
        <v>654.65760005961738</v>
      </c>
    </row>
    <row r="233" spans="10:16" x14ac:dyDescent="0.25">
      <c r="J233" s="129">
        <v>185</v>
      </c>
      <c r="O233" s="132">
        <f t="shared" si="42"/>
        <v>286.76869999999997</v>
      </c>
      <c r="P233" s="133">
        <f t="shared" si="44"/>
        <v>656.63095836093612</v>
      </c>
    </row>
    <row r="234" spans="10:16" x14ac:dyDescent="0.25">
      <c r="J234" s="129">
        <v>186</v>
      </c>
      <c r="O234" s="132">
        <f t="shared" si="42"/>
        <v>288.3639</v>
      </c>
      <c r="P234" s="133">
        <f t="shared" si="44"/>
        <v>658.60408238223488</v>
      </c>
    </row>
    <row r="235" spans="10:16" x14ac:dyDescent="0.25">
      <c r="J235" s="129">
        <v>187</v>
      </c>
      <c r="O235" s="132">
        <f t="shared" si="42"/>
        <v>289.95909999999998</v>
      </c>
      <c r="P235" s="133">
        <f t="shared" si="44"/>
        <v>660.57697356993197</v>
      </c>
    </row>
    <row r="236" spans="10:16" x14ac:dyDescent="0.25">
      <c r="J236" s="129">
        <v>188</v>
      </c>
      <c r="O236" s="132">
        <f t="shared" si="42"/>
        <v>291.55430000000001</v>
      </c>
      <c r="P236" s="133">
        <f t="shared" si="44"/>
        <v>662.54963335361003</v>
      </c>
    </row>
    <row r="237" spans="10:16" x14ac:dyDescent="0.25">
      <c r="J237" s="129">
        <v>189</v>
      </c>
      <c r="O237" s="132">
        <f t="shared" si="42"/>
        <v>293.14949999999999</v>
      </c>
      <c r="P237" s="133">
        <f t="shared" si="44"/>
        <v>664.52206314630257</v>
      </c>
    </row>
    <row r="238" spans="10:16" x14ac:dyDescent="0.25">
      <c r="J238" s="129">
        <v>190</v>
      </c>
      <c r="O238" s="132">
        <f t="shared" si="42"/>
        <v>294.74469999999997</v>
      </c>
      <c r="P238" s="133">
        <f t="shared" si="44"/>
        <v>666.49426434477459</v>
      </c>
    </row>
  </sheetData>
  <mergeCells count="17">
    <mergeCell ref="AY40:AZ40"/>
    <mergeCell ref="BA40:BB40"/>
    <mergeCell ref="BC40:BD40"/>
    <mergeCell ref="AO1:AV1"/>
    <mergeCell ref="AP32:AQ32"/>
    <mergeCell ref="AX1:BE1"/>
    <mergeCell ref="AX10:AY10"/>
    <mergeCell ref="BD10:BE10"/>
    <mergeCell ref="BA10:BB10"/>
    <mergeCell ref="AF35:AK35"/>
    <mergeCell ref="AF1:AM1"/>
    <mergeCell ref="S1:Z1"/>
    <mergeCell ref="J1:Q1"/>
    <mergeCell ref="K47:L47"/>
    <mergeCell ref="M45:N45"/>
    <mergeCell ref="O47:P47"/>
    <mergeCell ref="M47:N4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C6"/>
  <sheetViews>
    <sheetView workbookViewId="0">
      <selection activeCell="S34" sqref="S34"/>
    </sheetView>
  </sheetViews>
  <sheetFormatPr baseColWidth="10" defaultColWidth="10.85546875" defaultRowHeight="14.25" x14ac:dyDescent="0.2"/>
  <cols>
    <col min="1" max="16384" width="10.85546875" style="87"/>
  </cols>
  <sheetData>
    <row r="1" spans="1:3" x14ac:dyDescent="0.2">
      <c r="B1" s="87" t="s">
        <v>159</v>
      </c>
      <c r="C1" s="87" t="s">
        <v>160</v>
      </c>
    </row>
    <row r="2" spans="1:3" x14ac:dyDescent="0.2">
      <c r="A2" s="87" t="s">
        <v>9</v>
      </c>
      <c r="B2" s="87" t="s">
        <v>161</v>
      </c>
      <c r="C2" s="87" t="s">
        <v>168</v>
      </c>
    </row>
    <row r="3" spans="1:3" x14ac:dyDescent="0.2">
      <c r="A3" s="87" t="s">
        <v>167</v>
      </c>
      <c r="B3" s="87" t="s">
        <v>161</v>
      </c>
      <c r="C3" s="87" t="s">
        <v>163</v>
      </c>
    </row>
    <row r="4" spans="1:3" x14ac:dyDescent="0.2">
      <c r="A4" s="87" t="s">
        <v>8</v>
      </c>
      <c r="B4" s="87" t="s">
        <v>161</v>
      </c>
      <c r="C4" s="87" t="s">
        <v>164</v>
      </c>
    </row>
    <row r="5" spans="1:3" x14ac:dyDescent="0.2">
      <c r="A5" s="87" t="s">
        <v>11</v>
      </c>
      <c r="B5" s="87" t="s">
        <v>161</v>
      </c>
      <c r="C5" s="87" t="s">
        <v>162</v>
      </c>
    </row>
    <row r="6" spans="1:3" x14ac:dyDescent="0.2">
      <c r="A6" s="87" t="s">
        <v>10</v>
      </c>
      <c r="B6" s="87" t="s">
        <v>165</v>
      </c>
      <c r="C6" s="87" t="s">
        <v>166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8" tint="0.59999389629810485"/>
  </sheetPr>
  <dimension ref="A1:T101"/>
  <sheetViews>
    <sheetView showGridLines="0" view="pageBreakPreview" topLeftCell="A16" zoomScale="70" zoomScaleNormal="55" zoomScaleSheetLayoutView="70" workbookViewId="0">
      <selection activeCell="F15" sqref="F15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8.85546875" customWidth="1"/>
    <col min="4" max="4" width="16.5703125" customWidth="1"/>
    <col min="5" max="5" width="21" bestFit="1" customWidth="1"/>
    <col min="6" max="6" width="19.85546875" customWidth="1"/>
    <col min="7" max="7" width="43.85546875" bestFit="1" customWidth="1"/>
    <col min="9" max="9" width="11.5703125" bestFit="1" customWidth="1"/>
    <col min="11" max="11" width="20.5703125" customWidth="1"/>
    <col min="12" max="12" width="43.85546875" bestFit="1" customWidth="1"/>
    <col min="13" max="13" width="9.42578125" bestFit="1" customWidth="1"/>
    <col min="16" max="16" width="15.5703125" customWidth="1"/>
    <col min="17" max="17" width="43.85546875" bestFit="1" customWidth="1"/>
  </cols>
  <sheetData>
    <row r="1" spans="1:20" s="60" customFormat="1" ht="16.5" x14ac:dyDescent="0.3">
      <c r="A1" s="291" t="s">
        <v>112</v>
      </c>
      <c r="B1" s="291"/>
      <c r="C1" s="291"/>
      <c r="D1" s="291"/>
      <c r="E1" s="24"/>
      <c r="F1" s="24"/>
      <c r="G1" s="24"/>
      <c r="H1" s="24"/>
      <c r="I1" s="24"/>
      <c r="J1" s="24"/>
    </row>
    <row r="2" spans="1:20" ht="16.5" x14ac:dyDescent="0.3">
      <c r="D2" s="34"/>
      <c r="F2" s="57"/>
      <c r="G2" s="56"/>
      <c r="H2" s="25"/>
      <c r="I2" s="25"/>
      <c r="J2" s="25"/>
    </row>
    <row r="3" spans="1:20" ht="18" x14ac:dyDescent="0.25">
      <c r="A3" s="102" t="s">
        <v>79</v>
      </c>
      <c r="B3" s="103"/>
      <c r="G3" s="59" t="s">
        <v>145</v>
      </c>
      <c r="H3" s="65"/>
    </row>
    <row r="4" spans="1:20" ht="18" x14ac:dyDescent="0.25">
      <c r="A4" s="103"/>
      <c r="B4" s="102" t="s">
        <v>42</v>
      </c>
      <c r="G4" s="58" t="s">
        <v>19</v>
      </c>
      <c r="H4" s="58">
        <v>1</v>
      </c>
    </row>
    <row r="5" spans="1:20" ht="18" x14ac:dyDescent="0.25">
      <c r="A5" s="103"/>
      <c r="B5" s="102" t="s">
        <v>43</v>
      </c>
      <c r="G5" s="58" t="s">
        <v>144</v>
      </c>
      <c r="H5" s="58">
        <v>3</v>
      </c>
    </row>
    <row r="6" spans="1:20" ht="18" x14ac:dyDescent="0.25">
      <c r="A6" s="103"/>
      <c r="B6" s="102" t="s">
        <v>77</v>
      </c>
      <c r="G6" s="58" t="s">
        <v>22</v>
      </c>
      <c r="H6" s="58">
        <v>3</v>
      </c>
    </row>
    <row r="7" spans="1:20" ht="18" x14ac:dyDescent="0.25">
      <c r="A7" s="103"/>
      <c r="B7" s="102" t="s">
        <v>80</v>
      </c>
      <c r="G7" s="58" t="s">
        <v>21</v>
      </c>
      <c r="H7" s="58">
        <v>3</v>
      </c>
    </row>
    <row r="8" spans="1:20" ht="16.5" x14ac:dyDescent="0.3">
      <c r="B8" s="48"/>
      <c r="C8" s="34"/>
      <c r="D8" s="34"/>
      <c r="G8" s="58" t="s">
        <v>5</v>
      </c>
      <c r="H8" s="58">
        <v>5</v>
      </c>
    </row>
    <row r="9" spans="1:20" ht="16.5" x14ac:dyDescent="0.3">
      <c r="B9" s="48"/>
      <c r="C9" s="34"/>
      <c r="D9" s="34"/>
      <c r="G9" s="58" t="s">
        <v>58</v>
      </c>
      <c r="H9" s="58">
        <v>6</v>
      </c>
    </row>
    <row r="10" spans="1:20" ht="16.5" x14ac:dyDescent="0.3">
      <c r="B10" s="101" t="s">
        <v>87</v>
      </c>
      <c r="C10" s="175">
        <f>B17+G17+L17+Q17</f>
        <v>5.3333333333333339</v>
      </c>
      <c r="D10" s="34" t="s">
        <v>38</v>
      </c>
      <c r="G10" s="58" t="s">
        <v>56</v>
      </c>
      <c r="H10" s="58">
        <v>3</v>
      </c>
    </row>
    <row r="11" spans="1:20" ht="16.5" x14ac:dyDescent="0.3">
      <c r="B11" s="214" t="s">
        <v>136</v>
      </c>
      <c r="C11" s="175">
        <f>Répartition!B5</f>
        <v>1500</v>
      </c>
      <c r="D11" s="84" t="s">
        <v>315</v>
      </c>
      <c r="G11" s="58"/>
      <c r="H11" s="58"/>
    </row>
    <row r="12" spans="1:20" ht="16.5" x14ac:dyDescent="0.3">
      <c r="B12" s="48"/>
      <c r="C12" s="34"/>
      <c r="D12" s="34"/>
      <c r="F12" s="57"/>
      <c r="G12" s="56"/>
      <c r="H12" s="25"/>
      <c r="I12" s="25"/>
      <c r="J12" s="25"/>
    </row>
    <row r="13" spans="1:20" s="60" customFormat="1" ht="16.5" x14ac:dyDescent="0.3">
      <c r="A13" s="291" t="s">
        <v>177</v>
      </c>
      <c r="B13" s="291"/>
      <c r="C13" s="291"/>
      <c r="D13" s="291"/>
      <c r="E13" s="24"/>
      <c r="F13" s="24"/>
      <c r="G13" s="24"/>
      <c r="H13" s="24"/>
      <c r="I13" s="24"/>
      <c r="J13" s="24"/>
    </row>
    <row r="14" spans="1:20" ht="16.5" x14ac:dyDescent="0.3">
      <c r="B14" s="48"/>
      <c r="C14" s="34"/>
      <c r="D14" s="34"/>
      <c r="F14" s="57"/>
      <c r="G14" s="56"/>
      <c r="H14" s="25"/>
      <c r="I14" s="25"/>
      <c r="J14" s="2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18.75" x14ac:dyDescent="0.3">
      <c r="C15" s="8" t="s">
        <v>67</v>
      </c>
      <c r="F15" s="374" t="s">
        <v>512</v>
      </c>
      <c r="G15" s="367"/>
      <c r="H15" s="8" t="s">
        <v>67</v>
      </c>
      <c r="J15" s="35"/>
      <c r="K15" s="35"/>
      <c r="L15" s="35"/>
      <c r="M15" s="263"/>
      <c r="N15" s="35"/>
      <c r="O15" s="35"/>
      <c r="P15" s="35"/>
      <c r="Q15" s="35"/>
      <c r="R15" s="263"/>
      <c r="S15" s="263"/>
      <c r="T15" s="35"/>
    </row>
    <row r="16" spans="1:20" x14ac:dyDescent="0.25">
      <c r="A16" s="8" t="s">
        <v>70</v>
      </c>
      <c r="B16" s="69" t="s">
        <v>135</v>
      </c>
      <c r="C16" s="70">
        <v>2</v>
      </c>
      <c r="F16" s="8" t="s">
        <v>113</v>
      </c>
      <c r="G16" s="69" t="s">
        <v>5</v>
      </c>
      <c r="H16" s="70">
        <v>4</v>
      </c>
      <c r="J16" s="35"/>
      <c r="K16" s="263"/>
      <c r="L16" s="263"/>
      <c r="M16" s="266"/>
      <c r="N16" s="35"/>
      <c r="O16" s="35"/>
      <c r="P16" s="263"/>
      <c r="Q16" s="263"/>
      <c r="R16" s="266"/>
      <c r="S16" s="35"/>
      <c r="T16" s="35"/>
    </row>
    <row r="17" spans="1:20" x14ac:dyDescent="0.25">
      <c r="A17" s="7" t="s">
        <v>37</v>
      </c>
      <c r="B17" s="174">
        <f>Répartition!F8</f>
        <v>4.9333333333333336</v>
      </c>
      <c r="F17" s="7" t="s">
        <v>37</v>
      </c>
      <c r="G17" s="69">
        <f>Répartition!F10</f>
        <v>0.4</v>
      </c>
      <c r="J17" s="35"/>
      <c r="K17" s="263"/>
      <c r="L17" s="263"/>
      <c r="M17" s="35"/>
      <c r="N17" s="35"/>
      <c r="O17" s="35"/>
      <c r="P17" s="263"/>
      <c r="Q17" s="263"/>
      <c r="R17" s="35"/>
      <c r="S17" s="35"/>
      <c r="T17" s="35"/>
    </row>
    <row r="18" spans="1:20" x14ac:dyDescent="0.25"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16.5" x14ac:dyDescent="0.3">
      <c r="A19" s="292" t="s">
        <v>41</v>
      </c>
      <c r="B19" s="292"/>
      <c r="C19" s="292"/>
      <c r="D19" s="292"/>
      <c r="F19" s="292" t="s">
        <v>41</v>
      </c>
      <c r="G19" s="292"/>
      <c r="H19" s="292"/>
      <c r="I19" s="292"/>
      <c r="J19" s="35"/>
      <c r="K19" s="290"/>
      <c r="L19" s="290"/>
      <c r="M19" s="290"/>
      <c r="N19" s="290"/>
      <c r="O19" s="35"/>
      <c r="P19" s="290"/>
      <c r="Q19" s="290"/>
      <c r="R19" s="290"/>
      <c r="S19" s="290"/>
      <c r="T19" s="290"/>
    </row>
    <row r="20" spans="1:20" x14ac:dyDescent="0.25"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x14ac:dyDescent="0.25">
      <c r="A21" t="s">
        <v>40</v>
      </c>
      <c r="B21" t="s">
        <v>39</v>
      </c>
      <c r="C21" t="s">
        <v>38</v>
      </c>
      <c r="F21" t="s">
        <v>40</v>
      </c>
      <c r="G21" t="s">
        <v>39</v>
      </c>
      <c r="H21" t="s">
        <v>38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0" x14ac:dyDescent="0.25">
      <c r="A22" t="s">
        <v>8</v>
      </c>
      <c r="B22" t="s">
        <v>172</v>
      </c>
      <c r="C22" s="9">
        <f>INDEX(Vt,MATCH(B16,ESS,0),MATCH(C16,CF,0))*C11</f>
        <v>113.82974862145548</v>
      </c>
      <c r="F22" t="s">
        <v>8</v>
      </c>
      <c r="G22" t="s">
        <v>34</v>
      </c>
      <c r="H22" s="9">
        <f>INDEX(Vt,MATCH(G16,ESS,0),MATCH(H16,CF,0))</f>
        <v>350.6411321147188</v>
      </c>
      <c r="J22" s="35"/>
      <c r="K22" s="35"/>
      <c r="L22" s="35"/>
      <c r="M22" s="79"/>
      <c r="N22" s="35"/>
      <c r="O22" s="35"/>
      <c r="P22" s="35"/>
      <c r="Q22" s="35"/>
      <c r="R22" s="79"/>
      <c r="S22" s="79"/>
      <c r="T22" s="35"/>
    </row>
    <row r="23" spans="1:20" x14ac:dyDescent="0.25">
      <c r="A23" t="s">
        <v>171</v>
      </c>
      <c r="B23" t="s">
        <v>173</v>
      </c>
      <c r="C23" s="9">
        <f>INDEX(Vbi,MATCH(B16,ESS,0),MATCH(C16,CF,0))</f>
        <v>0</v>
      </c>
      <c r="F23" t="s">
        <v>171</v>
      </c>
      <c r="G23" t="s">
        <v>173</v>
      </c>
      <c r="H23" s="9">
        <f>INDEX(Vbi,MATCH(G16,ESS,0),MATCH(H16,CF,0))</f>
        <v>0</v>
      </c>
      <c r="J23" s="35"/>
      <c r="K23" s="35"/>
      <c r="L23" s="35"/>
      <c r="M23" s="79"/>
      <c r="N23" s="35"/>
      <c r="O23" s="35"/>
      <c r="P23" s="35"/>
      <c r="Q23" s="35"/>
      <c r="R23" s="79"/>
      <c r="S23" s="79"/>
      <c r="T23" s="35"/>
    </row>
    <row r="24" spans="1:20" x14ac:dyDescent="0.25">
      <c r="A24" t="s">
        <v>23</v>
      </c>
      <c r="B24" t="s">
        <v>24</v>
      </c>
      <c r="C24" s="9">
        <f>C22*VLOOKUP(B16,FEB[],3,0)*C31</f>
        <v>66.021254200444176</v>
      </c>
      <c r="F24" t="s">
        <v>23</v>
      </c>
      <c r="G24" t="s">
        <v>24</v>
      </c>
      <c r="H24" s="9">
        <f>H22*VLOOKUP(G16,FEB[],3,0)*H31</f>
        <v>199.8654453053897</v>
      </c>
      <c r="J24" s="35"/>
      <c r="K24" s="35"/>
      <c r="L24" s="35"/>
      <c r="M24" s="79"/>
      <c r="N24" s="35"/>
      <c r="O24" s="35"/>
      <c r="P24" s="35"/>
      <c r="Q24" s="35"/>
      <c r="R24" s="79"/>
      <c r="S24" s="79"/>
      <c r="T24" s="35"/>
    </row>
    <row r="25" spans="1:20" x14ac:dyDescent="0.25">
      <c r="A25" t="s">
        <v>25</v>
      </c>
      <c r="B25" t="s">
        <v>27</v>
      </c>
      <c r="C25" s="9">
        <f>EXP(-1.0587+(0.8836*LN(C24))+0.284)</f>
        <v>18.682054914996382</v>
      </c>
      <c r="F25" t="s">
        <v>25</v>
      </c>
      <c r="G25" t="s">
        <v>27</v>
      </c>
      <c r="H25" s="9">
        <f>EXP(-1.0587+(0.8836*LN(H24))+0.284)</f>
        <v>49.714595517916585</v>
      </c>
      <c r="J25" s="35"/>
      <c r="K25" s="35"/>
      <c r="L25" s="35"/>
      <c r="M25" s="79"/>
      <c r="N25" s="35"/>
      <c r="O25" s="35"/>
      <c r="P25" s="35"/>
      <c r="Q25" s="35"/>
      <c r="R25" s="79"/>
      <c r="S25" s="79"/>
      <c r="T25" s="35"/>
    </row>
    <row r="26" spans="1:20" x14ac:dyDescent="0.25">
      <c r="A26" t="s">
        <v>26</v>
      </c>
      <c r="B26" t="s">
        <v>188</v>
      </c>
      <c r="C26" s="9">
        <f>VLOOKUP(TRUE,A46:D46,3,FALSE)+(70-VLOOKUP(TRUE,A46:D46,3,FALSE))*(1-EXP(-0.0175*30))</f>
        <v>70</v>
      </c>
      <c r="F26" t="s">
        <v>26</v>
      </c>
      <c r="G26" t="s">
        <v>188</v>
      </c>
      <c r="H26" s="9">
        <f>VLOOKUP(TRUE,$A$46:$D$46,3,FALSE)+(70-VLOOKUP(TRUE,$A$46:$D$46,3,FALSE))*(1-EXP(-0.0175*30))</f>
        <v>70</v>
      </c>
      <c r="J26" s="35"/>
      <c r="K26" s="35"/>
      <c r="L26" s="35"/>
      <c r="M26" s="79"/>
      <c r="N26" s="35"/>
      <c r="O26" s="35"/>
      <c r="P26" s="35"/>
      <c r="Q26" s="35"/>
      <c r="R26" s="79"/>
      <c r="S26" s="79"/>
      <c r="T26" s="35"/>
    </row>
    <row r="27" spans="1:20" x14ac:dyDescent="0.25">
      <c r="A27" t="s">
        <v>28</v>
      </c>
      <c r="B27" t="s">
        <v>32</v>
      </c>
      <c r="C27" s="9">
        <v>10</v>
      </c>
      <c r="F27" t="s">
        <v>28</v>
      </c>
      <c r="G27" t="s">
        <v>32</v>
      </c>
      <c r="H27" s="9">
        <v>10</v>
      </c>
      <c r="J27" s="35"/>
      <c r="K27" s="35"/>
      <c r="L27" s="35"/>
      <c r="M27" s="79"/>
      <c r="N27" s="35"/>
      <c r="O27" s="35"/>
      <c r="P27" s="35"/>
      <c r="Q27" s="35"/>
      <c r="R27" s="79"/>
      <c r="S27" s="79"/>
      <c r="T27" s="35"/>
    </row>
    <row r="28" spans="1:20" x14ac:dyDescent="0.25">
      <c r="A28" t="s">
        <v>29</v>
      </c>
      <c r="B28" t="s">
        <v>31</v>
      </c>
      <c r="C28" s="9">
        <v>0</v>
      </c>
      <c r="D28" s="9"/>
      <c r="F28" t="s">
        <v>29</v>
      </c>
      <c r="G28" t="s">
        <v>31</v>
      </c>
      <c r="H28" s="9">
        <v>0</v>
      </c>
      <c r="I28" s="9"/>
      <c r="J28" s="35"/>
      <c r="K28" s="35"/>
      <c r="L28" s="35"/>
      <c r="M28" s="79"/>
      <c r="N28" s="79"/>
      <c r="O28" s="35"/>
      <c r="P28" s="35"/>
      <c r="Q28" s="35"/>
      <c r="R28" s="79"/>
      <c r="S28" s="79"/>
      <c r="T28" s="79"/>
    </row>
    <row r="29" spans="1:20" x14ac:dyDescent="0.25">
      <c r="C29" s="9"/>
      <c r="H29" s="9"/>
      <c r="J29" s="35"/>
      <c r="K29" s="35"/>
      <c r="L29" s="35"/>
      <c r="M29" s="79"/>
      <c r="N29" s="35"/>
      <c r="O29" s="35"/>
      <c r="P29" s="35"/>
      <c r="Q29" s="35"/>
      <c r="R29" s="79"/>
      <c r="S29" s="79"/>
      <c r="T29" s="35"/>
    </row>
    <row r="30" spans="1:20" x14ac:dyDescent="0.25">
      <c r="A30" s="4" t="s">
        <v>30</v>
      </c>
      <c r="B30" s="4" t="s">
        <v>33</v>
      </c>
      <c r="C30" s="42">
        <v>0.47499999999999998</v>
      </c>
      <c r="F30" s="4" t="s">
        <v>30</v>
      </c>
      <c r="G30" s="4" t="s">
        <v>33</v>
      </c>
      <c r="H30" s="42">
        <v>0.47499999999999998</v>
      </c>
      <c r="J30" s="35"/>
      <c r="K30" s="90"/>
      <c r="L30" s="90"/>
      <c r="M30" s="95"/>
      <c r="N30" s="35"/>
      <c r="O30" s="35"/>
      <c r="P30" s="90"/>
      <c r="Q30" s="90"/>
      <c r="R30" s="95"/>
      <c r="S30" s="95"/>
      <c r="T30" s="35"/>
    </row>
    <row r="31" spans="1:20" x14ac:dyDescent="0.25">
      <c r="A31" s="5" t="s">
        <v>35</v>
      </c>
      <c r="B31" s="5" t="s">
        <v>76</v>
      </c>
      <c r="C31" s="13">
        <f>VLOOKUP(B16,infradensite[],2,FALSE)</f>
        <v>0.57999999999999996</v>
      </c>
      <c r="F31" s="5" t="s">
        <v>35</v>
      </c>
      <c r="G31" s="5" t="s">
        <v>76</v>
      </c>
      <c r="H31" s="13">
        <v>0.56999999999999995</v>
      </c>
      <c r="I31" t="s">
        <v>511</v>
      </c>
      <c r="J31" s="35"/>
      <c r="K31" s="90"/>
      <c r="L31" s="90"/>
      <c r="M31" s="267"/>
      <c r="N31" s="35"/>
      <c r="O31" s="35"/>
      <c r="P31" s="90"/>
      <c r="Q31" s="90"/>
      <c r="R31" s="267"/>
      <c r="S31" s="267"/>
      <c r="T31" s="35"/>
    </row>
    <row r="32" spans="1:20" x14ac:dyDescent="0.25">
      <c r="A32" s="46"/>
      <c r="B32" s="46"/>
      <c r="C32" s="47"/>
      <c r="F32" s="46"/>
      <c r="G32" s="46"/>
      <c r="H32" s="47"/>
      <c r="J32" s="35"/>
      <c r="K32" s="90"/>
      <c r="L32" s="90"/>
      <c r="M32" s="267"/>
      <c r="N32" s="35"/>
      <c r="O32" s="35"/>
      <c r="P32" s="90"/>
      <c r="Q32" s="90"/>
      <c r="R32" s="267"/>
      <c r="S32" s="267"/>
      <c r="T32" s="35"/>
    </row>
    <row r="33" spans="1:20" x14ac:dyDescent="0.25">
      <c r="A33" s="46"/>
      <c r="B33" s="46"/>
      <c r="C33" s="47"/>
      <c r="F33" s="46"/>
      <c r="G33" s="46"/>
      <c r="H33" s="47"/>
      <c r="J33" s="35"/>
      <c r="K33" s="90"/>
      <c r="L33" s="90"/>
      <c r="M33" s="267"/>
      <c r="N33" s="35"/>
      <c r="O33" s="35"/>
      <c r="P33" s="90"/>
      <c r="Q33" s="90"/>
      <c r="R33" s="267"/>
      <c r="S33" s="267"/>
      <c r="T33" s="35"/>
    </row>
    <row r="34" spans="1:20" x14ac:dyDescent="0.25">
      <c r="B34" s="14" t="s">
        <v>81</v>
      </c>
      <c r="C34" s="45">
        <f>((C24+C25)*Tc+C26+C27+C28)</f>
        <v>120.23407182983426</v>
      </c>
      <c r="D34" t="s">
        <v>84</v>
      </c>
      <c r="G34" s="14" t="s">
        <v>116</v>
      </c>
      <c r="H34" s="45">
        <f>((H24+H25)*Tc+H26+H27+H28)</f>
        <v>198.55051939107048</v>
      </c>
      <c r="I34" t="s">
        <v>84</v>
      </c>
      <c r="J34" s="35"/>
      <c r="K34" s="35"/>
      <c r="L34" s="219"/>
      <c r="M34" s="268"/>
      <c r="N34" s="35"/>
      <c r="O34" s="35"/>
      <c r="P34" s="35"/>
      <c r="Q34" s="219"/>
      <c r="R34" s="268"/>
      <c r="S34" s="35"/>
      <c r="T34" s="35"/>
    </row>
    <row r="35" spans="1:20" x14ac:dyDescent="0.25">
      <c r="B35" s="43" t="s">
        <v>83</v>
      </c>
      <c r="C35" s="45">
        <f>((C24+C25)*Tc+C26+C27+C28)*(44/12)</f>
        <v>440.85826337605897</v>
      </c>
      <c r="D35" t="s">
        <v>85</v>
      </c>
      <c r="G35" s="43" t="s">
        <v>117</v>
      </c>
      <c r="H35" s="45">
        <f>((H24+H25)*Tc+H26+H27+H28)*(44/12)</f>
        <v>728.01857110059177</v>
      </c>
      <c r="I35" t="s">
        <v>85</v>
      </c>
      <c r="J35" s="35"/>
      <c r="K35" s="35"/>
      <c r="L35" s="90"/>
      <c r="M35" s="268"/>
      <c r="N35" s="35"/>
      <c r="O35" s="35"/>
      <c r="P35" s="35"/>
      <c r="Q35" s="90"/>
      <c r="R35" s="268"/>
      <c r="S35" s="35"/>
      <c r="T35" s="35"/>
    </row>
    <row r="36" spans="1:20" x14ac:dyDescent="0.25">
      <c r="B36" s="90" t="s">
        <v>176</v>
      </c>
      <c r="C36" s="45">
        <f>C23*C31*Tc*(44/12)</f>
        <v>0</v>
      </c>
      <c r="D36" t="s">
        <v>85</v>
      </c>
      <c r="G36" s="90" t="s">
        <v>180</v>
      </c>
      <c r="H36" s="45">
        <f>H23*H31*Tc*(44/12)</f>
        <v>0</v>
      </c>
      <c r="I36" t="s">
        <v>85</v>
      </c>
      <c r="J36" s="35"/>
      <c r="K36" s="35"/>
      <c r="L36" s="90"/>
      <c r="M36" s="268"/>
      <c r="N36" s="35"/>
      <c r="O36" s="35"/>
      <c r="P36" s="35"/>
      <c r="Q36" s="90"/>
      <c r="R36" s="268"/>
      <c r="S36" s="35"/>
      <c r="T36" s="35"/>
    </row>
    <row r="37" spans="1:20" ht="15.75" x14ac:dyDescent="0.25">
      <c r="B37" s="7" t="s">
        <v>82</v>
      </c>
      <c r="C37" s="44">
        <f>C35*B17</f>
        <v>2174.9007659885579</v>
      </c>
      <c r="D37" s="44" t="s">
        <v>86</v>
      </c>
      <c r="E37" s="96">
        <f>IF(ISNA(C37),"0",C37)</f>
        <v>2174.9007659885579</v>
      </c>
      <c r="G37" s="7" t="s">
        <v>118</v>
      </c>
      <c r="H37" s="44">
        <f>H35*G17</f>
        <v>291.2074284402367</v>
      </c>
      <c r="I37" s="44" t="s">
        <v>86</v>
      </c>
      <c r="J37" s="96">
        <f>IF(ISNA(H37),"0",H37)</f>
        <v>291.2074284402367</v>
      </c>
      <c r="K37" s="35"/>
      <c r="L37" s="263"/>
      <c r="M37" s="269"/>
      <c r="N37" s="269"/>
      <c r="O37" s="270"/>
      <c r="P37" s="35"/>
      <c r="Q37" s="263"/>
      <c r="R37" s="269"/>
      <c r="S37" s="269"/>
      <c r="T37" s="270"/>
    </row>
    <row r="38" spans="1:20" ht="15.75" x14ac:dyDescent="0.25">
      <c r="B38" s="7" t="s">
        <v>174</v>
      </c>
      <c r="C38" s="44">
        <f>C36*B17</f>
        <v>0</v>
      </c>
      <c r="D38" s="44" t="s">
        <v>175</v>
      </c>
      <c r="E38" s="96">
        <f>IF(ISNA(C38),"0",C38)</f>
        <v>0</v>
      </c>
      <c r="F38" s="28"/>
      <c r="G38" s="7" t="s">
        <v>179</v>
      </c>
      <c r="H38" s="44">
        <f>H36*G17</f>
        <v>0</v>
      </c>
      <c r="I38" s="44" t="s">
        <v>175</v>
      </c>
      <c r="J38" s="96">
        <f>IF(ISNA(H38),"0",H38)</f>
        <v>0</v>
      </c>
      <c r="K38" s="35"/>
      <c r="L38" s="263"/>
      <c r="M38" s="269"/>
      <c r="N38" s="269"/>
      <c r="O38" s="270"/>
      <c r="P38" s="35"/>
      <c r="Q38" s="263"/>
      <c r="R38" s="269"/>
      <c r="S38" s="269"/>
      <c r="T38" s="270"/>
    </row>
    <row r="39" spans="1:20" ht="16.5" thickBot="1" x14ac:dyDescent="0.3">
      <c r="B39" s="7"/>
      <c r="C39" s="44"/>
      <c r="D39" s="44"/>
      <c r="E39" s="96"/>
      <c r="F39" s="28"/>
      <c r="G39" s="7"/>
      <c r="H39" s="44"/>
      <c r="I39" s="44"/>
      <c r="J39" s="96"/>
      <c r="K39" s="35"/>
      <c r="L39" s="263"/>
      <c r="M39" s="269"/>
      <c r="N39" s="269"/>
      <c r="O39" s="270"/>
      <c r="P39" s="35"/>
      <c r="Q39" s="263"/>
      <c r="R39" s="269"/>
      <c r="S39" s="269"/>
      <c r="T39" s="270"/>
    </row>
    <row r="40" spans="1:20" ht="15.75" thickBot="1" x14ac:dyDescent="0.3">
      <c r="B40" s="143" t="s">
        <v>245</v>
      </c>
      <c r="C40" s="144">
        <f>INDEX(SMLT,MATCH(B16,ESS,0),MATCH(C16,CF,0))*B17</f>
        <v>2597.7242147720672</v>
      </c>
      <c r="D40" s="145" t="s">
        <v>246</v>
      </c>
      <c r="E40" s="142">
        <f>IF(ISNA(C40),"0",C40)</f>
        <v>2597.7242147720672</v>
      </c>
      <c r="F40" s="28"/>
      <c r="G40" s="143" t="s">
        <v>245</v>
      </c>
      <c r="H40" s="144">
        <f>INDEX(SMLT,MATCH(G16,ESS,0),MATCH(H16,CF,0))*G17</f>
        <v>220.80741370049077</v>
      </c>
      <c r="I40" s="145" t="s">
        <v>246</v>
      </c>
      <c r="J40" s="142">
        <f>IF(ISNA(H40),"0",H40)</f>
        <v>220.80741370049077</v>
      </c>
      <c r="K40" s="35"/>
      <c r="L40" s="263"/>
      <c r="M40" s="269"/>
      <c r="N40" s="271"/>
      <c r="O40" s="265"/>
      <c r="P40" s="35"/>
      <c r="Q40" s="263"/>
      <c r="R40" s="269"/>
      <c r="S40" s="271"/>
      <c r="T40" s="265"/>
    </row>
    <row r="41" spans="1:20" ht="15.75" x14ac:dyDescent="0.25">
      <c r="B41" s="7"/>
      <c r="C41" s="44"/>
      <c r="D41" s="44"/>
      <c r="E41" s="96"/>
      <c r="F41" s="28"/>
      <c r="G41" s="7"/>
      <c r="H41" s="44"/>
      <c r="I41" s="44"/>
      <c r="J41" s="96"/>
      <c r="K41" s="35"/>
      <c r="L41" s="263"/>
      <c r="M41" s="269"/>
      <c r="N41" s="269"/>
      <c r="O41" s="270"/>
      <c r="P41" s="35"/>
      <c r="Q41" s="263"/>
      <c r="R41" s="269"/>
      <c r="S41" s="269"/>
      <c r="T41" s="270"/>
    </row>
    <row r="42" spans="1:20" x14ac:dyDescent="0.25">
      <c r="E42" s="19"/>
      <c r="F42" s="19"/>
      <c r="G42" s="19"/>
      <c r="H42" s="19"/>
      <c r="I42" s="19"/>
      <c r="J42" s="19"/>
      <c r="K42" s="19"/>
      <c r="L42" s="19"/>
    </row>
    <row r="43" spans="1:20" s="19" customFormat="1" ht="16.5" x14ac:dyDescent="0.3">
      <c r="A43" s="22" t="s">
        <v>90</v>
      </c>
      <c r="B43" s="22"/>
      <c r="C43" s="22"/>
      <c r="D43" s="22"/>
      <c r="M43"/>
      <c r="R43"/>
      <c r="S43"/>
    </row>
    <row r="44" spans="1:20" ht="16.5" x14ac:dyDescent="0.3">
      <c r="A44" s="26"/>
      <c r="B44" s="26"/>
      <c r="C44" s="26"/>
      <c r="D44" s="26"/>
      <c r="F44" s="19"/>
      <c r="G44" s="19"/>
      <c r="H44" s="19"/>
      <c r="I44" s="19"/>
      <c r="J44" s="19"/>
      <c r="K44" s="19"/>
      <c r="L44" s="19"/>
      <c r="M44" s="19"/>
      <c r="R44" s="19"/>
      <c r="S44" s="19"/>
    </row>
    <row r="45" spans="1:20" x14ac:dyDescent="0.25">
      <c r="C45" s="7" t="s">
        <v>78</v>
      </c>
      <c r="D45" s="7" t="s">
        <v>199</v>
      </c>
      <c r="E45" s="7" t="s">
        <v>48</v>
      </c>
      <c r="F45" s="8" t="s">
        <v>200</v>
      </c>
      <c r="G45" s="8" t="s">
        <v>244</v>
      </c>
      <c r="H45" s="19"/>
      <c r="K45" s="19"/>
      <c r="L45" s="19"/>
    </row>
    <row r="46" spans="1:20" x14ac:dyDescent="0.25">
      <c r="A46" s="5" t="b">
        <v>1</v>
      </c>
      <c r="B46" s="5" t="s">
        <v>43</v>
      </c>
      <c r="C46" s="11">
        <v>70</v>
      </c>
      <c r="D46" s="11">
        <v>0</v>
      </c>
      <c r="E46" s="10">
        <f t="shared" ref="E46" si="0">(D46+C46)*44/12</f>
        <v>256.66666666666669</v>
      </c>
      <c r="F46" s="11">
        <f>E46*$C$10</f>
        <v>1368.8888888888891</v>
      </c>
      <c r="G46" s="11">
        <f>F46</f>
        <v>1368.8888888888891</v>
      </c>
    </row>
    <row r="47" spans="1:20" x14ac:dyDescent="0.25">
      <c r="G47" s="19"/>
      <c r="H47" s="19"/>
      <c r="I47" s="19"/>
      <c r="J47" s="19"/>
    </row>
    <row r="49" spans="1:12" ht="16.5" x14ac:dyDescent="0.3">
      <c r="A49" s="64" t="s">
        <v>59</v>
      </c>
      <c r="B49" s="64"/>
      <c r="C49" s="64"/>
      <c r="D49" s="64"/>
    </row>
    <row r="51" spans="1:12" x14ac:dyDescent="0.25">
      <c r="A51" s="293" t="s">
        <v>137</v>
      </c>
      <c r="B51" s="294"/>
      <c r="C51" s="295"/>
      <c r="D51" s="104">
        <v>0</v>
      </c>
    </row>
    <row r="52" spans="1:12" x14ac:dyDescent="0.25">
      <c r="A52" s="296" t="s">
        <v>60</v>
      </c>
      <c r="B52" s="297"/>
      <c r="C52" s="298"/>
      <c r="D52" s="105">
        <v>0.1</v>
      </c>
    </row>
    <row r="53" spans="1:12" x14ac:dyDescent="0.25">
      <c r="A53" s="293" t="s">
        <v>61</v>
      </c>
      <c r="B53" s="294"/>
      <c r="C53" s="295"/>
      <c r="D53" s="104">
        <v>0</v>
      </c>
    </row>
    <row r="54" spans="1:12" x14ac:dyDescent="0.25">
      <c r="A54" s="296" t="s">
        <v>62</v>
      </c>
      <c r="B54" s="297"/>
      <c r="C54" s="298"/>
      <c r="D54" s="105">
        <v>0</v>
      </c>
    </row>
    <row r="57" spans="1:12" ht="16.5" x14ac:dyDescent="0.3">
      <c r="E57" s="19"/>
      <c r="G57" s="19"/>
      <c r="H57" s="19"/>
      <c r="I57" s="84"/>
      <c r="J57" s="84"/>
    </row>
    <row r="58" spans="1:12" ht="16.5" x14ac:dyDescent="0.3">
      <c r="A58" s="291" t="s">
        <v>109</v>
      </c>
      <c r="B58" s="291"/>
      <c r="C58" s="291"/>
      <c r="D58" s="291"/>
      <c r="F58" s="82" t="s">
        <v>186</v>
      </c>
      <c r="G58" s="82"/>
      <c r="H58" s="82"/>
      <c r="I58" s="82"/>
      <c r="J58" s="19"/>
      <c r="K58" s="19"/>
      <c r="L58" s="19"/>
    </row>
    <row r="59" spans="1:12" ht="15.75" thickBot="1" x14ac:dyDescent="0.3">
      <c r="J59" s="19"/>
    </row>
    <row r="60" spans="1:12" x14ac:dyDescent="0.25">
      <c r="A60" s="134" t="s">
        <v>108</v>
      </c>
      <c r="B60" s="135">
        <f>E37+J37+O37+T37</f>
        <v>2466.1081944287944</v>
      </c>
      <c r="C60" s="136" t="s">
        <v>48</v>
      </c>
      <c r="J60" s="19"/>
    </row>
    <row r="61" spans="1:12" x14ac:dyDescent="0.25">
      <c r="A61" s="137" t="s">
        <v>110</v>
      </c>
      <c r="B61" s="11">
        <f>VLOOKUP(TRUE,A46:F46,6,FALSE)</f>
        <v>1368.8888888888891</v>
      </c>
      <c r="C61" s="138" t="s">
        <v>48</v>
      </c>
      <c r="J61" s="19"/>
    </row>
    <row r="62" spans="1:12" ht="15.75" thickBot="1" x14ac:dyDescent="0.3">
      <c r="A62" s="139" t="s">
        <v>243</v>
      </c>
      <c r="B62" s="140">
        <f>B60-B61</f>
        <v>1097.2193055399052</v>
      </c>
      <c r="C62" s="141" t="s">
        <v>48</v>
      </c>
      <c r="D62" s="9"/>
      <c r="J62" s="19"/>
    </row>
    <row r="63" spans="1:12" x14ac:dyDescent="0.25">
      <c r="A63" s="134" t="s">
        <v>240</v>
      </c>
      <c r="B63" s="135">
        <f>E40+J40+O40+T40</f>
        <v>2818.5316284725577</v>
      </c>
      <c r="C63" s="136" t="s">
        <v>48</v>
      </c>
      <c r="F63" s="4" t="s">
        <v>108</v>
      </c>
      <c r="G63" s="10">
        <f>E38+J38+O38+T38</f>
        <v>0</v>
      </c>
      <c r="H63" s="10" t="s">
        <v>48</v>
      </c>
      <c r="J63" s="19"/>
    </row>
    <row r="64" spans="1:12" ht="16.5" x14ac:dyDescent="0.3">
      <c r="A64" s="137" t="s">
        <v>241</v>
      </c>
      <c r="B64" s="11">
        <f>VLOOKUP(TRUE,A46:G46,7,FALSE)</f>
        <v>1368.8888888888891</v>
      </c>
      <c r="C64" s="138" t="s">
        <v>48</v>
      </c>
      <c r="D64" s="26"/>
      <c r="F64" s="5" t="s">
        <v>110</v>
      </c>
      <c r="G64" s="11">
        <v>0</v>
      </c>
      <c r="H64" s="11" t="s">
        <v>48</v>
      </c>
      <c r="I64" s="14" t="s">
        <v>178</v>
      </c>
    </row>
    <row r="65" spans="1:20" ht="15.75" thickBot="1" x14ac:dyDescent="0.3">
      <c r="A65" s="139" t="s">
        <v>242</v>
      </c>
      <c r="B65" s="140">
        <f>B63-B64</f>
        <v>1449.6427395836686</v>
      </c>
      <c r="C65" s="141" t="s">
        <v>48</v>
      </c>
      <c r="F65" s="53" t="s">
        <v>185</v>
      </c>
      <c r="G65" s="54">
        <f>(G63-G64)/30</f>
        <v>0</v>
      </c>
      <c r="H65" s="54" t="s">
        <v>48</v>
      </c>
    </row>
    <row r="67" spans="1:20" x14ac:dyDescent="0.25">
      <c r="G67" s="66" t="s">
        <v>197</v>
      </c>
      <c r="H67" s="67">
        <f>G65*(1-D51)*(1-D52)*(1-D53)*(1-D54)</f>
        <v>0</v>
      </c>
      <c r="I67" s="7" t="s">
        <v>147</v>
      </c>
    </row>
    <row r="69" spans="1:20" x14ac:dyDescent="0.25">
      <c r="B69" s="215" t="s">
        <v>109</v>
      </c>
      <c r="C69" s="146">
        <f>MIN(B62,B65)</f>
        <v>1097.2193055399052</v>
      </c>
      <c r="D69" s="7" t="s">
        <v>147</v>
      </c>
      <c r="G69" s="27"/>
      <c r="H69" s="27"/>
    </row>
    <row r="71" spans="1:20" x14ac:dyDescent="0.25">
      <c r="B71" s="215" t="s">
        <v>146</v>
      </c>
      <c r="C71" s="216">
        <f>C69*(1-D51)*(1-D52)*(1-D53)*(1-D54)</f>
        <v>987.49737498591469</v>
      </c>
      <c r="D71" s="7" t="s">
        <v>147</v>
      </c>
    </row>
    <row r="73" spans="1:20" x14ac:dyDescent="0.25">
      <c r="C73">
        <f>C71/C10</f>
        <v>185.15575780985898</v>
      </c>
    </row>
    <row r="75" spans="1:20" x14ac:dyDescent="0.25">
      <c r="B75" s="27"/>
      <c r="C75" s="27"/>
    </row>
    <row r="78" spans="1:20" x14ac:dyDescent="0.25">
      <c r="D78" s="19"/>
      <c r="E78" s="19"/>
      <c r="I78" s="19"/>
      <c r="J78" s="19"/>
      <c r="N78" s="19"/>
      <c r="O78" s="19"/>
      <c r="T78" s="19"/>
    </row>
    <row r="79" spans="1:2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1:2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1:2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1:20" x14ac:dyDescent="0.25">
      <c r="A84" s="19"/>
      <c r="B84" s="19"/>
      <c r="C84" s="19"/>
      <c r="F84" s="19"/>
      <c r="G84" s="19"/>
      <c r="H84" s="19"/>
      <c r="K84" s="19"/>
      <c r="L84" s="19"/>
      <c r="M84" s="19"/>
      <c r="P84" s="19"/>
      <c r="Q84" s="19"/>
      <c r="R84" s="19"/>
      <c r="S84" s="19"/>
    </row>
    <row r="101" spans="3:3" x14ac:dyDescent="0.25">
      <c r="C101" t="s">
        <v>155</v>
      </c>
    </row>
  </sheetData>
  <mergeCells count="11">
    <mergeCell ref="A58:D58"/>
    <mergeCell ref="A51:C51"/>
    <mergeCell ref="A52:C52"/>
    <mergeCell ref="A53:C53"/>
    <mergeCell ref="A54:C54"/>
    <mergeCell ref="K19:N19"/>
    <mergeCell ref="P19:T19"/>
    <mergeCell ref="A1:D1"/>
    <mergeCell ref="A19:D19"/>
    <mergeCell ref="F19:I19"/>
    <mergeCell ref="A13:D13"/>
  </mergeCells>
  <dataValidations count="4">
    <dataValidation type="list" allowBlank="1" showInputMessage="1" showErrorMessage="1" sqref="B16 G16 L16 Q16">
      <formula1>ESS</formula1>
    </dataValidation>
    <dataValidation type="list" allowBlank="1" showInputMessage="1" showErrorMessage="1" sqref="D51 D53:D54">
      <formula1>Rab</formula1>
    </dataValidation>
    <dataValidation type="list" allowBlank="1" showInputMessage="1" showErrorMessage="1" sqref="M16 R16">
      <formula1>$A$67:$A$72</formula1>
    </dataValidation>
    <dataValidation type="list" allowBlank="1" showInputMessage="1" showErrorMessage="1" sqref="H16">
      <formula1>$A$81:$A$86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71" r:id="rId4" name="Check Box 7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19050</xdr:rowOff>
                  </from>
                  <to>
                    <xdr:col>0</xdr:col>
                    <xdr:colOff>971550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5" name="Check Box 8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6" name="Check Box 9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7" name="Check Box 10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2"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Inputs!$A$90:$A$95</xm:f>
          </x14:formula1>
          <xm:sqref>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tabColor theme="8" tint="0.59999389629810485"/>
  </sheetPr>
  <dimension ref="A1:T120"/>
  <sheetViews>
    <sheetView showGridLines="0" view="pageBreakPreview" topLeftCell="A22" zoomScale="70" zoomScaleNormal="55" zoomScaleSheetLayoutView="70" workbookViewId="0">
      <selection activeCell="E63" sqref="E63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8.85546875" customWidth="1"/>
    <col min="4" max="4" width="16.5703125" customWidth="1"/>
    <col min="5" max="5" width="21" bestFit="1" customWidth="1"/>
    <col min="6" max="6" width="19.85546875" customWidth="1"/>
    <col min="7" max="7" width="43.85546875" bestFit="1" customWidth="1"/>
    <col min="9" max="9" width="11.5703125" bestFit="1" customWidth="1"/>
    <col min="11" max="11" width="20.5703125" customWidth="1"/>
    <col min="12" max="12" width="43.85546875" bestFit="1" customWidth="1"/>
    <col min="13" max="13" width="9.42578125" bestFit="1" customWidth="1"/>
    <col min="16" max="16" width="15.5703125" customWidth="1"/>
    <col min="17" max="17" width="43.85546875" bestFit="1" customWidth="1"/>
  </cols>
  <sheetData>
    <row r="1" spans="1:19" s="60" customFormat="1" ht="16.5" x14ac:dyDescent="0.3">
      <c r="A1" s="291" t="s">
        <v>112</v>
      </c>
      <c r="B1" s="291"/>
      <c r="C1" s="291"/>
      <c r="D1" s="291"/>
      <c r="E1" s="24"/>
      <c r="F1" s="24"/>
      <c r="G1" s="24"/>
      <c r="H1" s="24"/>
      <c r="I1" s="24"/>
      <c r="J1" s="24"/>
    </row>
    <row r="2" spans="1:19" ht="16.5" x14ac:dyDescent="0.3">
      <c r="D2" s="84"/>
      <c r="F2" s="57"/>
      <c r="G2" s="56"/>
      <c r="H2" s="25"/>
      <c r="I2" s="25"/>
      <c r="J2" s="25"/>
    </row>
    <row r="3" spans="1:19" ht="18" x14ac:dyDescent="0.25">
      <c r="A3" s="102" t="s">
        <v>79</v>
      </c>
      <c r="B3" s="103"/>
      <c r="G3" s="59" t="s">
        <v>145</v>
      </c>
      <c r="H3" s="65"/>
    </row>
    <row r="4" spans="1:19" ht="18" x14ac:dyDescent="0.25">
      <c r="A4" s="103"/>
      <c r="B4" s="102" t="s">
        <v>42</v>
      </c>
      <c r="G4" s="58" t="s">
        <v>19</v>
      </c>
      <c r="H4" s="58">
        <v>1</v>
      </c>
    </row>
    <row r="5" spans="1:19" ht="18" x14ac:dyDescent="0.25">
      <c r="A5" s="103"/>
      <c r="B5" s="102" t="s">
        <v>43</v>
      </c>
      <c r="G5" s="58" t="s">
        <v>144</v>
      </c>
      <c r="H5" s="58">
        <v>3</v>
      </c>
    </row>
    <row r="6" spans="1:19" ht="18" x14ac:dyDescent="0.25">
      <c r="A6" s="103"/>
      <c r="B6" s="102" t="s">
        <v>77</v>
      </c>
      <c r="G6" s="58" t="s">
        <v>22</v>
      </c>
      <c r="H6" s="58">
        <v>3</v>
      </c>
    </row>
    <row r="7" spans="1:19" ht="18" x14ac:dyDescent="0.25">
      <c r="A7" s="103"/>
      <c r="B7" s="102" t="s">
        <v>80</v>
      </c>
      <c r="G7" s="58" t="s">
        <v>21</v>
      </c>
      <c r="H7" s="58">
        <v>3</v>
      </c>
    </row>
    <row r="8" spans="1:19" ht="16.5" x14ac:dyDescent="0.3">
      <c r="B8" s="48"/>
      <c r="C8" s="84"/>
      <c r="D8" s="84"/>
      <c r="G8" s="58" t="s">
        <v>5</v>
      </c>
      <c r="H8" s="58">
        <v>5</v>
      </c>
    </row>
    <row r="9" spans="1:19" ht="16.5" x14ac:dyDescent="0.3">
      <c r="B9" s="48"/>
      <c r="C9" s="84"/>
      <c r="D9" s="84"/>
      <c r="G9" s="58" t="s">
        <v>58</v>
      </c>
      <c r="H9" s="58">
        <v>6</v>
      </c>
    </row>
    <row r="10" spans="1:19" ht="16.5" x14ac:dyDescent="0.3">
      <c r="B10" s="101" t="s">
        <v>87</v>
      </c>
      <c r="C10" s="175">
        <f>B17+G17+L17+Q17</f>
        <v>8.40625</v>
      </c>
      <c r="D10" s="84" t="s">
        <v>38</v>
      </c>
      <c r="G10" s="58" t="s">
        <v>56</v>
      </c>
      <c r="H10" s="58">
        <v>3</v>
      </c>
    </row>
    <row r="11" spans="1:19" ht="16.5" x14ac:dyDescent="0.3">
      <c r="B11" s="214" t="s">
        <v>136</v>
      </c>
      <c r="C11" s="175">
        <f>Répartition!B22</f>
        <v>1600</v>
      </c>
      <c r="D11" s="84" t="s">
        <v>315</v>
      </c>
      <c r="G11" s="58"/>
      <c r="H11" s="58"/>
    </row>
    <row r="12" spans="1:19" ht="16.5" x14ac:dyDescent="0.3">
      <c r="B12" s="48"/>
      <c r="C12" s="84"/>
      <c r="D12" s="84"/>
      <c r="F12" s="57"/>
      <c r="G12" s="56"/>
      <c r="H12" s="25"/>
      <c r="I12" s="25"/>
      <c r="J12" s="25"/>
    </row>
    <row r="13" spans="1:19" s="60" customFormat="1" ht="16.5" x14ac:dyDescent="0.3">
      <c r="A13" s="291" t="s">
        <v>177</v>
      </c>
      <c r="B13" s="291"/>
      <c r="C13" s="291"/>
      <c r="D13" s="291"/>
      <c r="E13" s="24"/>
      <c r="F13" s="24"/>
      <c r="G13" s="24"/>
      <c r="H13" s="24"/>
      <c r="I13" s="24"/>
      <c r="J13" s="24"/>
    </row>
    <row r="14" spans="1:19" ht="16.5" x14ac:dyDescent="0.3">
      <c r="B14" s="48"/>
      <c r="C14" s="84"/>
      <c r="D14" s="84"/>
      <c r="F14" s="57"/>
      <c r="G14" s="56"/>
      <c r="H14" s="25"/>
      <c r="I14" s="25"/>
      <c r="J14" s="25"/>
    </row>
    <row r="15" spans="1:19" ht="18.75" x14ac:dyDescent="0.3">
      <c r="A15" s="374" t="s">
        <v>436</v>
      </c>
      <c r="C15" s="8" t="s">
        <v>67</v>
      </c>
      <c r="F15" s="374" t="s">
        <v>512</v>
      </c>
      <c r="H15" s="8" t="s">
        <v>67</v>
      </c>
      <c r="J15" s="35"/>
      <c r="K15" s="374" t="s">
        <v>518</v>
      </c>
      <c r="M15" s="8" t="s">
        <v>67</v>
      </c>
      <c r="R15" s="8" t="s">
        <v>67</v>
      </c>
      <c r="S15" s="8"/>
    </row>
    <row r="16" spans="1:19" x14ac:dyDescent="0.25">
      <c r="A16" s="8" t="s">
        <v>70</v>
      </c>
      <c r="B16" s="69" t="s">
        <v>135</v>
      </c>
      <c r="C16" s="70">
        <v>2</v>
      </c>
      <c r="F16" s="8" t="s">
        <v>113</v>
      </c>
      <c r="G16" s="69" t="s">
        <v>5</v>
      </c>
      <c r="H16" s="70">
        <v>4</v>
      </c>
      <c r="J16" s="35"/>
      <c r="K16" s="8" t="s">
        <v>114</v>
      </c>
      <c r="L16" s="69" t="s">
        <v>75</v>
      </c>
      <c r="M16" s="70">
        <v>2</v>
      </c>
      <c r="P16" s="8" t="s">
        <v>115</v>
      </c>
      <c r="Q16" s="69"/>
      <c r="R16" s="70"/>
    </row>
    <row r="17" spans="1:20" x14ac:dyDescent="0.25">
      <c r="A17" s="7" t="s">
        <v>37</v>
      </c>
      <c r="B17" s="230">
        <f>Répartition!F25</f>
        <v>5.625</v>
      </c>
      <c r="F17" s="7" t="s">
        <v>37</v>
      </c>
      <c r="G17" s="69">
        <f>Répartition!F26</f>
        <v>1.9375</v>
      </c>
      <c r="J17" s="35"/>
      <c r="K17" s="7" t="s">
        <v>37</v>
      </c>
      <c r="L17" s="69">
        <f>Répartition!F31</f>
        <v>0.84375</v>
      </c>
      <c r="P17" s="7" t="s">
        <v>37</v>
      </c>
      <c r="Q17" s="69"/>
    </row>
    <row r="18" spans="1:20" x14ac:dyDescent="0.25">
      <c r="J18" s="35"/>
    </row>
    <row r="19" spans="1:20" ht="16.5" x14ac:dyDescent="0.3">
      <c r="A19" s="292" t="s">
        <v>41</v>
      </c>
      <c r="B19" s="292"/>
      <c r="C19" s="292"/>
      <c r="D19" s="292"/>
      <c r="F19" s="292" t="s">
        <v>41</v>
      </c>
      <c r="G19" s="292"/>
      <c r="H19" s="292"/>
      <c r="I19" s="292"/>
      <c r="J19" s="35"/>
      <c r="K19" s="292" t="s">
        <v>41</v>
      </c>
      <c r="L19" s="292"/>
      <c r="M19" s="292"/>
      <c r="N19" s="292"/>
      <c r="P19" s="292" t="s">
        <v>41</v>
      </c>
      <c r="Q19" s="292"/>
      <c r="R19" s="292"/>
      <c r="S19" s="292"/>
      <c r="T19" s="292"/>
    </row>
    <row r="20" spans="1:20" x14ac:dyDescent="0.25">
      <c r="J20" s="35"/>
    </row>
    <row r="21" spans="1:20" x14ac:dyDescent="0.25">
      <c r="A21" t="s">
        <v>40</v>
      </c>
      <c r="B21" t="s">
        <v>39</v>
      </c>
      <c r="C21" t="s">
        <v>38</v>
      </c>
      <c r="F21" t="s">
        <v>40</v>
      </c>
      <c r="G21" t="s">
        <v>39</v>
      </c>
      <c r="H21" t="s">
        <v>38</v>
      </c>
      <c r="J21" s="35"/>
      <c r="K21" t="s">
        <v>40</v>
      </c>
      <c r="L21" t="s">
        <v>39</v>
      </c>
      <c r="M21" t="s">
        <v>38</v>
      </c>
      <c r="P21" t="s">
        <v>40</v>
      </c>
      <c r="Q21" t="s">
        <v>39</v>
      </c>
      <c r="R21" t="s">
        <v>38</v>
      </c>
    </row>
    <row r="22" spans="1:20" x14ac:dyDescent="0.25">
      <c r="A22" t="s">
        <v>8</v>
      </c>
      <c r="B22" t="s">
        <v>172</v>
      </c>
      <c r="C22" s="9">
        <f>INDEX(Vt,MATCH(B16,ESS,0),MATCH(C16,CF,0))*C11</f>
        <v>121.41839852955252</v>
      </c>
      <c r="F22" t="s">
        <v>8</v>
      </c>
      <c r="G22" t="s">
        <v>34</v>
      </c>
      <c r="H22" s="9">
        <f>INDEX(Vt,MATCH(G16,ESS,0),MATCH(H16,CF,0))</f>
        <v>350.6411321147188</v>
      </c>
      <c r="J22" s="35"/>
      <c r="K22" t="s">
        <v>8</v>
      </c>
      <c r="L22" t="s">
        <v>34</v>
      </c>
      <c r="M22" s="9">
        <f>INDEX(Vt,MATCH(L16,ESS,0),MATCH(M16,CF,0))</f>
        <v>436</v>
      </c>
      <c r="P22" t="s">
        <v>8</v>
      </c>
      <c r="Q22" t="s">
        <v>34</v>
      </c>
      <c r="R22" s="9" t="e">
        <f>INDEX(Vt,MATCH(Q16,ESS,0),MATCH(#REF!,CF,0))</f>
        <v>#N/A</v>
      </c>
      <c r="S22" s="9"/>
    </row>
    <row r="23" spans="1:20" x14ac:dyDescent="0.25">
      <c r="A23" t="s">
        <v>171</v>
      </c>
      <c r="B23" t="s">
        <v>173</v>
      </c>
      <c r="C23" s="9">
        <f>INDEX(Vbi,MATCH(B16,ESS,0),MATCH(C16,CF,0))</f>
        <v>0</v>
      </c>
      <c r="F23" t="s">
        <v>171</v>
      </c>
      <c r="G23" t="s">
        <v>173</v>
      </c>
      <c r="H23" s="9">
        <f>INDEX(Vbi,MATCH(G16,ESS,0),MATCH(H16,CF,0))</f>
        <v>0</v>
      </c>
      <c r="J23" s="35"/>
      <c r="K23" t="s">
        <v>171</v>
      </c>
      <c r="L23" t="s">
        <v>173</v>
      </c>
      <c r="M23" s="9">
        <f>INDEX(Vbi,MATCH(L16,ESS,0),MATCH(M16,CF,0))</f>
        <v>69</v>
      </c>
      <c r="P23" t="s">
        <v>171</v>
      </c>
      <c r="Q23" t="s">
        <v>173</v>
      </c>
      <c r="R23" s="9" t="e">
        <f>INDEX(Vbi,MATCH(Q16,ESS,0),MATCH(#REF!,CF,0))</f>
        <v>#N/A</v>
      </c>
      <c r="S23" s="9"/>
    </row>
    <row r="24" spans="1:20" x14ac:dyDescent="0.25">
      <c r="A24" t="s">
        <v>23</v>
      </c>
      <c r="B24" t="s">
        <v>24</v>
      </c>
      <c r="C24" s="9">
        <f>C22*VLOOKUP(B16,FEB[],3,0)*C31</f>
        <v>70.422671147140463</v>
      </c>
      <c r="F24" t="s">
        <v>23</v>
      </c>
      <c r="G24" t="s">
        <v>24</v>
      </c>
      <c r="H24" s="9">
        <f>H22*VLOOKUP(G16,FEB[],3,0)*H31</f>
        <v>199.8654453053897</v>
      </c>
      <c r="J24" s="35"/>
      <c r="K24" t="s">
        <v>23</v>
      </c>
      <c r="L24" t="s">
        <v>24</v>
      </c>
      <c r="M24" s="9">
        <f>EXP(-1.0587+(0.8836*LN(M22))+0.284)</f>
        <v>99.03810610460495</v>
      </c>
      <c r="P24" t="s">
        <v>23</v>
      </c>
      <c r="Q24" t="s">
        <v>24</v>
      </c>
      <c r="R24" s="9" t="e">
        <f>EXP(-1.0587+(0.8836*LN(R22))+0.284)</f>
        <v>#N/A</v>
      </c>
      <c r="S24" s="9"/>
    </row>
    <row r="25" spans="1:20" x14ac:dyDescent="0.25">
      <c r="A25" t="s">
        <v>25</v>
      </c>
      <c r="B25" t="s">
        <v>27</v>
      </c>
      <c r="C25" s="9">
        <f>EXP(-1.0587+(0.8836*LN(C24))+0.284)</f>
        <v>19.778384910047734</v>
      </c>
      <c r="F25" t="s">
        <v>25</v>
      </c>
      <c r="G25" t="s">
        <v>27</v>
      </c>
      <c r="H25" s="9">
        <f>EXP(-1.0587+(0.8836*LN(H24))+0.284)</f>
        <v>49.714595517916585</v>
      </c>
      <c r="J25" s="35"/>
      <c r="K25" t="s">
        <v>25</v>
      </c>
      <c r="L25" t="s">
        <v>27</v>
      </c>
      <c r="M25" s="9">
        <f>EXP(-1.0587+(0.8836*LN(M24))+0.284)</f>
        <v>26.732710842682799</v>
      </c>
      <c r="P25" t="s">
        <v>25</v>
      </c>
      <c r="Q25" t="s">
        <v>27</v>
      </c>
      <c r="R25" s="9" t="e">
        <f>EXP(-1.0587+(0.8836*LN(R24))+0.284)</f>
        <v>#N/A</v>
      </c>
      <c r="S25" s="9"/>
    </row>
    <row r="26" spans="1:20" x14ac:dyDescent="0.25">
      <c r="A26" t="s">
        <v>26</v>
      </c>
      <c r="B26" t="s">
        <v>188</v>
      </c>
      <c r="C26" s="9">
        <f>VLOOKUP(TRUE,A62:D65,3,FALSE)+(70-VLOOKUP(TRUE,A62:D65,3,FALSE))*(1-EXP(-0.0175*30))</f>
        <v>70</v>
      </c>
      <c r="F26" t="s">
        <v>26</v>
      </c>
      <c r="G26" t="s">
        <v>188</v>
      </c>
      <c r="H26" s="9">
        <f>VLOOKUP(TRUE,$A$62:$D$65,3,FALSE)+(70-VLOOKUP(TRUE,$A$62:$D$65,3,FALSE))*(1-EXP(-0.0175*30))</f>
        <v>70</v>
      </c>
      <c r="J26" s="35"/>
      <c r="K26" t="s">
        <v>26</v>
      </c>
      <c r="L26" t="s">
        <v>188</v>
      </c>
      <c r="M26" s="9">
        <f>VLOOKUP(TRUE,$A$62:$D$65,3,FALSE)+(70-VLOOKUP(TRUE,$A$62:$D$65,3,FALSE))*(1-EXP(-0.0175*30))</f>
        <v>70</v>
      </c>
      <c r="P26" t="s">
        <v>26</v>
      </c>
      <c r="Q26" t="s">
        <v>188</v>
      </c>
      <c r="R26" s="9">
        <f>VLOOKUP(TRUE,$A$62:$D$65,3,FALSE)+(70-VLOOKUP(TRUE,$A$62:$D$65,3,FALSE))*(1-EXP(-0.0175*30))</f>
        <v>70</v>
      </c>
      <c r="S26" s="9"/>
    </row>
    <row r="27" spans="1:20" x14ac:dyDescent="0.25">
      <c r="A27" t="s">
        <v>28</v>
      </c>
      <c r="B27" t="s">
        <v>32</v>
      </c>
      <c r="C27" s="9">
        <v>10</v>
      </c>
      <c r="F27" t="s">
        <v>28</v>
      </c>
      <c r="G27" t="s">
        <v>32</v>
      </c>
      <c r="H27" s="9">
        <v>10</v>
      </c>
      <c r="J27" s="35"/>
      <c r="K27" t="s">
        <v>28</v>
      </c>
      <c r="L27" t="s">
        <v>32</v>
      </c>
      <c r="M27" s="9">
        <v>10</v>
      </c>
      <c r="P27" t="s">
        <v>28</v>
      </c>
      <c r="Q27" t="s">
        <v>32</v>
      </c>
      <c r="R27" s="9">
        <v>10</v>
      </c>
      <c r="S27" s="9"/>
    </row>
    <row r="28" spans="1:20" x14ac:dyDescent="0.25">
      <c r="A28" t="s">
        <v>29</v>
      </c>
      <c r="B28" t="s">
        <v>31</v>
      </c>
      <c r="C28" s="9">
        <v>0</v>
      </c>
      <c r="D28" s="9"/>
      <c r="F28" t="s">
        <v>29</v>
      </c>
      <c r="G28" t="s">
        <v>31</v>
      </c>
      <c r="H28" s="9">
        <v>0</v>
      </c>
      <c r="I28" s="9"/>
      <c r="J28" s="35"/>
      <c r="K28" t="s">
        <v>29</v>
      </c>
      <c r="L28" t="s">
        <v>31</v>
      </c>
      <c r="M28" s="9">
        <v>0</v>
      </c>
      <c r="N28" s="9"/>
      <c r="P28" t="s">
        <v>29</v>
      </c>
      <c r="Q28" t="s">
        <v>31</v>
      </c>
      <c r="R28" s="9">
        <v>0</v>
      </c>
      <c r="S28" s="9"/>
      <c r="T28" s="9"/>
    </row>
    <row r="29" spans="1:20" x14ac:dyDescent="0.25">
      <c r="C29" s="9"/>
      <c r="H29" s="9"/>
      <c r="J29" s="35"/>
      <c r="M29" s="9"/>
      <c r="R29" s="9"/>
      <c r="S29" s="9"/>
    </row>
    <row r="30" spans="1:20" x14ac:dyDescent="0.25">
      <c r="A30" s="4" t="s">
        <v>30</v>
      </c>
      <c r="B30" s="4" t="s">
        <v>33</v>
      </c>
      <c r="C30" s="42">
        <v>0.47499999999999998</v>
      </c>
      <c r="F30" s="4" t="s">
        <v>30</v>
      </c>
      <c r="G30" s="4" t="s">
        <v>33</v>
      </c>
      <c r="H30" s="42">
        <v>0.47499999999999998</v>
      </c>
      <c r="J30" s="35"/>
      <c r="K30" s="4" t="s">
        <v>30</v>
      </c>
      <c r="L30" s="4" t="s">
        <v>33</v>
      </c>
      <c r="M30" s="42">
        <v>0.47499999999999998</v>
      </c>
      <c r="P30" s="4" t="s">
        <v>30</v>
      </c>
      <c r="Q30" s="4" t="s">
        <v>33</v>
      </c>
      <c r="R30" s="42">
        <v>0.47499999999999998</v>
      </c>
      <c r="S30" s="95"/>
    </row>
    <row r="31" spans="1:20" x14ac:dyDescent="0.25">
      <c r="A31" s="5" t="s">
        <v>35</v>
      </c>
      <c r="B31" s="5" t="s">
        <v>76</v>
      </c>
      <c r="C31" s="13">
        <f>VLOOKUP(B16,infradensite[],2,FALSE)</f>
        <v>0.57999999999999996</v>
      </c>
      <c r="F31" s="5" t="s">
        <v>35</v>
      </c>
      <c r="G31" s="5" t="s">
        <v>76</v>
      </c>
      <c r="H31" s="13">
        <v>0.56999999999999995</v>
      </c>
      <c r="J31" s="35"/>
      <c r="K31" s="5" t="s">
        <v>35</v>
      </c>
      <c r="L31" s="5" t="s">
        <v>76</v>
      </c>
      <c r="M31" s="13">
        <v>0.42</v>
      </c>
      <c r="P31" s="5" t="s">
        <v>35</v>
      </c>
      <c r="Q31" s="5" t="s">
        <v>76</v>
      </c>
      <c r="R31" s="13" t="e">
        <f>VLOOKUP(Q15,infradensite[],2,FALSE)</f>
        <v>#N/A</v>
      </c>
      <c r="S31" s="47"/>
    </row>
    <row r="32" spans="1:20" x14ac:dyDescent="0.25">
      <c r="A32" s="46"/>
      <c r="B32" s="46"/>
      <c r="C32" s="47"/>
      <c r="F32" s="46"/>
      <c r="G32" s="46"/>
      <c r="H32" s="47"/>
      <c r="J32" s="35"/>
      <c r="K32" s="46"/>
      <c r="L32" s="46"/>
      <c r="M32" s="47"/>
      <c r="P32" s="46"/>
      <c r="Q32" s="46"/>
      <c r="R32" s="47"/>
      <c r="S32" s="47"/>
    </row>
    <row r="33" spans="1:20" x14ac:dyDescent="0.25">
      <c r="A33" s="46"/>
      <c r="B33" s="46"/>
      <c r="C33" s="47"/>
      <c r="F33" s="46"/>
      <c r="G33" s="46"/>
      <c r="H33" s="47"/>
      <c r="J33" s="35"/>
      <c r="K33" s="46"/>
      <c r="L33" s="46"/>
      <c r="M33" s="47"/>
      <c r="P33" s="46"/>
      <c r="Q33" s="46"/>
      <c r="R33" s="47"/>
      <c r="S33" s="47"/>
    </row>
    <row r="34" spans="1:20" x14ac:dyDescent="0.25">
      <c r="B34" s="14" t="s">
        <v>81</v>
      </c>
      <c r="C34" s="45">
        <f>((C24+C25)*Tc+C26+C27+C28)</f>
        <v>122.8455016271644</v>
      </c>
      <c r="D34" t="s">
        <v>84</v>
      </c>
      <c r="G34" s="14" t="s">
        <v>116</v>
      </c>
      <c r="H34" s="45">
        <f>((H24+H25)*Tc+H26+H27+H28)</f>
        <v>198.55051939107048</v>
      </c>
      <c r="I34" t="s">
        <v>84</v>
      </c>
      <c r="J34" s="35"/>
      <c r="L34" s="14" t="s">
        <v>119</v>
      </c>
      <c r="M34" s="45">
        <f>((M24+M25)*Tc+M26+M27+M28)</f>
        <v>139.74113804996168</v>
      </c>
      <c r="N34" t="s">
        <v>84</v>
      </c>
      <c r="Q34" s="14" t="s">
        <v>122</v>
      </c>
      <c r="R34" s="45" t="e">
        <f>((R24+R25)*Tc+R26+R27+R28)</f>
        <v>#N/A</v>
      </c>
      <c r="S34" t="s">
        <v>84</v>
      </c>
    </row>
    <row r="35" spans="1:20" x14ac:dyDescent="0.25">
      <c r="B35" s="43" t="s">
        <v>83</v>
      </c>
      <c r="C35" s="45">
        <f>((C24+C25)*Tc+C26+C27+C28)*(44/12)</f>
        <v>450.43350596626942</v>
      </c>
      <c r="D35" t="s">
        <v>85</v>
      </c>
      <c r="G35" s="43" t="s">
        <v>117</v>
      </c>
      <c r="H35" s="45">
        <f>((H24+H25)*Tc+H26+H27+H28)*(44/12)</f>
        <v>728.01857110059177</v>
      </c>
      <c r="I35" t="s">
        <v>85</v>
      </c>
      <c r="J35" s="35"/>
      <c r="L35" s="43" t="s">
        <v>120</v>
      </c>
      <c r="M35" s="45">
        <f>((M24+M25)*Tc+M26+M27+M28)*(44/12)</f>
        <v>512.38417284985951</v>
      </c>
      <c r="N35" t="s">
        <v>85</v>
      </c>
      <c r="Q35" s="43" t="s">
        <v>123</v>
      </c>
      <c r="R35" s="45" t="e">
        <f>((R24+R25)*Tc+R26+R27+R28)*(44/12)</f>
        <v>#N/A</v>
      </c>
      <c r="S35" t="s">
        <v>85</v>
      </c>
    </row>
    <row r="36" spans="1:20" x14ac:dyDescent="0.25">
      <c r="B36" s="90" t="s">
        <v>176</v>
      </c>
      <c r="C36" s="45">
        <f>C23*C31*Tc*(44/12)</f>
        <v>0</v>
      </c>
      <c r="D36" t="s">
        <v>85</v>
      </c>
      <c r="G36" s="90" t="s">
        <v>180</v>
      </c>
      <c r="H36" s="45">
        <f>H23*H31*Tc*(44/12)</f>
        <v>0</v>
      </c>
      <c r="I36" t="s">
        <v>85</v>
      </c>
      <c r="J36" s="35"/>
      <c r="L36" s="90" t="s">
        <v>182</v>
      </c>
      <c r="M36" s="45">
        <f>M23*M31*Tc*(44/12)</f>
        <v>50.473499999999994</v>
      </c>
      <c r="N36" t="s">
        <v>85</v>
      </c>
      <c r="Q36" s="90" t="s">
        <v>183</v>
      </c>
      <c r="R36" s="45" t="e">
        <f>R23*R31*Tc*(44/12)</f>
        <v>#N/A</v>
      </c>
      <c r="S36" t="s">
        <v>85</v>
      </c>
    </row>
    <row r="37" spans="1:20" ht="15.75" x14ac:dyDescent="0.25">
      <c r="B37" s="7" t="s">
        <v>82</v>
      </c>
      <c r="C37" s="44">
        <f>C35*B17</f>
        <v>2533.6884710602653</v>
      </c>
      <c r="D37" s="44" t="s">
        <v>86</v>
      </c>
      <c r="E37" s="96">
        <f>IF(ISNA(C37),"0",C37)</f>
        <v>2533.6884710602653</v>
      </c>
      <c r="G37" s="7" t="s">
        <v>118</v>
      </c>
      <c r="H37" s="44">
        <f>H35*G17</f>
        <v>1410.5359815073966</v>
      </c>
      <c r="I37" s="44" t="s">
        <v>86</v>
      </c>
      <c r="J37" s="96">
        <f>IF(ISNA(H37),"0",H37)</f>
        <v>1410.5359815073966</v>
      </c>
      <c r="L37" s="7" t="s">
        <v>121</v>
      </c>
      <c r="M37" s="44">
        <f>M35*L17</f>
        <v>432.32414584206896</v>
      </c>
      <c r="N37" s="44" t="s">
        <v>86</v>
      </c>
      <c r="O37" s="96">
        <f>IF(ISNA(M37),"0",M37)</f>
        <v>432.32414584206896</v>
      </c>
      <c r="Q37" s="7" t="s">
        <v>124</v>
      </c>
      <c r="R37" s="44" t="e">
        <f>R35*Q17</f>
        <v>#N/A</v>
      </c>
      <c r="S37" s="44" t="s">
        <v>86</v>
      </c>
      <c r="T37" s="96" t="str">
        <f>IF(ISNA(R37),"0",R37)</f>
        <v>0</v>
      </c>
    </row>
    <row r="38" spans="1:20" ht="15.75" x14ac:dyDescent="0.25">
      <c r="B38" s="7" t="s">
        <v>174</v>
      </c>
      <c r="C38" s="44">
        <f>C36*B17</f>
        <v>0</v>
      </c>
      <c r="D38" s="44" t="s">
        <v>175</v>
      </c>
      <c r="E38" s="96">
        <f>IF(ISNA(C38),"0",C38)</f>
        <v>0</v>
      </c>
      <c r="F38" s="28"/>
      <c r="G38" s="7" t="s">
        <v>179</v>
      </c>
      <c r="H38" s="44">
        <f>H36*G17</f>
        <v>0</v>
      </c>
      <c r="I38" s="44" t="s">
        <v>175</v>
      </c>
      <c r="J38" s="96">
        <f>IF(ISNA(H38),"0",H38)</f>
        <v>0</v>
      </c>
      <c r="K38" s="19"/>
      <c r="L38" s="7" t="s">
        <v>181</v>
      </c>
      <c r="M38" s="44">
        <f>M36*L17</f>
        <v>42.587015624999992</v>
      </c>
      <c r="N38" s="44" t="s">
        <v>175</v>
      </c>
      <c r="O38" s="96">
        <f>IF(ISNA(M38),"0",M38)</f>
        <v>42.587015624999992</v>
      </c>
      <c r="Q38" s="7" t="s">
        <v>184</v>
      </c>
      <c r="R38" s="44" t="e">
        <f>R36*Q17</f>
        <v>#N/A</v>
      </c>
      <c r="S38" s="44" t="s">
        <v>175</v>
      </c>
      <c r="T38" s="96" t="str">
        <f>IF(ISNA(R38),"0",R38)</f>
        <v>0</v>
      </c>
    </row>
    <row r="39" spans="1:20" ht="16.5" thickBot="1" x14ac:dyDescent="0.3">
      <c r="B39" s="7"/>
      <c r="C39" s="44"/>
      <c r="D39" s="44"/>
      <c r="E39" s="96"/>
      <c r="F39" s="28"/>
      <c r="G39" s="7"/>
      <c r="H39" s="44"/>
      <c r="I39" s="44"/>
      <c r="J39" s="96"/>
      <c r="K39" s="19"/>
      <c r="L39" s="7"/>
      <c r="M39" s="44"/>
      <c r="N39" s="44"/>
      <c r="O39" s="96"/>
      <c r="Q39" s="7"/>
      <c r="R39" s="44"/>
      <c r="S39" s="44"/>
      <c r="T39" s="96"/>
    </row>
    <row r="40" spans="1:20" ht="15.75" thickBot="1" x14ac:dyDescent="0.3">
      <c r="B40" s="143" t="s">
        <v>245</v>
      </c>
      <c r="C40" s="144">
        <f>INDEX(SMLT,MATCH(B16,ESS,0),MATCH(C16,CF,0))*B17</f>
        <v>2961.932170559367</v>
      </c>
      <c r="D40" s="145" t="s">
        <v>246</v>
      </c>
      <c r="E40" s="142">
        <f>IF(ISNA(C40),"0",C40)</f>
        <v>2961.932170559367</v>
      </c>
      <c r="F40" s="28"/>
      <c r="G40" s="143" t="s">
        <v>245</v>
      </c>
      <c r="H40" s="144">
        <f>INDEX(SMLT,MATCH(G16,ESS,0),MATCH(H16,CF,0))*G17</f>
        <v>1069.5359101117522</v>
      </c>
      <c r="I40" s="145" t="s">
        <v>246</v>
      </c>
      <c r="J40" s="142">
        <f>IF(ISNA(H40),"0",H40)</f>
        <v>1069.5359101117522</v>
      </c>
      <c r="K40" s="19"/>
      <c r="L40" s="143" t="s">
        <v>245</v>
      </c>
      <c r="M40" s="144">
        <f>INDEX(SMLT,MATCH(L16,ESS,0),MATCH(M16,CF,0))*L17</f>
        <v>688.70056451683308</v>
      </c>
      <c r="N40" s="145" t="s">
        <v>246</v>
      </c>
      <c r="O40" s="142">
        <f>IF(ISNA(M40),"0",M40)</f>
        <v>688.70056451683308</v>
      </c>
      <c r="Q40" s="143" t="s">
        <v>245</v>
      </c>
      <c r="R40" s="144" t="e">
        <f>INDEX(SMLT,MATCH(Q16,ESS,0),MATCH(R16,CF,0))*Q17</f>
        <v>#N/A</v>
      </c>
      <c r="S40" s="145" t="s">
        <v>246</v>
      </c>
      <c r="T40" s="142" t="str">
        <f>IF(ISNA(R40),"0",R40)</f>
        <v>0</v>
      </c>
    </row>
    <row r="41" spans="1:20" ht="15.75" x14ac:dyDescent="0.25">
      <c r="B41" s="7"/>
      <c r="C41" s="44"/>
      <c r="D41" s="44"/>
      <c r="E41" s="96"/>
      <c r="F41" s="28"/>
      <c r="G41" s="7"/>
      <c r="H41" s="44"/>
      <c r="I41" s="44"/>
      <c r="J41" s="96"/>
      <c r="K41" s="19"/>
      <c r="L41" s="7"/>
      <c r="M41" s="44"/>
      <c r="N41" s="44"/>
      <c r="O41" s="96"/>
      <c r="Q41" s="7"/>
      <c r="R41" s="44"/>
      <c r="S41" s="44"/>
      <c r="T41" s="96"/>
    </row>
    <row r="42" spans="1:20" ht="16.5" x14ac:dyDescent="0.3">
      <c r="A42" s="198" t="s">
        <v>153</v>
      </c>
      <c r="B42" s="198"/>
      <c r="C42" s="198"/>
      <c r="D42" s="198"/>
      <c r="E42" s="19"/>
      <c r="F42" s="26"/>
      <c r="G42" s="26"/>
      <c r="H42" s="26"/>
      <c r="I42" s="19"/>
      <c r="J42" s="19"/>
      <c r="K42" s="19"/>
    </row>
    <row r="43" spans="1:20" x14ac:dyDescent="0.25">
      <c r="E43" s="19"/>
      <c r="F43" s="19"/>
      <c r="G43" s="19"/>
      <c r="H43" s="19"/>
      <c r="I43" s="19"/>
      <c r="J43" s="19"/>
      <c r="K43" s="19"/>
      <c r="L43" s="19"/>
    </row>
    <row r="44" spans="1:20" x14ac:dyDescent="0.25">
      <c r="A44" t="s">
        <v>40</v>
      </c>
      <c r="B44" t="s">
        <v>39</v>
      </c>
      <c r="C44" t="s">
        <v>38</v>
      </c>
      <c r="D44" s="19"/>
      <c r="E44" s="19"/>
      <c r="F44" s="29"/>
      <c r="G44" s="19"/>
      <c r="H44" s="19"/>
      <c r="I44" s="19"/>
      <c r="J44" s="19"/>
      <c r="K44" s="19"/>
    </row>
    <row r="45" spans="1:20" x14ac:dyDescent="0.25">
      <c r="A45" t="s">
        <v>8</v>
      </c>
      <c r="B45" t="s">
        <v>34</v>
      </c>
      <c r="C45" s="9">
        <v>30</v>
      </c>
      <c r="D45" s="19"/>
      <c r="E45" s="19"/>
      <c r="F45" s="30"/>
      <c r="G45" s="19"/>
      <c r="H45" s="19"/>
      <c r="I45" s="19"/>
      <c r="J45" s="19"/>
      <c r="K45" s="19"/>
    </row>
    <row r="46" spans="1:20" x14ac:dyDescent="0.25">
      <c r="A46" t="s">
        <v>23</v>
      </c>
      <c r="B46" t="s">
        <v>24</v>
      </c>
      <c r="C46" s="9">
        <f>C45*C53</f>
        <v>15</v>
      </c>
      <c r="D46" s="19"/>
      <c r="E46" s="83"/>
      <c r="F46" s="30"/>
      <c r="G46" s="19"/>
      <c r="H46" s="19"/>
      <c r="I46" s="19"/>
      <c r="J46" s="19"/>
      <c r="K46" s="19"/>
    </row>
    <row r="47" spans="1:20" x14ac:dyDescent="0.25">
      <c r="A47" t="s">
        <v>25</v>
      </c>
      <c r="B47" t="s">
        <v>27</v>
      </c>
      <c r="C47" s="9">
        <f>EXP(-1.0587+0.8836*LN(C46)+0.284)</f>
        <v>5.0436657935706641</v>
      </c>
      <c r="D47" s="19"/>
      <c r="E47" s="19"/>
      <c r="F47" s="83"/>
      <c r="G47" s="83"/>
      <c r="H47" s="31"/>
      <c r="I47" s="19"/>
      <c r="J47" s="19"/>
      <c r="K47" s="19"/>
    </row>
    <row r="48" spans="1:20" x14ac:dyDescent="0.25">
      <c r="A48" t="s">
        <v>26</v>
      </c>
      <c r="B48" t="s">
        <v>188</v>
      </c>
      <c r="C48" s="9">
        <v>70</v>
      </c>
      <c r="D48" s="19"/>
      <c r="E48" s="19"/>
      <c r="F48" s="19"/>
      <c r="G48" s="19"/>
      <c r="H48" s="19"/>
      <c r="I48" s="19"/>
      <c r="J48" s="19"/>
      <c r="K48" s="19"/>
    </row>
    <row r="49" spans="1:19" x14ac:dyDescent="0.25">
      <c r="A49" t="s">
        <v>28</v>
      </c>
      <c r="B49" t="s">
        <v>32</v>
      </c>
      <c r="C49" s="9">
        <v>10</v>
      </c>
      <c r="D49" s="19"/>
      <c r="E49" s="19"/>
      <c r="F49" s="19"/>
      <c r="G49" s="19"/>
      <c r="H49" s="19"/>
      <c r="I49" s="19"/>
      <c r="J49" s="19"/>
      <c r="K49" s="19"/>
    </row>
    <row r="50" spans="1:19" x14ac:dyDescent="0.25">
      <c r="A50" t="s">
        <v>29</v>
      </c>
      <c r="B50" t="s">
        <v>31</v>
      </c>
      <c r="C50" s="9">
        <v>0</v>
      </c>
      <c r="D50" s="19"/>
      <c r="E50" s="19"/>
      <c r="F50" s="19"/>
      <c r="G50" s="19"/>
      <c r="H50" s="19"/>
      <c r="I50" s="19"/>
      <c r="J50" s="19"/>
      <c r="K50" s="19"/>
    </row>
    <row r="51" spans="1:19" x14ac:dyDescent="0.25">
      <c r="C51" s="9"/>
      <c r="D51" s="9"/>
      <c r="E51" s="19"/>
      <c r="F51" s="19"/>
      <c r="G51" s="19"/>
      <c r="H51" s="19"/>
      <c r="I51" s="19"/>
      <c r="J51" s="19"/>
      <c r="K51" s="19"/>
      <c r="L51" s="19"/>
    </row>
    <row r="52" spans="1:19" x14ac:dyDescent="0.25">
      <c r="A52" s="4" t="s">
        <v>30</v>
      </c>
      <c r="B52" s="4" t="s">
        <v>33</v>
      </c>
      <c r="C52" s="42">
        <v>0.47499999999999998</v>
      </c>
      <c r="D52" s="19"/>
      <c r="E52" s="19"/>
      <c r="F52" s="19"/>
      <c r="G52" s="19"/>
      <c r="H52" s="19"/>
      <c r="I52" s="19"/>
      <c r="J52" s="19"/>
      <c r="K52" s="19"/>
    </row>
    <row r="53" spans="1:19" x14ac:dyDescent="0.25">
      <c r="A53" s="5" t="s">
        <v>35</v>
      </c>
      <c r="B53" s="5" t="s">
        <v>36</v>
      </c>
      <c r="C53" s="13">
        <f>0.5</f>
        <v>0.5</v>
      </c>
      <c r="D53" s="19"/>
      <c r="E53" s="19"/>
      <c r="F53" s="19"/>
      <c r="G53" s="19"/>
      <c r="H53" s="19"/>
      <c r="K53" s="19"/>
    </row>
    <row r="54" spans="1:19" x14ac:dyDescent="0.25">
      <c r="E54" s="19"/>
      <c r="F54" s="55"/>
      <c r="G54" s="31"/>
      <c r="L54" s="19"/>
    </row>
    <row r="55" spans="1:19" x14ac:dyDescent="0.25">
      <c r="B55" s="14" t="s">
        <v>201</v>
      </c>
      <c r="C55" s="45">
        <f>(C46+C47)*Tc+C48+C49+C50</f>
        <v>89.520741251946063</v>
      </c>
      <c r="E55" s="19"/>
      <c r="F55" s="55"/>
      <c r="G55" s="31"/>
      <c r="L55" s="19"/>
    </row>
    <row r="56" spans="1:19" x14ac:dyDescent="0.25">
      <c r="B56" s="14" t="s">
        <v>88</v>
      </c>
      <c r="C56" s="100">
        <f>C55*44/12</f>
        <v>328.24271792380222</v>
      </c>
      <c r="D56" s="12"/>
      <c r="E56" s="19"/>
      <c r="F56" s="32"/>
      <c r="G56" s="33"/>
      <c r="L56" s="19"/>
    </row>
    <row r="57" spans="1:19" x14ac:dyDescent="0.25">
      <c r="B57" s="23" t="s">
        <v>89</v>
      </c>
      <c r="C57" s="12">
        <f>C56*C10</f>
        <v>2759.2903475469625</v>
      </c>
      <c r="E57" s="19"/>
      <c r="F57" s="19"/>
      <c r="G57" s="19"/>
      <c r="I57" s="19"/>
      <c r="J57" s="19"/>
      <c r="L57" s="19"/>
    </row>
    <row r="58" spans="1:19" x14ac:dyDescent="0.25">
      <c r="E58" s="19"/>
      <c r="F58" s="19"/>
      <c r="G58" s="19"/>
      <c r="H58" s="19"/>
      <c r="I58" s="19"/>
      <c r="J58" s="19"/>
      <c r="K58" s="19"/>
      <c r="L58" s="19"/>
    </row>
    <row r="59" spans="1:19" s="19" customFormat="1" ht="16.5" x14ac:dyDescent="0.3">
      <c r="A59" s="198" t="s">
        <v>90</v>
      </c>
      <c r="B59" s="198"/>
      <c r="C59" s="198"/>
      <c r="D59" s="198"/>
      <c r="M59"/>
      <c r="R59"/>
      <c r="S59"/>
    </row>
    <row r="60" spans="1:19" ht="16.5" x14ac:dyDescent="0.3">
      <c r="A60" s="26"/>
      <c r="B60" s="26"/>
      <c r="C60" s="26"/>
      <c r="D60" s="26"/>
      <c r="F60" s="19"/>
      <c r="G60" s="19"/>
      <c r="H60" s="19"/>
      <c r="I60" s="19"/>
      <c r="J60" s="19"/>
      <c r="K60" s="19"/>
      <c r="L60" s="19"/>
      <c r="M60" s="19"/>
      <c r="R60" s="19"/>
      <c r="S60" s="19"/>
    </row>
    <row r="61" spans="1:19" x14ac:dyDescent="0.25">
      <c r="C61" s="7" t="s">
        <v>78</v>
      </c>
      <c r="D61" s="7" t="s">
        <v>199</v>
      </c>
      <c r="E61" s="7" t="s">
        <v>48</v>
      </c>
      <c r="F61" s="8" t="s">
        <v>200</v>
      </c>
      <c r="G61" s="8" t="s">
        <v>244</v>
      </c>
      <c r="H61" s="19"/>
      <c r="K61" s="19"/>
      <c r="L61" s="19"/>
    </row>
    <row r="62" spans="1:19" x14ac:dyDescent="0.25">
      <c r="A62" s="4" t="b">
        <v>0</v>
      </c>
      <c r="B62" s="4" t="s">
        <v>42</v>
      </c>
      <c r="C62" s="10">
        <v>45</v>
      </c>
      <c r="D62" s="10">
        <f>5</f>
        <v>5</v>
      </c>
      <c r="E62" s="10">
        <f>D62*44/12</f>
        <v>18.333333333333332</v>
      </c>
      <c r="F62" s="10">
        <f>E62*$C$10</f>
        <v>154.11458333333331</v>
      </c>
      <c r="G62" s="10">
        <f>F62</f>
        <v>154.11458333333331</v>
      </c>
    </row>
    <row r="63" spans="1:19" x14ac:dyDescent="0.25">
      <c r="A63" s="5" t="b">
        <v>1</v>
      </c>
      <c r="B63" s="5" t="s">
        <v>43</v>
      </c>
      <c r="C63" s="11">
        <v>70</v>
      </c>
      <c r="D63" s="11">
        <v>0</v>
      </c>
      <c r="E63" s="11">
        <f>(D63+C63)*44/12</f>
        <v>256.66666666666669</v>
      </c>
      <c r="F63" s="11">
        <f>E63*$C$10</f>
        <v>2157.604166666667</v>
      </c>
      <c r="G63" s="11">
        <f>F63</f>
        <v>2157.604166666667</v>
      </c>
    </row>
    <row r="64" spans="1:19" x14ac:dyDescent="0.25">
      <c r="A64" s="4" t="b">
        <v>0</v>
      </c>
      <c r="B64" s="4" t="s">
        <v>77</v>
      </c>
      <c r="C64" s="10">
        <v>32</v>
      </c>
      <c r="D64" s="10">
        <f>5</f>
        <v>5</v>
      </c>
      <c r="E64" s="10">
        <f>D64*44/12</f>
        <v>18.333333333333332</v>
      </c>
      <c r="F64" s="10">
        <f>E64*$C$10</f>
        <v>154.11458333333331</v>
      </c>
      <c r="G64" s="10">
        <f>F64</f>
        <v>154.11458333333331</v>
      </c>
    </row>
    <row r="65" spans="1:12" x14ac:dyDescent="0.25">
      <c r="A65" s="5" t="b">
        <v>0</v>
      </c>
      <c r="B65" s="5" t="s">
        <v>80</v>
      </c>
      <c r="C65" s="11">
        <v>70</v>
      </c>
      <c r="D65" s="11">
        <f>C55</f>
        <v>89.520741251946063</v>
      </c>
      <c r="E65" s="11">
        <f>D65*44/12</f>
        <v>328.24271792380222</v>
      </c>
      <c r="F65" s="11">
        <f>E65*$C$10</f>
        <v>2759.2903475469625</v>
      </c>
      <c r="G65" s="11">
        <f>VERRA!F7*'2. DE LANGLE'!C10</f>
        <v>2679.7029057682262</v>
      </c>
      <c r="H65" s="19"/>
      <c r="I65" s="19"/>
      <c r="J65" s="19"/>
    </row>
    <row r="66" spans="1:12" x14ac:dyDescent="0.25">
      <c r="G66" s="19"/>
      <c r="H66" s="19"/>
      <c r="I66" s="19"/>
      <c r="J66" s="19"/>
    </row>
    <row r="68" spans="1:12" ht="16.5" x14ac:dyDescent="0.3">
      <c r="A68" s="198" t="s">
        <v>59</v>
      </c>
      <c r="B68" s="198"/>
      <c r="C68" s="198"/>
      <c r="D68" s="198"/>
    </row>
    <row r="70" spans="1:12" x14ac:dyDescent="0.25">
      <c r="A70" s="293" t="s">
        <v>137</v>
      </c>
      <c r="B70" s="294"/>
      <c r="C70" s="295"/>
      <c r="D70" s="104">
        <v>0</v>
      </c>
    </row>
    <row r="71" spans="1:12" x14ac:dyDescent="0.25">
      <c r="A71" s="296" t="s">
        <v>60</v>
      </c>
      <c r="B71" s="297"/>
      <c r="C71" s="298"/>
      <c r="D71" s="105">
        <v>0.1</v>
      </c>
    </row>
    <row r="72" spans="1:12" x14ac:dyDescent="0.25">
      <c r="A72" s="293" t="s">
        <v>61</v>
      </c>
      <c r="B72" s="294"/>
      <c r="C72" s="295"/>
      <c r="D72" s="104">
        <v>0</v>
      </c>
    </row>
    <row r="73" spans="1:12" x14ac:dyDescent="0.25">
      <c r="A73" s="296" t="s">
        <v>62</v>
      </c>
      <c r="B73" s="297"/>
      <c r="C73" s="298"/>
      <c r="D73" s="105">
        <v>0</v>
      </c>
    </row>
    <row r="76" spans="1:12" ht="16.5" x14ac:dyDescent="0.3">
      <c r="E76" s="19"/>
      <c r="G76" s="19"/>
      <c r="H76" s="19"/>
      <c r="I76" s="84"/>
      <c r="J76" s="84"/>
    </row>
    <row r="77" spans="1:12" ht="16.5" x14ac:dyDescent="0.3">
      <c r="A77" s="291" t="s">
        <v>109</v>
      </c>
      <c r="B77" s="291"/>
      <c r="C77" s="291"/>
      <c r="D77" s="291"/>
      <c r="F77" s="197" t="s">
        <v>186</v>
      </c>
      <c r="G77" s="197"/>
      <c r="H77" s="197"/>
      <c r="I77" s="197"/>
      <c r="J77" s="19"/>
      <c r="K77" s="19"/>
      <c r="L77" s="19"/>
    </row>
    <row r="78" spans="1:12" ht="15.75" thickBot="1" x14ac:dyDescent="0.3">
      <c r="J78" s="19"/>
    </row>
    <row r="79" spans="1:12" x14ac:dyDescent="0.25">
      <c r="A79" s="134" t="s">
        <v>108</v>
      </c>
      <c r="B79" s="135">
        <f>E37+J37+O37+T37</f>
        <v>4376.5485984097313</v>
      </c>
      <c r="C79" s="136" t="s">
        <v>48</v>
      </c>
      <c r="J79" s="19"/>
    </row>
    <row r="80" spans="1:12" x14ac:dyDescent="0.25">
      <c r="A80" s="137" t="s">
        <v>110</v>
      </c>
      <c r="B80" s="11">
        <f>VLOOKUP(TRUE,A62:F65,6,FALSE)</f>
        <v>2157.604166666667</v>
      </c>
      <c r="C80" s="138" t="s">
        <v>48</v>
      </c>
      <c r="J80" s="19"/>
    </row>
    <row r="81" spans="1:10" ht="15.75" thickBot="1" x14ac:dyDescent="0.3">
      <c r="A81" s="139" t="s">
        <v>243</v>
      </c>
      <c r="B81" s="140">
        <f>B79-B80</f>
        <v>2218.9444317430643</v>
      </c>
      <c r="C81" s="141" t="s">
        <v>48</v>
      </c>
      <c r="D81" s="9"/>
      <c r="J81" s="19"/>
    </row>
    <row r="82" spans="1:10" x14ac:dyDescent="0.25">
      <c r="A82" s="134" t="s">
        <v>240</v>
      </c>
      <c r="B82" s="135">
        <f>E40+J40+O40+T40</f>
        <v>4720.1686451879523</v>
      </c>
      <c r="C82" s="136" t="s">
        <v>48</v>
      </c>
      <c r="F82" s="4" t="s">
        <v>108</v>
      </c>
      <c r="G82" s="10">
        <f>E38+J38+O38+T38</f>
        <v>42.587015624999992</v>
      </c>
      <c r="H82" s="10" t="s">
        <v>48</v>
      </c>
      <c r="J82" s="19"/>
    </row>
    <row r="83" spans="1:10" ht="16.5" x14ac:dyDescent="0.3">
      <c r="A83" s="137" t="s">
        <v>241</v>
      </c>
      <c r="B83" s="11">
        <f>VLOOKUP(TRUE,A62:G65,7,FALSE)</f>
        <v>2157.604166666667</v>
      </c>
      <c r="C83" s="138" t="s">
        <v>48</v>
      </c>
      <c r="D83" s="26"/>
      <c r="F83" s="5" t="s">
        <v>110</v>
      </c>
      <c r="G83" s="11">
        <v>0</v>
      </c>
      <c r="H83" s="11" t="s">
        <v>48</v>
      </c>
      <c r="I83" s="14" t="s">
        <v>178</v>
      </c>
    </row>
    <row r="84" spans="1:10" ht="15.75" thickBot="1" x14ac:dyDescent="0.3">
      <c r="A84" s="139" t="s">
        <v>242</v>
      </c>
      <c r="B84" s="140">
        <f>B82-B83</f>
        <v>2562.5644785212853</v>
      </c>
      <c r="C84" s="141" t="s">
        <v>48</v>
      </c>
      <c r="F84" s="53" t="s">
        <v>185</v>
      </c>
      <c r="G84" s="241">
        <f>(G82-G83)/30</f>
        <v>1.4195671874999998</v>
      </c>
      <c r="H84" s="54" t="s">
        <v>48</v>
      </c>
    </row>
    <row r="86" spans="1:10" x14ac:dyDescent="0.25">
      <c r="G86" s="66" t="s">
        <v>197</v>
      </c>
      <c r="H86" s="67">
        <f>G84*(1-D70)*(1-D71)*(1-D72)*(1-D73)</f>
        <v>1.2776104687499998</v>
      </c>
      <c r="I86" s="7" t="s">
        <v>147</v>
      </c>
    </row>
    <row r="88" spans="1:10" x14ac:dyDescent="0.25">
      <c r="B88" s="215" t="s">
        <v>109</v>
      </c>
      <c r="C88" s="146">
        <f>MIN(B81,B84)</f>
        <v>2218.9444317430643</v>
      </c>
      <c r="D88" s="7" t="s">
        <v>147</v>
      </c>
      <c r="G88" s="27" t="s">
        <v>111</v>
      </c>
      <c r="H88" s="27">
        <f>40*H86</f>
        <v>51.104418749999994</v>
      </c>
    </row>
    <row r="90" spans="1:10" x14ac:dyDescent="0.25">
      <c r="B90" s="215" t="s">
        <v>146</v>
      </c>
      <c r="C90" s="216">
        <f>C88*(1-D70)*(1-D71)*(1-D72)*(1-D73)</f>
        <v>1997.049988568758</v>
      </c>
      <c r="D90" s="7" t="s">
        <v>147</v>
      </c>
    </row>
    <row r="92" spans="1:10" x14ac:dyDescent="0.25">
      <c r="C92">
        <f>C90/C10</f>
        <v>237.5672848855028</v>
      </c>
      <c r="D92" t="s">
        <v>519</v>
      </c>
      <c r="F92" s="364">
        <f>C90+H86</f>
        <v>1998.327599037508</v>
      </c>
    </row>
    <row r="94" spans="1:10" x14ac:dyDescent="0.25">
      <c r="B94" s="27" t="s">
        <v>111</v>
      </c>
      <c r="C94" s="27">
        <f>40*C90</f>
        <v>79881.999542750316</v>
      </c>
    </row>
    <row r="97" spans="1:20" x14ac:dyDescent="0.25">
      <c r="D97" s="19"/>
      <c r="E97" s="19"/>
      <c r="I97" s="19"/>
      <c r="J97" s="19"/>
      <c r="N97" s="19"/>
      <c r="O97" s="19"/>
      <c r="T97" s="19"/>
    </row>
    <row r="98" spans="1:2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19"/>
      <c r="B103" s="19"/>
      <c r="C103" s="19"/>
      <c r="F103" s="19"/>
      <c r="G103" s="19"/>
      <c r="H103" s="19"/>
      <c r="K103" s="19"/>
      <c r="L103" s="19"/>
      <c r="M103" s="19"/>
      <c r="P103" s="19"/>
      <c r="Q103" s="19"/>
      <c r="R103" s="19"/>
      <c r="S103" s="19"/>
    </row>
    <row r="120" spans="3:3" x14ac:dyDescent="0.25">
      <c r="C120" t="s">
        <v>155</v>
      </c>
    </row>
  </sheetData>
  <mergeCells count="11">
    <mergeCell ref="A70:C70"/>
    <mergeCell ref="A71:C71"/>
    <mergeCell ref="A72:C72"/>
    <mergeCell ref="A73:C73"/>
    <mergeCell ref="A77:D77"/>
    <mergeCell ref="P19:T19"/>
    <mergeCell ref="A1:D1"/>
    <mergeCell ref="A13:D13"/>
    <mergeCell ref="A19:D19"/>
    <mergeCell ref="F19:I19"/>
    <mergeCell ref="K19:N19"/>
  </mergeCells>
  <dataValidations count="5">
    <dataValidation type="list" allowBlank="1" showInputMessage="1" showErrorMessage="1" sqref="D70 D72:D73">
      <formula1>Rab</formula1>
    </dataValidation>
    <dataValidation type="list" allowBlank="1" showInputMessage="1" showErrorMessage="1" sqref="B16 G16 L16 Q16">
      <formula1>ESS</formula1>
    </dataValidation>
    <dataValidation type="list" allowBlank="1" showInputMessage="1" showErrorMessage="1" sqref="R16">
      <formula1>$A$105:$A$110</formula1>
    </dataValidation>
    <dataValidation type="list" allowBlank="1" showInputMessage="1" showErrorMessage="1" sqref="H16">
      <formula1>$A$106:$A$111</formula1>
    </dataValidation>
    <dataValidation type="list" allowBlank="1" showInputMessage="1" showErrorMessage="1" sqref="M16">
      <formula1>$A$106:$A$111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Check Box 1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19050</xdr:rowOff>
                  </from>
                  <to>
                    <xdr:col>0</xdr:col>
                    <xdr:colOff>962025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Check Box 2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6" name="Check Box 3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7" name="Check Box 4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5">
    <tablePart r:id="rId8"/>
    <tablePart r:id="rId9"/>
    <tablePart r:id="rId10"/>
    <tablePart r:id="rId11"/>
    <tablePart r:id="rId1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Inputs!$A$90:$A$95</xm:f>
          </x14:formula1>
          <xm:sqref>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A1:T120"/>
  <sheetViews>
    <sheetView showGridLines="0" view="pageBreakPreview" topLeftCell="A61" zoomScale="90" zoomScaleNormal="55" zoomScaleSheetLayoutView="90" workbookViewId="0">
      <selection activeCell="F92" sqref="F92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8.85546875" customWidth="1"/>
    <col min="4" max="4" width="16.5703125" customWidth="1"/>
    <col min="5" max="5" width="21" bestFit="1" customWidth="1"/>
    <col min="6" max="6" width="19.85546875" customWidth="1"/>
    <col min="7" max="7" width="43.85546875" bestFit="1" customWidth="1"/>
    <col min="9" max="9" width="11.5703125" bestFit="1" customWidth="1"/>
    <col min="11" max="11" width="20.5703125" customWidth="1"/>
    <col min="12" max="12" width="43.85546875" bestFit="1" customWidth="1"/>
    <col min="13" max="13" width="9.42578125" bestFit="1" customWidth="1"/>
    <col min="16" max="16" width="15.5703125" customWidth="1"/>
    <col min="17" max="17" width="43.85546875" bestFit="1" customWidth="1"/>
  </cols>
  <sheetData>
    <row r="1" spans="1:19" s="60" customFormat="1" ht="16.5" x14ac:dyDescent="0.3">
      <c r="A1" s="291" t="s">
        <v>112</v>
      </c>
      <c r="B1" s="291"/>
      <c r="C1" s="291"/>
      <c r="D1" s="291"/>
      <c r="E1" s="24"/>
      <c r="F1" s="24"/>
      <c r="G1" s="24"/>
      <c r="H1" s="24"/>
      <c r="I1" s="24"/>
      <c r="J1" s="24"/>
    </row>
    <row r="2" spans="1:19" ht="16.5" x14ac:dyDescent="0.3">
      <c r="D2" s="84"/>
      <c r="F2" s="57"/>
      <c r="G2" s="56"/>
      <c r="H2" s="25"/>
      <c r="I2" s="25"/>
      <c r="J2" s="25"/>
    </row>
    <row r="3" spans="1:19" ht="18" x14ac:dyDescent="0.25">
      <c r="A3" s="102" t="s">
        <v>79</v>
      </c>
      <c r="B3" s="103"/>
      <c r="G3" s="59" t="s">
        <v>145</v>
      </c>
      <c r="H3" s="65"/>
    </row>
    <row r="4" spans="1:19" ht="18" x14ac:dyDescent="0.25">
      <c r="A4" s="103"/>
      <c r="B4" s="102" t="s">
        <v>42</v>
      </c>
      <c r="G4" s="58" t="s">
        <v>19</v>
      </c>
      <c r="H4" s="58">
        <v>1</v>
      </c>
    </row>
    <row r="5" spans="1:19" ht="18" x14ac:dyDescent="0.25">
      <c r="A5" s="103"/>
      <c r="B5" s="102" t="s">
        <v>43</v>
      </c>
      <c r="G5" s="58" t="s">
        <v>144</v>
      </c>
      <c r="H5" s="58">
        <v>3</v>
      </c>
    </row>
    <row r="6" spans="1:19" ht="18" x14ac:dyDescent="0.25">
      <c r="A6" s="103"/>
      <c r="B6" s="102" t="s">
        <v>77</v>
      </c>
      <c r="G6" s="58" t="s">
        <v>22</v>
      </c>
      <c r="H6" s="58">
        <v>3</v>
      </c>
    </row>
    <row r="7" spans="1:19" ht="18" x14ac:dyDescent="0.25">
      <c r="A7" s="103"/>
      <c r="B7" s="102" t="s">
        <v>80</v>
      </c>
      <c r="G7" s="58" t="s">
        <v>21</v>
      </c>
      <c r="H7" s="58">
        <v>3</v>
      </c>
    </row>
    <row r="8" spans="1:19" ht="16.5" x14ac:dyDescent="0.3">
      <c r="B8" s="48"/>
      <c r="C8" s="84"/>
      <c r="D8" s="84"/>
      <c r="G8" s="58" t="s">
        <v>5</v>
      </c>
      <c r="H8" s="58">
        <v>5</v>
      </c>
    </row>
    <row r="9" spans="1:19" ht="16.5" x14ac:dyDescent="0.3">
      <c r="B9" s="48"/>
      <c r="C9" s="84"/>
      <c r="D9" s="84"/>
      <c r="G9" s="58" t="s">
        <v>58</v>
      </c>
      <c r="H9" s="58">
        <v>6</v>
      </c>
    </row>
    <row r="10" spans="1:19" ht="16.5" x14ac:dyDescent="0.3">
      <c r="B10" s="214" t="s">
        <v>87</v>
      </c>
      <c r="C10" s="175">
        <f>B17+G17+L17+Q17+Q45</f>
        <v>9.1</v>
      </c>
      <c r="D10" s="84"/>
      <c r="G10" s="58" t="s">
        <v>56</v>
      </c>
      <c r="H10" s="58">
        <v>3</v>
      </c>
    </row>
    <row r="11" spans="1:19" ht="16.5" x14ac:dyDescent="0.3">
      <c r="B11" s="214" t="s">
        <v>136</v>
      </c>
      <c r="C11" s="175">
        <f>Répartition!K4</f>
        <v>1800</v>
      </c>
      <c r="D11" s="84"/>
      <c r="G11" s="58"/>
      <c r="H11" s="58"/>
    </row>
    <row r="12" spans="1:19" ht="16.5" x14ac:dyDescent="0.3">
      <c r="B12" s="48"/>
      <c r="C12" s="84"/>
      <c r="D12" s="84"/>
      <c r="F12" s="57"/>
      <c r="G12" s="56"/>
      <c r="H12" s="25"/>
      <c r="I12" s="25"/>
      <c r="J12" s="25"/>
    </row>
    <row r="13" spans="1:19" s="60" customFormat="1" ht="16.5" x14ac:dyDescent="0.3">
      <c r="A13" s="291" t="s">
        <v>177</v>
      </c>
      <c r="B13" s="291"/>
      <c r="C13" s="291"/>
      <c r="D13" s="291"/>
      <c r="E13" s="24"/>
      <c r="F13" s="24"/>
      <c r="G13" s="24"/>
      <c r="H13" s="24"/>
      <c r="I13" s="24"/>
      <c r="J13" s="24"/>
    </row>
    <row r="14" spans="1:19" ht="16.5" x14ac:dyDescent="0.3">
      <c r="B14" s="48"/>
      <c r="C14" s="84"/>
      <c r="D14" s="84"/>
      <c r="F14" s="57"/>
      <c r="G14" s="56"/>
      <c r="H14" s="25"/>
      <c r="I14" s="25"/>
      <c r="J14" s="25"/>
    </row>
    <row r="15" spans="1:19" ht="18.75" x14ac:dyDescent="0.3">
      <c r="A15" s="374" t="s">
        <v>19</v>
      </c>
      <c r="C15" s="8" t="s">
        <v>67</v>
      </c>
      <c r="F15" s="374" t="s">
        <v>526</v>
      </c>
      <c r="H15" s="8" t="s">
        <v>67</v>
      </c>
      <c r="J15" s="35"/>
      <c r="K15" s="374" t="s">
        <v>512</v>
      </c>
      <c r="L15" s="374"/>
      <c r="M15" s="8" t="s">
        <v>67</v>
      </c>
      <c r="R15" s="8" t="s">
        <v>67</v>
      </c>
      <c r="S15" s="8"/>
    </row>
    <row r="16" spans="1:19" x14ac:dyDescent="0.25">
      <c r="A16" s="8" t="s">
        <v>70</v>
      </c>
      <c r="B16" s="69" t="s">
        <v>135</v>
      </c>
      <c r="C16" s="70">
        <v>2</v>
      </c>
      <c r="F16" s="8" t="s">
        <v>113</v>
      </c>
      <c r="G16" s="69" t="s">
        <v>75</v>
      </c>
      <c r="H16" s="70">
        <v>2</v>
      </c>
      <c r="J16" s="35"/>
      <c r="K16" s="8" t="s">
        <v>114</v>
      </c>
      <c r="L16" s="69" t="s">
        <v>5</v>
      </c>
      <c r="M16" s="70">
        <v>3</v>
      </c>
      <c r="P16" s="8" t="s">
        <v>115</v>
      </c>
      <c r="Q16" s="69" t="s">
        <v>65</v>
      </c>
      <c r="R16" s="70">
        <v>2</v>
      </c>
    </row>
    <row r="17" spans="1:20" x14ac:dyDescent="0.25">
      <c r="A17" s="7" t="s">
        <v>37</v>
      </c>
      <c r="B17" s="174">
        <f>Répartition!O7</f>
        <v>7.2833333333333332</v>
      </c>
      <c r="F17" s="7" t="s">
        <v>37</v>
      </c>
      <c r="G17" s="229">
        <f>Répartition!O8</f>
        <v>0.94444444444444442</v>
      </c>
      <c r="J17" s="35"/>
      <c r="K17" s="7" t="s">
        <v>37</v>
      </c>
      <c r="L17" s="229">
        <f>Répartition!O11</f>
        <v>0.77222222222222214</v>
      </c>
      <c r="P17" s="7" t="s">
        <v>37</v>
      </c>
      <c r="Q17" s="230">
        <f>Répartition!O10</f>
        <v>0.1</v>
      </c>
    </row>
    <row r="18" spans="1:20" x14ac:dyDescent="0.25">
      <c r="J18" s="35"/>
    </row>
    <row r="19" spans="1:20" ht="16.5" x14ac:dyDescent="0.3">
      <c r="A19" s="292" t="s">
        <v>41</v>
      </c>
      <c r="B19" s="292"/>
      <c r="C19" s="292"/>
      <c r="D19" s="292"/>
      <c r="F19" s="292" t="s">
        <v>41</v>
      </c>
      <c r="G19" s="292"/>
      <c r="H19" s="292"/>
      <c r="I19" s="292"/>
      <c r="J19" s="35"/>
      <c r="K19" s="292" t="s">
        <v>41</v>
      </c>
      <c r="L19" s="292"/>
      <c r="M19" s="292"/>
      <c r="N19" s="292"/>
      <c r="P19" s="292" t="s">
        <v>41</v>
      </c>
      <c r="Q19" s="292"/>
      <c r="R19" s="292"/>
      <c r="S19" s="292"/>
      <c r="T19" s="292"/>
    </row>
    <row r="20" spans="1:20" x14ac:dyDescent="0.25">
      <c r="J20" s="35"/>
    </row>
    <row r="21" spans="1:20" x14ac:dyDescent="0.25">
      <c r="A21" t="s">
        <v>40</v>
      </c>
      <c r="B21" t="s">
        <v>39</v>
      </c>
      <c r="C21" t="s">
        <v>38</v>
      </c>
      <c r="F21" t="s">
        <v>40</v>
      </c>
      <c r="G21" t="s">
        <v>39</v>
      </c>
      <c r="H21" t="s">
        <v>38</v>
      </c>
      <c r="J21" s="35"/>
      <c r="K21" t="s">
        <v>40</v>
      </c>
      <c r="L21" t="s">
        <v>39</v>
      </c>
      <c r="M21" t="s">
        <v>38</v>
      </c>
      <c r="P21" t="s">
        <v>40</v>
      </c>
      <c r="Q21" t="s">
        <v>39</v>
      </c>
      <c r="R21" t="s">
        <v>38</v>
      </c>
    </row>
    <row r="22" spans="1:20" x14ac:dyDescent="0.25">
      <c r="A22" t="s">
        <v>8</v>
      </c>
      <c r="B22" t="s">
        <v>172</v>
      </c>
      <c r="C22" s="9">
        <f>INDEX(Vt,MATCH(B16,ESS,0),MATCH(C16,CF,0))*C11</f>
        <v>136.59569834574657</v>
      </c>
      <c r="F22" t="s">
        <v>8</v>
      </c>
      <c r="G22" t="s">
        <v>34</v>
      </c>
      <c r="H22" s="9">
        <f>INDEX(Vt,MATCH(G16,ESS,0),MATCH(H16,CF,0))</f>
        <v>436</v>
      </c>
      <c r="J22" s="35"/>
      <c r="K22" t="s">
        <v>8</v>
      </c>
      <c r="L22" t="s">
        <v>34</v>
      </c>
      <c r="M22" s="9">
        <f>INDEX(Vt,MATCH(L16,ESS,0),MATCH(M16,CF,0))</f>
        <v>571.00466654426452</v>
      </c>
      <c r="P22" t="s">
        <v>8</v>
      </c>
      <c r="Q22" t="s">
        <v>34</v>
      </c>
      <c r="R22" s="9">
        <f>INDEX(Vt,MATCH(Q16,ESS,0),MATCH(R16,CF,0))</f>
        <v>134</v>
      </c>
      <c r="S22" s="9"/>
    </row>
    <row r="23" spans="1:20" x14ac:dyDescent="0.25">
      <c r="A23" t="s">
        <v>171</v>
      </c>
      <c r="B23" t="s">
        <v>173</v>
      </c>
      <c r="C23" s="9">
        <f>INDEX(Vbi,MATCH(B16,ESS,0),MATCH(C16,CF,0))</f>
        <v>0</v>
      </c>
      <c r="F23" t="s">
        <v>171</v>
      </c>
      <c r="G23" t="s">
        <v>173</v>
      </c>
      <c r="H23" s="9">
        <f>INDEX(Vbi,MATCH(G16,ESS,0),MATCH(H16,CF,0))</f>
        <v>69</v>
      </c>
      <c r="J23" s="35"/>
      <c r="K23" t="s">
        <v>171</v>
      </c>
      <c r="L23" t="s">
        <v>173</v>
      </c>
      <c r="M23" s="9">
        <f>INDEX(Vbi,MATCH(L16,ESS,0),MATCH(M16,CF,0))</f>
        <v>0</v>
      </c>
      <c r="P23" t="s">
        <v>171</v>
      </c>
      <c r="Q23" t="s">
        <v>173</v>
      </c>
      <c r="R23" s="9">
        <f>INDEX(Vbi,MATCH(Q16,ESS,0),MATCH(R16,CF,0))</f>
        <v>45.972222222222229</v>
      </c>
      <c r="S23" s="9"/>
    </row>
    <row r="24" spans="1:20" x14ac:dyDescent="0.25">
      <c r="A24" t="s">
        <v>23</v>
      </c>
      <c r="B24" t="s">
        <v>24</v>
      </c>
      <c r="C24" s="9">
        <f>C22*VLOOKUP(B16,FEB[],3,0)*C31</f>
        <v>79.225505040533008</v>
      </c>
      <c r="F24" t="s">
        <v>23</v>
      </c>
      <c r="G24" t="s">
        <v>24</v>
      </c>
      <c r="H24" s="9">
        <f>H22*VLOOKUP(G16,FEB[],3,0)*H31</f>
        <v>243.72400000000002</v>
      </c>
      <c r="J24" s="35"/>
      <c r="K24" t="s">
        <v>23</v>
      </c>
      <c r="L24" t="s">
        <v>24</v>
      </c>
      <c r="M24" s="9">
        <f>EXP(-1.0587+(0.8836*LN(M22))+0.284)</f>
        <v>125.69525005263489</v>
      </c>
      <c r="P24" t="s">
        <v>23</v>
      </c>
      <c r="Q24" t="s">
        <v>24</v>
      </c>
      <c r="R24" s="9">
        <f>EXP(-1.0587+(0.8836*LN(R22))+0.284)</f>
        <v>34.919005362147168</v>
      </c>
      <c r="S24" s="9"/>
    </row>
    <row r="25" spans="1:20" x14ac:dyDescent="0.25">
      <c r="A25" t="s">
        <v>25</v>
      </c>
      <c r="B25" t="s">
        <v>27</v>
      </c>
      <c r="C25" s="9">
        <f>EXP(-1.0587+(0.8836*LN(C24))+0.284)</f>
        <v>21.947708999827821</v>
      </c>
      <c r="F25" t="s">
        <v>25</v>
      </c>
      <c r="G25" t="s">
        <v>27</v>
      </c>
      <c r="H25" s="9">
        <f>EXP(-1.0587+(0.8836*LN(H24))+0.284)</f>
        <v>59.24004779454549</v>
      </c>
      <c r="J25" s="35"/>
      <c r="K25" t="s">
        <v>25</v>
      </c>
      <c r="L25" t="s">
        <v>27</v>
      </c>
      <c r="M25" s="9">
        <f>EXP(-1.0587+(0.8836*LN(M24))+0.284)</f>
        <v>32.999716973295456</v>
      </c>
      <c r="P25" t="s">
        <v>25</v>
      </c>
      <c r="Q25" t="s">
        <v>27</v>
      </c>
      <c r="R25" s="9">
        <f>EXP(-1.0587+(0.8836*LN(R24))+0.284)</f>
        <v>10.641467635390814</v>
      </c>
      <c r="S25" s="9"/>
    </row>
    <row r="26" spans="1:20" x14ac:dyDescent="0.25">
      <c r="A26" t="s">
        <v>26</v>
      </c>
      <c r="B26" t="s">
        <v>188</v>
      </c>
      <c r="C26" s="9">
        <f>VLOOKUP(TRUE,A62:D65,3,FALSE)+(70-VLOOKUP(TRUE,A62:D65,3,FALSE))*(1-EXP(-0.0175*30))</f>
        <v>55.211115890829625</v>
      </c>
      <c r="F26" t="s">
        <v>26</v>
      </c>
      <c r="G26" t="s">
        <v>188</v>
      </c>
      <c r="H26" s="9">
        <f>VLOOKUP(TRUE,$A$62:$D$65,3,FALSE)+(70-VLOOKUP(TRUE,$A$62:$D$65,3,FALSE))*(1-EXP(-0.0175*30))</f>
        <v>55.211115890829625</v>
      </c>
      <c r="J26" s="35"/>
      <c r="K26" t="s">
        <v>26</v>
      </c>
      <c r="L26" t="s">
        <v>188</v>
      </c>
      <c r="M26" s="9">
        <f>VLOOKUP(TRUE,$A$62:$D$65,3,FALSE)+(70-VLOOKUP(TRUE,$A$62:$D$65,3,FALSE))*(1-EXP(-0.0175*30))</f>
        <v>55.211115890829625</v>
      </c>
      <c r="P26" t="s">
        <v>26</v>
      </c>
      <c r="Q26" t="s">
        <v>188</v>
      </c>
      <c r="R26" s="9">
        <f>VLOOKUP(TRUE,$A$62:$D$65,3,FALSE)+(70-VLOOKUP(TRUE,$A$62:$D$65,3,FALSE))*(1-EXP(-0.0175*30))</f>
        <v>55.211115890829625</v>
      </c>
      <c r="S26" s="9"/>
    </row>
    <row r="27" spans="1:20" x14ac:dyDescent="0.25">
      <c r="A27" t="s">
        <v>28</v>
      </c>
      <c r="B27" t="s">
        <v>32</v>
      </c>
      <c r="C27" s="9">
        <v>10</v>
      </c>
      <c r="F27" t="s">
        <v>28</v>
      </c>
      <c r="G27" t="s">
        <v>32</v>
      </c>
      <c r="H27" s="9">
        <v>10</v>
      </c>
      <c r="J27" s="35"/>
      <c r="K27" t="s">
        <v>28</v>
      </c>
      <c r="L27" t="s">
        <v>32</v>
      </c>
      <c r="M27" s="9">
        <v>10</v>
      </c>
      <c r="P27" t="s">
        <v>28</v>
      </c>
      <c r="Q27" t="s">
        <v>32</v>
      </c>
      <c r="R27" s="9">
        <v>10</v>
      </c>
      <c r="S27" s="9"/>
    </row>
    <row r="28" spans="1:20" x14ac:dyDescent="0.25">
      <c r="A28" t="s">
        <v>29</v>
      </c>
      <c r="B28" t="s">
        <v>31</v>
      </c>
      <c r="C28" s="9">
        <v>0</v>
      </c>
      <c r="D28" s="9"/>
      <c r="F28" t="s">
        <v>29</v>
      </c>
      <c r="G28" t="s">
        <v>31</v>
      </c>
      <c r="H28" s="9">
        <v>0</v>
      </c>
      <c r="I28" s="9"/>
      <c r="J28" s="35"/>
      <c r="K28" t="s">
        <v>29</v>
      </c>
      <c r="L28" t="s">
        <v>31</v>
      </c>
      <c r="M28" s="9">
        <v>0</v>
      </c>
      <c r="N28" s="9"/>
      <c r="P28" t="s">
        <v>29</v>
      </c>
      <c r="Q28" t="s">
        <v>31</v>
      </c>
      <c r="R28" s="9">
        <v>0</v>
      </c>
      <c r="S28" s="9"/>
      <c r="T28" s="9"/>
    </row>
    <row r="29" spans="1:20" x14ac:dyDescent="0.25">
      <c r="C29" s="9"/>
      <c r="H29" s="9"/>
      <c r="J29" s="35"/>
      <c r="M29" s="9"/>
      <c r="R29" s="9"/>
      <c r="S29" s="9"/>
    </row>
    <row r="30" spans="1:20" x14ac:dyDescent="0.25">
      <c r="A30" s="4" t="s">
        <v>30</v>
      </c>
      <c r="B30" s="4" t="s">
        <v>33</v>
      </c>
      <c r="C30" s="42">
        <v>0.47499999999999998</v>
      </c>
      <c r="F30" s="4" t="s">
        <v>30</v>
      </c>
      <c r="G30" s="4" t="s">
        <v>33</v>
      </c>
      <c r="H30" s="42">
        <v>0.47499999999999998</v>
      </c>
      <c r="J30" s="35"/>
      <c r="K30" s="4" t="s">
        <v>30</v>
      </c>
      <c r="L30" s="4" t="s">
        <v>33</v>
      </c>
      <c r="M30" s="42">
        <v>0.47499999999999998</v>
      </c>
      <c r="P30" s="4" t="s">
        <v>30</v>
      </c>
      <c r="Q30" s="4" t="s">
        <v>33</v>
      </c>
      <c r="R30" s="42">
        <v>0.47499999999999998</v>
      </c>
      <c r="S30" s="95"/>
    </row>
    <row r="31" spans="1:20" x14ac:dyDescent="0.25">
      <c r="A31" s="5" t="s">
        <v>35</v>
      </c>
      <c r="B31" s="5" t="s">
        <v>76</v>
      </c>
      <c r="C31" s="13">
        <v>0.57999999999999996</v>
      </c>
      <c r="F31" s="5" t="s">
        <v>35</v>
      </c>
      <c r="G31" s="5" t="s">
        <v>76</v>
      </c>
      <c r="H31" s="13">
        <v>0.43</v>
      </c>
      <c r="J31" s="35"/>
      <c r="K31" s="5" t="s">
        <v>35</v>
      </c>
      <c r="L31" s="5" t="s">
        <v>76</v>
      </c>
      <c r="M31" s="13">
        <v>0.56999999999999995</v>
      </c>
      <c r="P31" s="5" t="s">
        <v>35</v>
      </c>
      <c r="Q31" s="5" t="s">
        <v>76</v>
      </c>
      <c r="R31" s="13">
        <v>0.36</v>
      </c>
      <c r="S31" s="47"/>
    </row>
    <row r="32" spans="1:20" x14ac:dyDescent="0.25">
      <c r="A32" s="46"/>
      <c r="B32" s="46"/>
      <c r="C32" s="47"/>
      <c r="F32" s="46"/>
      <c r="G32" s="46"/>
      <c r="H32" s="47"/>
      <c r="J32" s="35"/>
      <c r="K32" s="46"/>
      <c r="L32" s="46"/>
      <c r="M32" s="47"/>
      <c r="P32" s="46"/>
      <c r="Q32" s="46"/>
      <c r="R32" s="47"/>
      <c r="S32" s="47"/>
    </row>
    <row r="33" spans="1:20" x14ac:dyDescent="0.25">
      <c r="A33" s="46"/>
      <c r="B33" s="46"/>
      <c r="C33" s="47"/>
      <c r="F33" s="46"/>
      <c r="G33" s="46"/>
      <c r="H33" s="47"/>
      <c r="J33" s="35"/>
      <c r="K33" s="46"/>
      <c r="L33" s="46"/>
      <c r="M33" s="47"/>
      <c r="P33" s="46"/>
      <c r="Q33" s="46"/>
      <c r="R33" s="47"/>
      <c r="S33" s="47"/>
    </row>
    <row r="34" spans="1:20" x14ac:dyDescent="0.25">
      <c r="B34" s="14" t="s">
        <v>81</v>
      </c>
      <c r="C34" s="45">
        <f>((C24+C25)*Tc+C26+C27+C28)</f>
        <v>113.26839256000102</v>
      </c>
      <c r="D34" t="s">
        <v>84</v>
      </c>
      <c r="G34" s="14" t="s">
        <v>116</v>
      </c>
      <c r="H34" s="45">
        <f>((H24+H25)*Tc+H26+H27+H28)</f>
        <v>209.11903859323874</v>
      </c>
      <c r="I34" t="s">
        <v>84</v>
      </c>
      <c r="J34" s="35"/>
      <c r="L34" s="14" t="s">
        <v>119</v>
      </c>
      <c r="M34" s="45">
        <f>((M24+M25)*Tc+M26+M27+M28)</f>
        <v>140.59122522814653</v>
      </c>
      <c r="N34" t="s">
        <v>84</v>
      </c>
      <c r="Q34" s="14" t="s">
        <v>122</v>
      </c>
      <c r="R34" s="45">
        <f>((R24+R25)*Tc+R26+R27+R28)</f>
        <v>86.852340564660167</v>
      </c>
      <c r="S34" t="s">
        <v>84</v>
      </c>
    </row>
    <row r="35" spans="1:20" x14ac:dyDescent="0.25">
      <c r="B35" s="43" t="s">
        <v>83</v>
      </c>
      <c r="C35" s="45">
        <f>((C24+C25)*Tc+C26+C27+C28)*(44/12)</f>
        <v>415.3174393866704</v>
      </c>
      <c r="D35" t="s">
        <v>85</v>
      </c>
      <c r="G35" s="43" t="s">
        <v>117</v>
      </c>
      <c r="H35" s="45">
        <f>((H24+H25)*Tc+H26+H27+H28)*(44/12)</f>
        <v>766.76980817520871</v>
      </c>
      <c r="I35" t="s">
        <v>85</v>
      </c>
      <c r="J35" s="35"/>
      <c r="L35" s="43" t="s">
        <v>120</v>
      </c>
      <c r="M35" s="45">
        <f>((M24+M25)*Tc+M26+M27+M28)*(44/12)</f>
        <v>515.50115916987056</v>
      </c>
      <c r="N35" t="s">
        <v>85</v>
      </c>
      <c r="Q35" s="43" t="s">
        <v>123</v>
      </c>
      <c r="R35" s="45">
        <f>((R24+R25)*Tc+R26+R27+R28)*(44/12)</f>
        <v>318.45858207042062</v>
      </c>
      <c r="S35" t="s">
        <v>85</v>
      </c>
    </row>
    <row r="36" spans="1:20" x14ac:dyDescent="0.25">
      <c r="B36" s="90" t="s">
        <v>176</v>
      </c>
      <c r="C36" s="45">
        <f>C23*C31*Tc*(44/12)</f>
        <v>0</v>
      </c>
      <c r="D36" t="s">
        <v>85</v>
      </c>
      <c r="G36" s="90" t="s">
        <v>180</v>
      </c>
      <c r="H36" s="45">
        <f>H23*H31*Tc*(44/12)</f>
        <v>51.675249999999991</v>
      </c>
      <c r="I36" t="s">
        <v>85</v>
      </c>
      <c r="J36" s="35"/>
      <c r="L36" s="90" t="s">
        <v>182</v>
      </c>
      <c r="M36" s="45">
        <f>M23*M31*Tc*(44/12)</f>
        <v>0</v>
      </c>
      <c r="N36" t="s">
        <v>85</v>
      </c>
      <c r="Q36" s="90" t="s">
        <v>183</v>
      </c>
      <c r="R36" s="45">
        <f>R23*R31*Tc*(44/12)</f>
        <v>28.824583333333333</v>
      </c>
      <c r="S36" t="s">
        <v>85</v>
      </c>
    </row>
    <row r="37" spans="1:20" ht="15.75" x14ac:dyDescent="0.25">
      <c r="B37" s="7" t="s">
        <v>82</v>
      </c>
      <c r="C37" s="44">
        <f>C35*B17</f>
        <v>3024.8953501995825</v>
      </c>
      <c r="D37" s="44" t="s">
        <v>86</v>
      </c>
      <c r="E37" s="96">
        <f>IF(ISNA(C37),"0",C37)</f>
        <v>3024.8953501995825</v>
      </c>
      <c r="G37" s="7" t="s">
        <v>118</v>
      </c>
      <c r="H37" s="44">
        <f>H35*G17</f>
        <v>724.17148549880824</v>
      </c>
      <c r="I37" s="44" t="s">
        <v>86</v>
      </c>
      <c r="J37" s="96">
        <f>IF(ISNA(H37),"0",H37)</f>
        <v>724.17148549880824</v>
      </c>
      <c r="L37" s="7" t="s">
        <v>121</v>
      </c>
      <c r="M37" s="44">
        <f>M35*L17</f>
        <v>398.08145069228891</v>
      </c>
      <c r="N37" s="44" t="s">
        <v>86</v>
      </c>
      <c r="O37" s="96">
        <f>IF(ISNA(M37),"0",M37)</f>
        <v>398.08145069228891</v>
      </c>
      <c r="Q37" s="7" t="s">
        <v>124</v>
      </c>
      <c r="R37" s="44">
        <f>R35*Q17</f>
        <v>31.845858207042063</v>
      </c>
      <c r="S37" s="44" t="s">
        <v>86</v>
      </c>
      <c r="T37" s="96">
        <f>IF(ISNA(R37),"0",R37)</f>
        <v>31.845858207042063</v>
      </c>
    </row>
    <row r="38" spans="1:20" ht="15.75" x14ac:dyDescent="0.25">
      <c r="B38" s="7" t="s">
        <v>174</v>
      </c>
      <c r="C38" s="44">
        <f>C36*B17</f>
        <v>0</v>
      </c>
      <c r="D38" s="44" t="s">
        <v>175</v>
      </c>
      <c r="E38" s="96">
        <f>IF(ISNA(C38),"0",C38)</f>
        <v>0</v>
      </c>
      <c r="F38" s="28"/>
      <c r="G38" s="7" t="s">
        <v>179</v>
      </c>
      <c r="H38" s="44">
        <f>H36*G17</f>
        <v>48.804402777777767</v>
      </c>
      <c r="I38" s="44" t="s">
        <v>175</v>
      </c>
      <c r="J38" s="96">
        <f>IF(ISNA(H38),"0",H38)</f>
        <v>48.804402777777767</v>
      </c>
      <c r="K38" s="19"/>
      <c r="L38" s="7" t="s">
        <v>181</v>
      </c>
      <c r="M38" s="44">
        <f>M36*L17</f>
        <v>0</v>
      </c>
      <c r="N38" s="44" t="s">
        <v>175</v>
      </c>
      <c r="O38" s="96">
        <f>IF(ISNA(M38),"0",M38)</f>
        <v>0</v>
      </c>
      <c r="Q38" s="7" t="s">
        <v>184</v>
      </c>
      <c r="R38" s="44">
        <f>R36*Q17</f>
        <v>2.8824583333333336</v>
      </c>
      <c r="S38" s="44" t="s">
        <v>175</v>
      </c>
      <c r="T38" s="96">
        <f>IF(ISNA(R38),"0",R38)</f>
        <v>2.8824583333333336</v>
      </c>
    </row>
    <row r="39" spans="1:20" ht="16.5" thickBot="1" x14ac:dyDescent="0.3">
      <c r="B39" s="7"/>
      <c r="C39" s="44"/>
      <c r="D39" s="44"/>
      <c r="E39" s="96"/>
      <c r="F39" s="28"/>
      <c r="G39" s="7"/>
      <c r="H39" s="44"/>
      <c r="I39" s="44"/>
      <c r="J39" s="96"/>
      <c r="K39" s="19"/>
      <c r="L39" s="7"/>
      <c r="M39" s="44"/>
      <c r="N39" s="44"/>
      <c r="O39" s="96"/>
      <c r="Q39" s="7"/>
      <c r="R39" s="44"/>
      <c r="S39" s="44"/>
      <c r="T39" s="96"/>
    </row>
    <row r="40" spans="1:20" ht="15.75" thickBot="1" x14ac:dyDescent="0.3">
      <c r="B40" s="143" t="s">
        <v>245</v>
      </c>
      <c r="C40" s="144">
        <f>INDEX(SMLT,MATCH(B16,ESS,0),MATCH(C16,CF,0))*B17</f>
        <v>3835.1536549168691</v>
      </c>
      <c r="D40" s="145" t="s">
        <v>246</v>
      </c>
      <c r="E40" s="142">
        <f>IF(ISNA(C40),"0",C40)</f>
        <v>3835.1536549168691</v>
      </c>
      <c r="F40" s="28"/>
      <c r="G40" s="143" t="s">
        <v>245</v>
      </c>
      <c r="H40" s="144">
        <f>INDEX(SMLT,MATCH(G16,ESS,0),MATCH(H16,CF,0))*G17</f>
        <v>770.89116686657849</v>
      </c>
      <c r="I40" s="145" t="s">
        <v>246</v>
      </c>
      <c r="J40" s="142">
        <f>IF(ISNA(H40),"0",H40)</f>
        <v>770.89116686657849</v>
      </c>
      <c r="K40" s="19"/>
      <c r="L40" s="143" t="s">
        <v>245</v>
      </c>
      <c r="M40" s="144">
        <f>INDEX(SMLT,MATCH(L16,ESS,0),MATCH(M16,CF,0))*L17</f>
        <v>547.47253373655633</v>
      </c>
      <c r="N40" s="145" t="s">
        <v>246</v>
      </c>
      <c r="O40" s="142">
        <f>IF(ISNA(M40),"0",M40)</f>
        <v>547.47253373655633</v>
      </c>
      <c r="Q40" s="143" t="s">
        <v>245</v>
      </c>
      <c r="R40" s="144">
        <f>INDEX(SMLT,MATCH(Q16,ESS,0),MATCH(R16,CF,0))*Q17</f>
        <v>0</v>
      </c>
      <c r="S40" s="145" t="s">
        <v>246</v>
      </c>
      <c r="T40" s="142">
        <f>IF(ISNA(R40),"0",R40)</f>
        <v>0</v>
      </c>
    </row>
    <row r="41" spans="1:20" ht="15.75" x14ac:dyDescent="0.25">
      <c r="B41" s="7"/>
      <c r="C41" s="44"/>
      <c r="D41" s="44"/>
      <c r="E41" s="96"/>
      <c r="F41" s="28"/>
      <c r="G41" s="7"/>
      <c r="H41" s="44"/>
      <c r="I41" s="44"/>
      <c r="J41" s="96"/>
      <c r="K41" s="19"/>
      <c r="L41" s="7"/>
      <c r="M41" s="44"/>
      <c r="N41" s="44"/>
      <c r="O41" s="96"/>
      <c r="Q41" s="7"/>
      <c r="R41" s="44"/>
      <c r="S41" s="44"/>
      <c r="T41" s="96"/>
    </row>
    <row r="42" spans="1:20" ht="16.5" x14ac:dyDescent="0.3">
      <c r="A42" s="198" t="s">
        <v>153</v>
      </c>
      <c r="B42" s="198"/>
      <c r="C42" s="198"/>
      <c r="D42" s="198"/>
      <c r="E42" s="19"/>
      <c r="F42" s="26"/>
      <c r="G42" s="26"/>
      <c r="H42" s="26"/>
      <c r="I42" s="19"/>
      <c r="J42" s="19"/>
      <c r="K42" s="19"/>
    </row>
    <row r="43" spans="1:20" ht="18.75" x14ac:dyDescent="0.3">
      <c r="E43" s="19"/>
      <c r="F43" s="19"/>
      <c r="G43" s="19"/>
      <c r="H43" s="19"/>
      <c r="I43" s="19"/>
      <c r="J43" s="19"/>
      <c r="K43" s="19"/>
      <c r="L43" s="19"/>
      <c r="O43" s="35"/>
      <c r="P43" s="375"/>
      <c r="Q43" s="35"/>
      <c r="R43" s="35"/>
      <c r="S43" s="35"/>
      <c r="T43" s="35"/>
    </row>
    <row r="44" spans="1:20" x14ac:dyDescent="0.25">
      <c r="A44" t="s">
        <v>40</v>
      </c>
      <c r="B44" t="s">
        <v>39</v>
      </c>
      <c r="C44" t="s">
        <v>38</v>
      </c>
      <c r="D44" s="19"/>
      <c r="E44" s="19"/>
      <c r="F44" s="29"/>
      <c r="G44" s="19"/>
      <c r="H44" s="19"/>
      <c r="I44" s="19"/>
      <c r="J44" s="19"/>
      <c r="K44" s="19"/>
      <c r="O44" s="35"/>
      <c r="P44" s="263"/>
      <c r="Q44" s="263"/>
      <c r="R44" s="266"/>
      <c r="S44" s="35"/>
      <c r="T44" s="35"/>
    </row>
    <row r="45" spans="1:20" x14ac:dyDescent="0.25">
      <c r="A45" t="s">
        <v>8</v>
      </c>
      <c r="B45" t="s">
        <v>34</v>
      </c>
      <c r="C45" s="9">
        <v>30</v>
      </c>
      <c r="D45" s="19"/>
      <c r="E45" s="19"/>
      <c r="F45" s="30"/>
      <c r="G45" s="19"/>
      <c r="H45" s="19"/>
      <c r="I45" s="19"/>
      <c r="J45" s="19"/>
      <c r="K45" s="19"/>
      <c r="O45" s="35"/>
      <c r="P45" s="263"/>
      <c r="Q45" s="263"/>
      <c r="R45" s="35"/>
      <c r="S45" s="35"/>
      <c r="T45" s="35"/>
    </row>
    <row r="46" spans="1:20" x14ac:dyDescent="0.25">
      <c r="A46" t="s">
        <v>23</v>
      </c>
      <c r="B46" t="s">
        <v>24</v>
      </c>
      <c r="C46" s="9">
        <f>C45*C53</f>
        <v>15</v>
      </c>
      <c r="D46" s="19"/>
      <c r="E46" s="83"/>
      <c r="F46" s="30"/>
      <c r="G46" s="31"/>
      <c r="H46" s="19"/>
      <c r="I46" s="19"/>
      <c r="J46" s="19"/>
      <c r="K46" s="19"/>
      <c r="O46" s="35"/>
      <c r="P46" s="35"/>
      <c r="Q46" s="35"/>
      <c r="R46" s="35"/>
      <c r="S46" s="35"/>
      <c r="T46" s="35"/>
    </row>
    <row r="47" spans="1:20" ht="16.5" x14ac:dyDescent="0.3">
      <c r="A47" t="s">
        <v>25</v>
      </c>
      <c r="B47" t="s">
        <v>27</v>
      </c>
      <c r="C47" s="9">
        <f>EXP(-1.0587+0.8836*LN(C46)+0.284)</f>
        <v>5.0436657935706641</v>
      </c>
      <c r="D47" s="19"/>
      <c r="E47" s="19"/>
      <c r="F47" s="83"/>
      <c r="G47" s="83"/>
      <c r="H47" s="31"/>
      <c r="I47" s="19"/>
      <c r="J47" s="19"/>
      <c r="K47" s="19"/>
      <c r="O47" s="35"/>
      <c r="P47" s="290"/>
      <c r="Q47" s="290"/>
      <c r="R47" s="290"/>
      <c r="S47" s="290"/>
      <c r="T47" s="290"/>
    </row>
    <row r="48" spans="1:20" x14ac:dyDescent="0.25">
      <c r="A48" t="s">
        <v>26</v>
      </c>
      <c r="B48" t="s">
        <v>188</v>
      </c>
      <c r="C48" s="9">
        <v>70</v>
      </c>
      <c r="D48" s="19"/>
      <c r="E48" s="19"/>
      <c r="F48" s="19"/>
      <c r="G48" s="19"/>
      <c r="H48" s="19"/>
      <c r="I48" s="19"/>
      <c r="J48" s="19"/>
      <c r="K48" s="19"/>
      <c r="O48" s="35"/>
      <c r="P48" s="35"/>
      <c r="Q48" s="35"/>
      <c r="R48" s="35"/>
      <c r="S48" s="35"/>
      <c r="T48" s="35"/>
    </row>
    <row r="49" spans="1:20" x14ac:dyDescent="0.25">
      <c r="A49" t="s">
        <v>28</v>
      </c>
      <c r="B49" t="s">
        <v>32</v>
      </c>
      <c r="C49" s="9">
        <v>10</v>
      </c>
      <c r="D49" s="19"/>
      <c r="E49" s="19"/>
      <c r="F49" s="19"/>
      <c r="G49" s="19"/>
      <c r="H49" s="19"/>
      <c r="I49" s="19"/>
      <c r="J49" s="19"/>
      <c r="K49" s="19"/>
      <c r="O49" s="35"/>
      <c r="P49" s="35"/>
      <c r="Q49" s="35"/>
      <c r="R49" s="35"/>
      <c r="S49" s="35"/>
      <c r="T49" s="35"/>
    </row>
    <row r="50" spans="1:20" x14ac:dyDescent="0.25">
      <c r="A50" t="s">
        <v>29</v>
      </c>
      <c r="B50" t="s">
        <v>31</v>
      </c>
      <c r="C50" s="9">
        <v>0</v>
      </c>
      <c r="D50" s="19"/>
      <c r="E50" s="19"/>
      <c r="F50" s="19"/>
      <c r="G50" s="19"/>
      <c r="H50" s="19"/>
      <c r="I50" s="19"/>
      <c r="J50" s="19"/>
      <c r="K50" s="19"/>
      <c r="O50" s="35"/>
      <c r="P50" s="35"/>
      <c r="Q50" s="35"/>
      <c r="R50" s="79"/>
      <c r="S50" s="79"/>
      <c r="T50" s="35"/>
    </row>
    <row r="51" spans="1:20" x14ac:dyDescent="0.25">
      <c r="C51" s="9"/>
      <c r="D51" s="9"/>
      <c r="E51" s="19"/>
      <c r="F51" s="19"/>
      <c r="G51" s="19"/>
      <c r="H51" s="19"/>
      <c r="I51" s="19"/>
      <c r="J51" s="19"/>
      <c r="K51" s="19"/>
      <c r="L51" s="19"/>
      <c r="O51" s="35"/>
      <c r="P51" s="35"/>
      <c r="Q51" s="35"/>
      <c r="R51" s="79"/>
      <c r="S51" s="79"/>
      <c r="T51" s="35"/>
    </row>
    <row r="52" spans="1:20" x14ac:dyDescent="0.25">
      <c r="A52" s="4" t="s">
        <v>30</v>
      </c>
      <c r="B52" s="4" t="s">
        <v>33</v>
      </c>
      <c r="C52" s="42">
        <v>0.47499999999999998</v>
      </c>
      <c r="D52" s="19"/>
      <c r="E52" s="19"/>
      <c r="F52" s="19"/>
      <c r="G52" s="19"/>
      <c r="H52" s="19"/>
      <c r="I52" s="19"/>
      <c r="J52" s="19"/>
      <c r="K52" s="19"/>
      <c r="O52" s="35"/>
      <c r="P52" s="35"/>
      <c r="Q52" s="35"/>
      <c r="R52" s="79"/>
      <c r="S52" s="79"/>
      <c r="T52" s="35"/>
    </row>
    <row r="53" spans="1:20" x14ac:dyDescent="0.25">
      <c r="A53" s="5" t="s">
        <v>35</v>
      </c>
      <c r="B53" s="5" t="s">
        <v>36</v>
      </c>
      <c r="C53" s="13">
        <f>0.5</f>
        <v>0.5</v>
      </c>
      <c r="D53" s="19"/>
      <c r="E53" s="19"/>
      <c r="F53" s="19"/>
      <c r="G53" s="19"/>
      <c r="H53" s="19"/>
      <c r="K53" s="19"/>
      <c r="O53" s="35"/>
      <c r="P53" s="35"/>
      <c r="Q53" s="35"/>
      <c r="R53" s="79"/>
      <c r="S53" s="79"/>
      <c r="T53" s="35"/>
    </row>
    <row r="54" spans="1:20" x14ac:dyDescent="0.25">
      <c r="E54" s="19"/>
      <c r="F54" s="55"/>
      <c r="G54" s="31"/>
      <c r="L54" s="19"/>
      <c r="O54" s="35"/>
      <c r="P54" s="35"/>
      <c r="Q54" s="35"/>
      <c r="R54" s="79"/>
      <c r="S54" s="79"/>
      <c r="T54" s="35"/>
    </row>
    <row r="55" spans="1:20" x14ac:dyDescent="0.25">
      <c r="B55" s="14" t="s">
        <v>201</v>
      </c>
      <c r="C55" s="45">
        <f>(C46+C47)*Tc+C48+C49+C50</f>
        <v>89.520741251946063</v>
      </c>
      <c r="E55" s="19"/>
      <c r="F55" s="55"/>
      <c r="G55" s="31"/>
      <c r="L55" s="19"/>
      <c r="O55" s="35"/>
      <c r="P55" s="35"/>
      <c r="Q55" s="35"/>
      <c r="R55" s="79"/>
      <c r="S55" s="79"/>
      <c r="T55" s="35"/>
    </row>
    <row r="56" spans="1:20" x14ac:dyDescent="0.25">
      <c r="B56" s="14" t="s">
        <v>88</v>
      </c>
      <c r="C56" s="100">
        <f>C55*44/12</f>
        <v>328.24271792380222</v>
      </c>
      <c r="D56" s="12"/>
      <c r="E56" s="19"/>
      <c r="F56" s="32"/>
      <c r="G56" s="33"/>
      <c r="L56" s="19"/>
      <c r="O56" s="35"/>
      <c r="P56" s="35"/>
      <c r="Q56" s="35"/>
      <c r="R56" s="79"/>
      <c r="S56" s="79"/>
      <c r="T56" s="79"/>
    </row>
    <row r="57" spans="1:20" x14ac:dyDescent="0.25">
      <c r="B57" s="23" t="s">
        <v>89</v>
      </c>
      <c r="C57" s="12">
        <f>C56*C10</f>
        <v>2987.0087331066002</v>
      </c>
      <c r="E57" s="19"/>
      <c r="F57" s="19"/>
      <c r="G57" s="19"/>
      <c r="I57" s="19"/>
      <c r="J57" s="19"/>
      <c r="L57" s="19"/>
      <c r="O57" s="35"/>
      <c r="P57" s="35"/>
      <c r="Q57" s="35"/>
      <c r="R57" s="79"/>
      <c r="S57" s="79"/>
      <c r="T57" s="35"/>
    </row>
    <row r="58" spans="1:20" x14ac:dyDescent="0.25">
      <c r="E58" s="19"/>
      <c r="F58" s="19"/>
      <c r="G58" s="19"/>
      <c r="H58" s="19"/>
      <c r="I58" s="19"/>
      <c r="J58" s="19"/>
      <c r="K58" s="19"/>
      <c r="L58" s="19"/>
      <c r="O58" s="35"/>
      <c r="P58" s="90"/>
      <c r="Q58" s="90"/>
      <c r="R58" s="95"/>
      <c r="S58" s="95"/>
      <c r="T58" s="35"/>
    </row>
    <row r="59" spans="1:20" s="19" customFormat="1" ht="16.5" x14ac:dyDescent="0.3">
      <c r="A59" s="198" t="s">
        <v>90</v>
      </c>
      <c r="B59" s="198"/>
      <c r="C59" s="198"/>
      <c r="D59" s="198"/>
      <c r="M59"/>
      <c r="O59" s="35"/>
      <c r="P59" s="90"/>
      <c r="Q59" s="90"/>
      <c r="R59" s="267"/>
      <c r="S59" s="267"/>
      <c r="T59" s="35"/>
    </row>
    <row r="60" spans="1:20" ht="16.5" x14ac:dyDescent="0.3">
      <c r="A60" s="26"/>
      <c r="B60" s="26"/>
      <c r="C60" s="26"/>
      <c r="D60" s="26"/>
      <c r="F60" s="19"/>
      <c r="G60" s="19"/>
      <c r="H60" s="19"/>
      <c r="I60" s="19"/>
      <c r="J60" s="19"/>
      <c r="K60" s="19"/>
      <c r="L60" s="19"/>
      <c r="M60" s="19"/>
      <c r="O60" s="35"/>
      <c r="P60" s="90"/>
      <c r="Q60" s="90"/>
      <c r="R60" s="267"/>
      <c r="S60" s="267"/>
      <c r="T60" s="35"/>
    </row>
    <row r="61" spans="1:20" x14ac:dyDescent="0.25">
      <c r="C61" s="7" t="s">
        <v>78</v>
      </c>
      <c r="D61" s="7" t="s">
        <v>199</v>
      </c>
      <c r="E61" s="7" t="s">
        <v>48</v>
      </c>
      <c r="F61" s="8" t="s">
        <v>200</v>
      </c>
      <c r="G61" s="8" t="s">
        <v>244</v>
      </c>
      <c r="H61" s="19"/>
      <c r="K61" s="19"/>
      <c r="L61" s="19"/>
      <c r="O61" s="35"/>
      <c r="P61" s="90"/>
      <c r="Q61" s="90"/>
      <c r="R61" s="267"/>
      <c r="S61" s="267"/>
      <c r="T61" s="35"/>
    </row>
    <row r="62" spans="1:20" x14ac:dyDescent="0.25">
      <c r="A62" s="4" t="b">
        <v>1</v>
      </c>
      <c r="B62" s="4" t="s">
        <v>42</v>
      </c>
      <c r="C62" s="10">
        <v>45</v>
      </c>
      <c r="D62" s="10">
        <f>5</f>
        <v>5</v>
      </c>
      <c r="E62" s="10">
        <f>(D62+C62)*44/12</f>
        <v>183.33333333333334</v>
      </c>
      <c r="F62" s="10">
        <f>E62*$C$10</f>
        <v>1668.3333333333333</v>
      </c>
      <c r="G62" s="10">
        <f>F62</f>
        <v>1668.3333333333333</v>
      </c>
      <c r="O62" s="35"/>
      <c r="P62" s="35"/>
      <c r="Q62" s="219"/>
      <c r="R62" s="268"/>
      <c r="S62" s="35"/>
      <c r="T62" s="35"/>
    </row>
    <row r="63" spans="1:20" x14ac:dyDescent="0.25">
      <c r="A63" s="5" t="b">
        <v>0</v>
      </c>
      <c r="B63" s="5" t="s">
        <v>43</v>
      </c>
      <c r="C63" s="11">
        <v>70</v>
      </c>
      <c r="D63" s="11">
        <v>0</v>
      </c>
      <c r="E63" s="11">
        <f>(C63+D63)*44/12</f>
        <v>256.66666666666669</v>
      </c>
      <c r="F63" s="11">
        <f>E63*$C$10</f>
        <v>2335.666666666667</v>
      </c>
      <c r="G63" s="11">
        <f>F63</f>
        <v>2335.666666666667</v>
      </c>
      <c r="O63" s="35"/>
      <c r="P63" s="35"/>
      <c r="Q63" s="90"/>
      <c r="R63" s="268"/>
      <c r="S63" s="35"/>
      <c r="T63" s="35"/>
    </row>
    <row r="64" spans="1:20" x14ac:dyDescent="0.25">
      <c r="A64" s="4" t="b">
        <v>0</v>
      </c>
      <c r="B64" s="4" t="s">
        <v>77</v>
      </c>
      <c r="C64" s="10">
        <v>32</v>
      </c>
      <c r="D64" s="10">
        <f>5</f>
        <v>5</v>
      </c>
      <c r="E64" s="10">
        <f>(D64+C64)*44/12</f>
        <v>135.66666666666666</v>
      </c>
      <c r="F64" s="10">
        <f>E64*$C$10</f>
        <v>1234.5666666666666</v>
      </c>
      <c r="G64" s="10">
        <f>F64</f>
        <v>1234.5666666666666</v>
      </c>
      <c r="O64" s="35"/>
      <c r="P64" s="35"/>
      <c r="Q64" s="90"/>
      <c r="R64" s="268"/>
      <c r="S64" s="35"/>
      <c r="T64" s="35"/>
    </row>
    <row r="65" spans="1:20" ht="15.75" x14ac:dyDescent="0.25">
      <c r="A65" s="5" t="b">
        <v>0</v>
      </c>
      <c r="B65" s="5" t="s">
        <v>80</v>
      </c>
      <c r="C65" s="11">
        <v>70</v>
      </c>
      <c r="D65" s="11">
        <f>C55</f>
        <v>89.520741251946063</v>
      </c>
      <c r="E65" s="10">
        <f>(D65+C65)*44/12</f>
        <v>584.9093845904689</v>
      </c>
      <c r="F65" s="11">
        <f>E65*$C$10</f>
        <v>5322.6753997732667</v>
      </c>
      <c r="G65" s="11">
        <v>2900.8531084003994</v>
      </c>
      <c r="H65" s="19"/>
      <c r="I65" s="19"/>
      <c r="J65" s="19"/>
      <c r="O65" s="35"/>
      <c r="P65" s="35"/>
      <c r="Q65" s="263"/>
      <c r="R65" s="269"/>
      <c r="S65" s="269"/>
      <c r="T65" s="270"/>
    </row>
    <row r="66" spans="1:20" ht="15.75" x14ac:dyDescent="0.25">
      <c r="G66" s="19"/>
      <c r="H66" s="19"/>
      <c r="I66" s="19"/>
      <c r="J66" s="19"/>
      <c r="O66" s="35"/>
      <c r="P66" s="35"/>
      <c r="Q66" s="263"/>
      <c r="R66" s="269"/>
      <c r="S66" s="269"/>
      <c r="T66" s="270"/>
    </row>
    <row r="67" spans="1:20" ht="15.75" x14ac:dyDescent="0.25">
      <c r="O67" s="35"/>
      <c r="P67" s="35"/>
      <c r="Q67" s="263"/>
      <c r="R67" s="269"/>
      <c r="S67" s="269"/>
      <c r="T67" s="270"/>
    </row>
    <row r="68" spans="1:20" ht="16.5" x14ac:dyDescent="0.3">
      <c r="A68" s="198" t="s">
        <v>59</v>
      </c>
      <c r="B68" s="198"/>
      <c r="C68" s="198"/>
      <c r="D68" s="198"/>
      <c r="O68" s="35"/>
      <c r="P68" s="35"/>
      <c r="Q68" s="263"/>
      <c r="R68" s="269"/>
      <c r="S68" s="271"/>
      <c r="T68" s="265"/>
    </row>
    <row r="69" spans="1:20" ht="15.75" x14ac:dyDescent="0.25">
      <c r="Q69" s="7"/>
      <c r="R69" s="44"/>
      <c r="S69" s="44"/>
      <c r="T69" s="96"/>
    </row>
    <row r="70" spans="1:20" x14ac:dyDescent="0.25">
      <c r="A70" s="293" t="s">
        <v>137</v>
      </c>
      <c r="B70" s="294"/>
      <c r="C70" s="295"/>
      <c r="D70" s="104">
        <v>0</v>
      </c>
    </row>
    <row r="71" spans="1:20" x14ac:dyDescent="0.25">
      <c r="A71" s="296" t="s">
        <v>60</v>
      </c>
      <c r="B71" s="297"/>
      <c r="C71" s="298"/>
      <c r="D71" s="105">
        <v>0.1</v>
      </c>
    </row>
    <row r="72" spans="1:20" x14ac:dyDescent="0.25">
      <c r="A72" s="293" t="s">
        <v>61</v>
      </c>
      <c r="B72" s="294"/>
      <c r="C72" s="295"/>
      <c r="D72" s="104">
        <v>0</v>
      </c>
    </row>
    <row r="73" spans="1:20" x14ac:dyDescent="0.25">
      <c r="A73" s="296" t="s">
        <v>62</v>
      </c>
      <c r="B73" s="297"/>
      <c r="C73" s="298"/>
      <c r="D73" s="105">
        <v>0</v>
      </c>
    </row>
    <row r="76" spans="1:20" ht="16.5" x14ac:dyDescent="0.3">
      <c r="E76" s="19"/>
      <c r="G76" s="19"/>
      <c r="H76" s="19"/>
      <c r="I76" s="84"/>
      <c r="J76" s="84"/>
    </row>
    <row r="77" spans="1:20" ht="16.5" x14ac:dyDescent="0.3">
      <c r="A77" s="291" t="s">
        <v>109</v>
      </c>
      <c r="B77" s="291"/>
      <c r="C77" s="291"/>
      <c r="D77" s="291"/>
      <c r="F77" s="197" t="s">
        <v>186</v>
      </c>
      <c r="G77" s="197"/>
      <c r="H77" s="197"/>
      <c r="I77" s="197"/>
      <c r="J77" s="19"/>
      <c r="K77" s="19"/>
      <c r="L77" s="19"/>
    </row>
    <row r="78" spans="1:20" ht="15.75" thickBot="1" x14ac:dyDescent="0.3">
      <c r="J78" s="19"/>
    </row>
    <row r="79" spans="1:20" x14ac:dyDescent="0.25">
      <c r="A79" s="134" t="s">
        <v>108</v>
      </c>
      <c r="B79" s="135">
        <f>E37+J37+O37+T37</f>
        <v>4178.994144597722</v>
      </c>
      <c r="C79" s="136" t="s">
        <v>48</v>
      </c>
      <c r="J79" s="19"/>
    </row>
    <row r="80" spans="1:20" x14ac:dyDescent="0.25">
      <c r="A80" s="137" t="s">
        <v>110</v>
      </c>
      <c r="B80" s="11">
        <f>VLOOKUP(TRUE,A62:F65,6,FALSE)</f>
        <v>1668.3333333333333</v>
      </c>
      <c r="C80" s="138" t="s">
        <v>48</v>
      </c>
      <c r="J80" s="19"/>
    </row>
    <row r="81" spans="1:10" ht="15.75" thickBot="1" x14ac:dyDescent="0.3">
      <c r="A81" s="139" t="s">
        <v>243</v>
      </c>
      <c r="B81" s="140">
        <f>B79-B80</f>
        <v>2510.6608112643889</v>
      </c>
      <c r="C81" s="141" t="s">
        <v>48</v>
      </c>
      <c r="D81" s="9"/>
      <c r="J81" s="19"/>
    </row>
    <row r="82" spans="1:10" x14ac:dyDescent="0.25">
      <c r="A82" s="134" t="s">
        <v>240</v>
      </c>
      <c r="B82" s="135">
        <f>E40+J40+O40+T40</f>
        <v>5153.5173555200035</v>
      </c>
      <c r="C82" s="136" t="s">
        <v>48</v>
      </c>
      <c r="F82" s="4" t="s">
        <v>108</v>
      </c>
      <c r="G82" s="10">
        <f>E38+J38+O38+T38</f>
        <v>51.686861111111099</v>
      </c>
      <c r="H82" s="10" t="s">
        <v>48</v>
      </c>
      <c r="J82" s="19"/>
    </row>
    <row r="83" spans="1:10" ht="16.5" x14ac:dyDescent="0.3">
      <c r="A83" s="137" t="s">
        <v>241</v>
      </c>
      <c r="B83" s="11">
        <f>VLOOKUP(TRUE,A62:G65,7,FALSE)</f>
        <v>1668.3333333333333</v>
      </c>
      <c r="C83" s="138" t="s">
        <v>48</v>
      </c>
      <c r="D83" s="26"/>
      <c r="F83" s="5" t="s">
        <v>110</v>
      </c>
      <c r="G83" s="11">
        <v>0</v>
      </c>
      <c r="H83" s="11" t="s">
        <v>48</v>
      </c>
      <c r="I83" s="14" t="s">
        <v>178</v>
      </c>
    </row>
    <row r="84" spans="1:10" ht="15.75" thickBot="1" x14ac:dyDescent="0.3">
      <c r="A84" s="139" t="s">
        <v>242</v>
      </c>
      <c r="B84" s="140">
        <f>B82-B83</f>
        <v>3485.1840221866705</v>
      </c>
      <c r="C84" s="141" t="s">
        <v>48</v>
      </c>
      <c r="F84" s="53" t="s">
        <v>185</v>
      </c>
      <c r="G84" s="241">
        <f>(G82-G83)/30</f>
        <v>1.72289537037037</v>
      </c>
      <c r="H84" s="54" t="s">
        <v>48</v>
      </c>
    </row>
    <row r="86" spans="1:10" x14ac:dyDescent="0.25">
      <c r="G86" s="66" t="s">
        <v>197</v>
      </c>
      <c r="H86" s="67">
        <f>G84*(1-D70)*(1-D71)*(1-D72)*(1-D73)</f>
        <v>1.550605833333333</v>
      </c>
      <c r="I86" s="7" t="s">
        <v>147</v>
      </c>
    </row>
    <row r="88" spans="1:10" x14ac:dyDescent="0.25">
      <c r="B88" s="66" t="s">
        <v>109</v>
      </c>
      <c r="C88" s="146">
        <f>MIN(B81,B84)</f>
        <v>2510.6608112643889</v>
      </c>
      <c r="D88" s="7" t="s">
        <v>147</v>
      </c>
      <c r="G88" s="27" t="s">
        <v>111</v>
      </c>
      <c r="H88" s="27">
        <f>40*H86</f>
        <v>62.024233333333321</v>
      </c>
    </row>
    <row r="90" spans="1:10" x14ac:dyDescent="0.25">
      <c r="B90" s="66" t="s">
        <v>146</v>
      </c>
      <c r="C90" s="67">
        <f>C88*(1-D70)*(1-D71)*(1-D72)*(1-D73)</f>
        <v>2259.5947301379501</v>
      </c>
      <c r="D90" s="7" t="s">
        <v>147</v>
      </c>
    </row>
    <row r="91" spans="1:10" x14ac:dyDescent="0.25">
      <c r="C91">
        <f>C90/C10</f>
        <v>248.30711320197256</v>
      </c>
      <c r="F91" s="364">
        <f>C90+H86</f>
        <v>2261.1453359712837</v>
      </c>
    </row>
    <row r="93" spans="1:10" x14ac:dyDescent="0.25">
      <c r="B93" s="27" t="s">
        <v>111</v>
      </c>
      <c r="C93" s="27">
        <f>40*C90</f>
        <v>90383.789205517998</v>
      </c>
    </row>
    <row r="97" spans="1:20" x14ac:dyDescent="0.25">
      <c r="D97" s="19"/>
      <c r="E97" s="19"/>
      <c r="I97" s="19"/>
      <c r="J97" s="19"/>
      <c r="N97" s="19"/>
      <c r="O97" s="19"/>
      <c r="T97" s="19"/>
    </row>
    <row r="98" spans="1:2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19"/>
      <c r="B103" s="19"/>
      <c r="C103" s="19"/>
      <c r="F103" s="19"/>
      <c r="G103" s="19"/>
      <c r="H103" s="19"/>
      <c r="K103" s="19"/>
      <c r="L103" s="19"/>
      <c r="M103" s="19"/>
      <c r="P103" s="19"/>
      <c r="Q103" s="19"/>
      <c r="R103" s="19"/>
      <c r="S103" s="19"/>
    </row>
    <row r="120" spans="3:3" x14ac:dyDescent="0.25">
      <c r="C120" t="s">
        <v>155</v>
      </c>
    </row>
  </sheetData>
  <mergeCells count="12">
    <mergeCell ref="A77:D77"/>
    <mergeCell ref="A70:C70"/>
    <mergeCell ref="A71:C71"/>
    <mergeCell ref="A72:C72"/>
    <mergeCell ref="A73:C73"/>
    <mergeCell ref="P47:T47"/>
    <mergeCell ref="K19:N19"/>
    <mergeCell ref="P19:T19"/>
    <mergeCell ref="A1:D1"/>
    <mergeCell ref="A19:D19"/>
    <mergeCell ref="F19:I19"/>
    <mergeCell ref="A13:D13"/>
  </mergeCells>
  <dataValidations disablePrompts="1" count="4">
    <dataValidation type="list" allowBlank="1" showInputMessage="1" showErrorMessage="1" sqref="D70 D72:D73">
      <formula1>Rab</formula1>
    </dataValidation>
    <dataValidation type="list" allowBlank="1" showInputMessage="1" showErrorMessage="1" sqref="B16 G16 L16 Q16 Q44">
      <formula1>ESS</formula1>
    </dataValidation>
    <dataValidation type="list" allowBlank="1" showInputMessage="1" showErrorMessage="1" sqref="M16 R44">
      <formula1>CF</formula1>
    </dataValidation>
    <dataValidation type="list" allowBlank="1" showInputMessage="1" showErrorMessage="1" sqref="H16">
      <formula1>$A$106:$A$111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Check Box 1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19050</xdr:rowOff>
                  </from>
                  <to>
                    <xdr:col>0</xdr:col>
                    <xdr:colOff>971550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5" name="Check Box 2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3" r:id="rId6" name="Check Box 3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4" r:id="rId7" name="Check Box 4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5">
    <tablePart r:id="rId8"/>
    <tablePart r:id="rId9"/>
    <tablePart r:id="rId10"/>
    <tablePart r:id="rId11"/>
    <tablePart r:id="rId12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[1]Inputs!#REF!</xm:f>
          </x14:formula1>
          <xm:sqref>R16</xm:sqref>
        </x14:dataValidation>
        <x14:dataValidation type="list" allowBlank="1" showInputMessage="1" showErrorMessage="1">
          <x14:formula1>
            <xm:f>Inputs!$A$90:$A$95</xm:f>
          </x14:formula1>
          <xm:sqref>C16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>
    <tabColor theme="8" tint="0.59999389629810485"/>
  </sheetPr>
  <dimension ref="A1:T121"/>
  <sheetViews>
    <sheetView showGridLines="0" view="pageBreakPreview" topLeftCell="A52" zoomScale="70" zoomScaleNormal="55" zoomScaleSheetLayoutView="70" workbookViewId="0">
      <selection activeCell="K94" sqref="K94"/>
    </sheetView>
  </sheetViews>
  <sheetFormatPr baseColWidth="10" defaultRowHeight="15" x14ac:dyDescent="0.25"/>
  <cols>
    <col min="1" max="1" width="14.7109375" bestFit="1" customWidth="1"/>
    <col min="2" max="2" width="47.140625" bestFit="1" customWidth="1"/>
    <col min="3" max="3" width="20.7109375" bestFit="1" customWidth="1"/>
    <col min="4" max="4" width="16.5703125" customWidth="1"/>
    <col min="5" max="5" width="21" bestFit="1" customWidth="1"/>
    <col min="6" max="6" width="19.85546875" customWidth="1"/>
    <col min="7" max="7" width="43.85546875" bestFit="1" customWidth="1"/>
    <col min="9" max="9" width="11.5703125" bestFit="1" customWidth="1"/>
    <col min="11" max="11" width="20.5703125" customWidth="1"/>
    <col min="12" max="12" width="43.85546875" bestFit="1" customWidth="1"/>
    <col min="13" max="13" width="29.5703125" bestFit="1" customWidth="1"/>
    <col min="16" max="16" width="15.5703125" customWidth="1"/>
    <col min="17" max="17" width="43.85546875" bestFit="1" customWidth="1"/>
  </cols>
  <sheetData>
    <row r="1" spans="1:19" s="60" customFormat="1" ht="16.5" x14ac:dyDescent="0.3">
      <c r="A1" s="291" t="s">
        <v>112</v>
      </c>
      <c r="B1" s="291"/>
      <c r="C1" s="291"/>
      <c r="D1" s="291"/>
      <c r="E1" s="24"/>
      <c r="F1" s="24"/>
      <c r="G1" s="24"/>
      <c r="H1" s="24"/>
      <c r="I1" s="24"/>
      <c r="J1" s="24"/>
    </row>
    <row r="2" spans="1:19" ht="16.5" x14ac:dyDescent="0.3">
      <c r="D2" s="84"/>
      <c r="F2" s="57"/>
      <c r="G2" s="56"/>
      <c r="H2" s="25"/>
      <c r="I2" s="25"/>
      <c r="J2" s="25"/>
    </row>
    <row r="3" spans="1:19" ht="18" x14ac:dyDescent="0.25">
      <c r="A3" s="102" t="s">
        <v>79</v>
      </c>
      <c r="B3" s="103"/>
      <c r="G3" s="59" t="s">
        <v>145</v>
      </c>
      <c r="H3" s="65"/>
    </row>
    <row r="4" spans="1:19" ht="18" x14ac:dyDescent="0.25">
      <c r="A4" s="103"/>
      <c r="B4" s="102" t="s">
        <v>42</v>
      </c>
      <c r="G4" s="58" t="s">
        <v>19</v>
      </c>
      <c r="H4" s="58">
        <v>1</v>
      </c>
    </row>
    <row r="5" spans="1:19" ht="18" x14ac:dyDescent="0.25">
      <c r="A5" s="103"/>
      <c r="B5" s="102" t="s">
        <v>43</v>
      </c>
      <c r="G5" s="58" t="s">
        <v>144</v>
      </c>
      <c r="H5" s="58">
        <v>3</v>
      </c>
    </row>
    <row r="6" spans="1:19" ht="18" x14ac:dyDescent="0.25">
      <c r="A6" s="103"/>
      <c r="B6" s="102" t="s">
        <v>77</v>
      </c>
      <c r="G6" s="58" t="s">
        <v>22</v>
      </c>
      <c r="H6" s="58">
        <v>3</v>
      </c>
    </row>
    <row r="7" spans="1:19" ht="18" x14ac:dyDescent="0.25">
      <c r="A7" s="103"/>
      <c r="B7" s="102" t="s">
        <v>80</v>
      </c>
      <c r="G7" s="58" t="s">
        <v>21</v>
      </c>
      <c r="H7" s="58">
        <v>3</v>
      </c>
    </row>
    <row r="8" spans="1:19" ht="16.5" x14ac:dyDescent="0.3">
      <c r="B8" s="48"/>
      <c r="C8" s="84"/>
      <c r="D8" s="84"/>
      <c r="G8" s="58" t="s">
        <v>5</v>
      </c>
      <c r="H8" s="58">
        <v>5</v>
      </c>
    </row>
    <row r="9" spans="1:19" ht="16.5" x14ac:dyDescent="0.3">
      <c r="B9" s="48"/>
      <c r="C9" s="84"/>
      <c r="D9" s="84"/>
      <c r="G9" s="58" t="s">
        <v>58</v>
      </c>
      <c r="H9" s="58">
        <v>6</v>
      </c>
    </row>
    <row r="10" spans="1:19" ht="16.5" x14ac:dyDescent="0.3">
      <c r="B10" s="101" t="s">
        <v>87</v>
      </c>
      <c r="C10" s="175">
        <f>Répartition!K22</f>
        <v>1.62</v>
      </c>
      <c r="D10" s="84" t="s">
        <v>38</v>
      </c>
      <c r="G10" s="58" t="s">
        <v>56</v>
      </c>
      <c r="H10" s="58">
        <v>3</v>
      </c>
    </row>
    <row r="11" spans="1:19" ht="16.5" x14ac:dyDescent="0.3">
      <c r="B11" s="214" t="s">
        <v>333</v>
      </c>
      <c r="C11" s="175">
        <f>Répartition!K23</f>
        <v>157.04225352112678</v>
      </c>
      <c r="D11" s="84" t="s">
        <v>315</v>
      </c>
      <c r="G11" s="58"/>
      <c r="H11" s="58"/>
    </row>
    <row r="12" spans="1:19" ht="16.5" x14ac:dyDescent="0.3">
      <c r="B12" s="212" t="s">
        <v>332</v>
      </c>
      <c r="C12" s="213">
        <f>Répartition!K24</f>
        <v>1600</v>
      </c>
      <c r="D12" s="84"/>
      <c r="G12" s="58"/>
      <c r="H12" s="58"/>
    </row>
    <row r="13" spans="1:19" ht="16.5" x14ac:dyDescent="0.3">
      <c r="B13" s="48"/>
      <c r="C13" s="84"/>
      <c r="D13" s="84"/>
      <c r="F13" s="57"/>
      <c r="G13" s="56"/>
      <c r="H13" s="25"/>
      <c r="I13" s="25"/>
      <c r="J13" s="25"/>
    </row>
    <row r="14" spans="1:19" s="60" customFormat="1" ht="16.5" x14ac:dyDescent="0.3">
      <c r="A14" s="291" t="s">
        <v>177</v>
      </c>
      <c r="B14" s="291"/>
      <c r="C14" s="291"/>
      <c r="D14" s="291"/>
      <c r="E14" s="24"/>
      <c r="F14" s="24"/>
      <c r="G14" s="24"/>
      <c r="H14" s="24"/>
      <c r="I14" s="24"/>
      <c r="J14" s="24"/>
    </row>
    <row r="15" spans="1:19" ht="16.5" x14ac:dyDescent="0.3">
      <c r="B15" s="48"/>
      <c r="C15" s="84"/>
      <c r="D15" s="84"/>
      <c r="F15" s="57"/>
      <c r="G15" s="56"/>
      <c r="H15" s="25"/>
      <c r="I15" s="25"/>
      <c r="J15" s="25"/>
    </row>
    <row r="16" spans="1:19" x14ac:dyDescent="0.25">
      <c r="C16" s="8" t="s">
        <v>67</v>
      </c>
      <c r="H16" s="8" t="s">
        <v>67</v>
      </c>
      <c r="J16" s="35"/>
      <c r="M16" s="8"/>
      <c r="R16" s="8"/>
      <c r="S16" s="8"/>
    </row>
    <row r="17" spans="1:20" x14ac:dyDescent="0.25">
      <c r="A17" s="8" t="s">
        <v>70</v>
      </c>
      <c r="B17" s="69" t="s">
        <v>135</v>
      </c>
      <c r="C17" s="70">
        <v>2</v>
      </c>
      <c r="F17" s="8" t="s">
        <v>113</v>
      </c>
      <c r="G17" s="69" t="s">
        <v>247</v>
      </c>
      <c r="H17" s="70"/>
      <c r="J17" s="35"/>
      <c r="K17" s="263"/>
      <c r="L17" s="263"/>
      <c r="M17" s="266"/>
      <c r="N17" s="35"/>
      <c r="O17" s="35"/>
      <c r="P17" s="263"/>
      <c r="Q17" s="263"/>
      <c r="R17" s="266"/>
      <c r="S17" s="35"/>
      <c r="T17" s="35"/>
    </row>
    <row r="18" spans="1:20" x14ac:dyDescent="0.25">
      <c r="A18" s="7" t="s">
        <v>37</v>
      </c>
      <c r="B18" s="174">
        <f>Répartition!L28</f>
        <v>0.2</v>
      </c>
      <c r="F18" s="7" t="s">
        <v>37</v>
      </c>
      <c r="G18" s="69">
        <f>Répartition!L27</f>
        <v>1.42</v>
      </c>
      <c r="J18" s="35"/>
      <c r="K18" s="263"/>
      <c r="L18" s="263"/>
      <c r="M18" s="35"/>
      <c r="N18" s="35"/>
      <c r="O18" s="35"/>
      <c r="P18" s="263"/>
      <c r="Q18" s="263"/>
      <c r="R18" s="35"/>
      <c r="S18" s="35"/>
      <c r="T18" s="35"/>
    </row>
    <row r="19" spans="1:20" x14ac:dyDescent="0.25"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16.5" x14ac:dyDescent="0.3">
      <c r="A20" s="292" t="s">
        <v>41</v>
      </c>
      <c r="B20" s="292"/>
      <c r="C20" s="292"/>
      <c r="D20" s="292"/>
      <c r="F20" s="292" t="s">
        <v>41</v>
      </c>
      <c r="G20" s="292"/>
      <c r="H20" s="292"/>
      <c r="I20" s="292"/>
      <c r="J20" s="35"/>
      <c r="K20" s="290"/>
      <c r="L20" s="290"/>
      <c r="M20" s="290"/>
      <c r="N20" s="290"/>
      <c r="O20" s="35"/>
      <c r="P20" s="290"/>
      <c r="Q20" s="290"/>
      <c r="R20" s="290"/>
      <c r="S20" s="290"/>
      <c r="T20" s="290"/>
    </row>
    <row r="21" spans="1:20" x14ac:dyDescent="0.25"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0" x14ac:dyDescent="0.25">
      <c r="A22" t="s">
        <v>40</v>
      </c>
      <c r="B22" t="s">
        <v>39</v>
      </c>
      <c r="C22" t="s">
        <v>38</v>
      </c>
      <c r="F22" t="s">
        <v>40</v>
      </c>
      <c r="G22" t="s">
        <v>39</v>
      </c>
      <c r="H22" t="s">
        <v>38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20" x14ac:dyDescent="0.25">
      <c r="A23" t="s">
        <v>8</v>
      </c>
      <c r="B23" t="s">
        <v>172</v>
      </c>
      <c r="C23" s="9">
        <f>INDEX(Vt,MATCH(B17,ESS,0),MATCH(C17,CF,0))*C12</f>
        <v>121.41839852955252</v>
      </c>
      <c r="F23" t="s">
        <v>8</v>
      </c>
      <c r="G23" t="s">
        <v>34</v>
      </c>
      <c r="H23" s="9">
        <f>'Inputs - Tables de production'!AN7</f>
        <v>222.44123947728625</v>
      </c>
      <c r="J23" s="35"/>
      <c r="K23" s="35"/>
      <c r="L23" s="35"/>
      <c r="M23" s="79"/>
      <c r="N23" s="35"/>
      <c r="O23" s="35"/>
      <c r="P23" s="35"/>
      <c r="Q23" s="35"/>
      <c r="R23" s="79"/>
      <c r="S23" s="79"/>
      <c r="T23" s="35"/>
    </row>
    <row r="24" spans="1:20" x14ac:dyDescent="0.25">
      <c r="A24" t="s">
        <v>171</v>
      </c>
      <c r="B24" t="s">
        <v>173</v>
      </c>
      <c r="C24" s="9">
        <f>INDEX(Vbi,MATCH(B17,ESS,0),MATCH(C17,CF,0))</f>
        <v>0</v>
      </c>
      <c r="F24" t="s">
        <v>171</v>
      </c>
      <c r="G24" t="s">
        <v>173</v>
      </c>
      <c r="H24" s="9">
        <v>0</v>
      </c>
      <c r="J24" s="35"/>
      <c r="K24" s="35"/>
      <c r="L24" s="35"/>
      <c r="M24" s="79"/>
      <c r="N24" s="35"/>
      <c r="O24" s="35"/>
      <c r="P24" s="35"/>
      <c r="Q24" s="35"/>
      <c r="R24" s="79"/>
      <c r="S24" s="79"/>
      <c r="T24" s="35"/>
    </row>
    <row r="25" spans="1:20" x14ac:dyDescent="0.25">
      <c r="A25" t="s">
        <v>23</v>
      </c>
      <c r="B25" t="s">
        <v>24</v>
      </c>
      <c r="C25" s="9">
        <f>C23*VLOOKUP(B17,FEB[],3,0)*C32</f>
        <v>70.422671147140463</v>
      </c>
      <c r="F25" t="s">
        <v>23</v>
      </c>
      <c r="G25" t="s">
        <v>24</v>
      </c>
      <c r="H25" s="9">
        <f>H23*VLOOKUP(G17,FEB[],3,0)*H32</f>
        <v>121.45291675459829</v>
      </c>
      <c r="J25" s="35"/>
      <c r="K25" s="35"/>
      <c r="L25" s="35"/>
      <c r="M25" s="79"/>
      <c r="N25" s="35"/>
      <c r="O25" s="35"/>
      <c r="P25" s="35"/>
      <c r="Q25" s="35"/>
      <c r="R25" s="79"/>
      <c r="S25" s="79"/>
      <c r="T25" s="35"/>
    </row>
    <row r="26" spans="1:20" x14ac:dyDescent="0.25">
      <c r="A26" t="s">
        <v>25</v>
      </c>
      <c r="B26" t="s">
        <v>27</v>
      </c>
      <c r="C26" s="9">
        <f>EXP(-1.0587+(0.8836*LN(C25))+0.284)</f>
        <v>19.778384910047734</v>
      </c>
      <c r="F26" t="s">
        <v>25</v>
      </c>
      <c r="G26" t="s">
        <v>27</v>
      </c>
      <c r="H26" s="9">
        <f>EXP(-1.0587+(0.8836*LN(H25))+0.284)</f>
        <v>32.013630547613211</v>
      </c>
      <c r="J26" s="35"/>
      <c r="K26" s="35"/>
      <c r="L26" s="35"/>
      <c r="M26" s="79"/>
      <c r="N26" s="35"/>
      <c r="O26" s="35"/>
      <c r="P26" s="35"/>
      <c r="Q26" s="35"/>
      <c r="R26" s="79"/>
      <c r="S26" s="79"/>
      <c r="T26" s="35"/>
    </row>
    <row r="27" spans="1:20" x14ac:dyDescent="0.25">
      <c r="A27" t="s">
        <v>26</v>
      </c>
      <c r="B27" t="s">
        <v>188</v>
      </c>
      <c r="C27" s="9">
        <f>VLOOKUP(TRUE,A63:D66,3,FALSE)+(70-VLOOKUP(TRUE,A63:D66,3,FALSE))*(1-EXP(-0.0175*30))</f>
        <v>70</v>
      </c>
      <c r="F27" t="s">
        <v>26</v>
      </c>
      <c r="G27" t="s">
        <v>188</v>
      </c>
      <c r="H27" s="9">
        <f>VLOOKUP(TRUE,$A$63:$D$66,3,FALSE)+(70-VLOOKUP(TRUE,$A$63:$D$66,3,FALSE))*(1-EXP(-0.0175*30))</f>
        <v>70</v>
      </c>
      <c r="J27" s="35"/>
      <c r="K27" s="35"/>
      <c r="L27" s="35"/>
      <c r="M27" s="79"/>
      <c r="N27" s="35"/>
      <c r="O27" s="35"/>
      <c r="P27" s="35"/>
      <c r="Q27" s="35"/>
      <c r="R27" s="79"/>
      <c r="S27" s="79"/>
      <c r="T27" s="35"/>
    </row>
    <row r="28" spans="1:20" x14ac:dyDescent="0.25">
      <c r="A28" t="s">
        <v>28</v>
      </c>
      <c r="B28" t="s">
        <v>32</v>
      </c>
      <c r="C28" s="9">
        <v>10</v>
      </c>
      <c r="F28" t="s">
        <v>28</v>
      </c>
      <c r="G28" t="s">
        <v>32</v>
      </c>
      <c r="H28" s="9">
        <v>10</v>
      </c>
      <c r="J28" s="35"/>
      <c r="K28" s="35"/>
      <c r="L28" s="35"/>
      <c r="M28" s="79"/>
      <c r="N28" s="35"/>
      <c r="O28" s="35"/>
      <c r="P28" s="35"/>
      <c r="Q28" s="35"/>
      <c r="R28" s="79"/>
      <c r="S28" s="79"/>
      <c r="T28" s="35"/>
    </row>
    <row r="29" spans="1:20" x14ac:dyDescent="0.25">
      <c r="A29" t="s">
        <v>29</v>
      </c>
      <c r="B29" t="s">
        <v>31</v>
      </c>
      <c r="C29" s="9">
        <v>0</v>
      </c>
      <c r="D29" s="9"/>
      <c r="F29" t="s">
        <v>29</v>
      </c>
      <c r="G29" t="s">
        <v>31</v>
      </c>
      <c r="H29" s="9">
        <v>0</v>
      </c>
      <c r="I29" s="9"/>
      <c r="J29" s="35"/>
      <c r="K29" s="35"/>
      <c r="L29" s="35"/>
      <c r="M29" s="79"/>
      <c r="N29" s="79"/>
      <c r="O29" s="35"/>
      <c r="P29" s="35"/>
      <c r="Q29" s="35"/>
      <c r="R29" s="79"/>
      <c r="S29" s="79"/>
      <c r="T29" s="79"/>
    </row>
    <row r="30" spans="1:20" x14ac:dyDescent="0.25">
      <c r="C30" s="9"/>
      <c r="H30" s="9"/>
      <c r="J30" s="35"/>
      <c r="K30" s="35"/>
      <c r="L30" s="35"/>
      <c r="M30" s="79"/>
      <c r="N30" s="35"/>
      <c r="O30" s="35"/>
      <c r="P30" s="35"/>
      <c r="Q30" s="35"/>
      <c r="R30" s="79"/>
      <c r="S30" s="79"/>
      <c r="T30" s="35"/>
    </row>
    <row r="31" spans="1:20" x14ac:dyDescent="0.25">
      <c r="A31" s="4" t="s">
        <v>30</v>
      </c>
      <c r="B31" s="4" t="s">
        <v>33</v>
      </c>
      <c r="C31" s="42">
        <v>0.47499999999999998</v>
      </c>
      <c r="F31" s="4" t="s">
        <v>30</v>
      </c>
      <c r="G31" s="4" t="s">
        <v>33</v>
      </c>
      <c r="H31" s="42">
        <v>0.47499999999999998</v>
      </c>
      <c r="J31" s="35"/>
      <c r="K31" s="90"/>
      <c r="L31" s="90"/>
      <c r="M31" s="95"/>
      <c r="N31" s="35"/>
      <c r="O31" s="35"/>
      <c r="P31" s="90"/>
      <c r="Q31" s="90"/>
      <c r="R31" s="95"/>
      <c r="S31" s="95"/>
      <c r="T31" s="35"/>
    </row>
    <row r="32" spans="1:20" x14ac:dyDescent="0.25">
      <c r="A32" s="5" t="s">
        <v>35</v>
      </c>
      <c r="B32" s="5" t="s">
        <v>76</v>
      </c>
      <c r="C32" s="13">
        <f>VLOOKUP(B17,infradensite[],2,FALSE)</f>
        <v>0.57999999999999996</v>
      </c>
      <c r="F32" s="5" t="s">
        <v>35</v>
      </c>
      <c r="G32" s="5" t="s">
        <v>76</v>
      </c>
      <c r="H32" s="13">
        <f>VLOOKUP(G17,infradensite[],2,FALSE)</f>
        <v>0.35</v>
      </c>
      <c r="J32" s="35"/>
      <c r="K32" s="90"/>
      <c r="L32" s="90"/>
      <c r="M32" s="267"/>
      <c r="N32" s="35"/>
      <c r="O32" s="35"/>
      <c r="P32" s="90"/>
      <c r="Q32" s="90"/>
      <c r="R32" s="267"/>
      <c r="S32" s="267"/>
      <c r="T32" s="35"/>
    </row>
    <row r="33" spans="1:20" x14ac:dyDescent="0.25">
      <c r="A33" s="46"/>
      <c r="B33" s="46"/>
      <c r="C33" s="47"/>
      <c r="F33" s="46"/>
      <c r="G33" s="46"/>
      <c r="H33" s="47"/>
      <c r="J33" s="35"/>
      <c r="K33" s="90"/>
      <c r="L33" s="90"/>
      <c r="M33" s="267"/>
      <c r="N33" s="35"/>
      <c r="O33" s="35"/>
      <c r="P33" s="90"/>
      <c r="Q33" s="90"/>
      <c r="R33" s="267"/>
      <c r="S33" s="267"/>
      <c r="T33" s="35"/>
    </row>
    <row r="34" spans="1:20" x14ac:dyDescent="0.25">
      <c r="A34" s="46"/>
      <c r="B34" s="46"/>
      <c r="C34" s="47"/>
      <c r="F34" s="46"/>
      <c r="G34" s="46"/>
      <c r="H34" s="47"/>
      <c r="J34" s="35"/>
      <c r="K34" s="90"/>
      <c r="L34" s="90"/>
      <c r="M34" s="267"/>
      <c r="N34" s="35"/>
      <c r="O34" s="35"/>
      <c r="P34" s="90"/>
      <c r="Q34" s="90"/>
      <c r="R34" s="267"/>
      <c r="S34" s="267"/>
      <c r="T34" s="35"/>
    </row>
    <row r="35" spans="1:20" x14ac:dyDescent="0.25">
      <c r="B35" s="14" t="s">
        <v>81</v>
      </c>
      <c r="C35" s="45">
        <f>((C25+C26)*Tc+C27+C28+C29)</f>
        <v>122.8455016271644</v>
      </c>
      <c r="D35" t="s">
        <v>84</v>
      </c>
      <c r="G35" s="14" t="s">
        <v>116</v>
      </c>
      <c r="H35" s="45">
        <f>((H25+H26)*Tc+H27+H28+H29)</f>
        <v>152.89660996855045</v>
      </c>
      <c r="I35" t="s">
        <v>84</v>
      </c>
      <c r="J35" s="35"/>
      <c r="K35" s="35"/>
      <c r="L35" s="219"/>
      <c r="M35" s="268"/>
      <c r="N35" s="35"/>
      <c r="O35" s="35"/>
      <c r="P35" s="35"/>
      <c r="Q35" s="219"/>
      <c r="R35" s="268"/>
      <c r="S35" s="35"/>
      <c r="T35" s="35"/>
    </row>
    <row r="36" spans="1:20" x14ac:dyDescent="0.25">
      <c r="B36" s="43" t="s">
        <v>83</v>
      </c>
      <c r="C36" s="45">
        <f>((C25+C26)*Tc+C27+C28+C29)*(44/12)</f>
        <v>450.43350596626942</v>
      </c>
      <c r="D36" t="s">
        <v>85</v>
      </c>
      <c r="G36" s="43" t="s">
        <v>117</v>
      </c>
      <c r="H36" s="45">
        <f>((H25+H26)*Tc+H27+H28+H29)*(44/12)</f>
        <v>560.62090321801827</v>
      </c>
      <c r="I36" t="s">
        <v>85</v>
      </c>
      <c r="J36" s="35"/>
      <c r="K36" s="35"/>
      <c r="L36" s="90"/>
      <c r="M36" s="268"/>
      <c r="N36" s="35"/>
      <c r="O36" s="35"/>
      <c r="P36" s="35"/>
      <c r="Q36" s="90"/>
      <c r="R36" s="268"/>
      <c r="S36" s="35"/>
      <c r="T36" s="35"/>
    </row>
    <row r="37" spans="1:20" x14ac:dyDescent="0.25">
      <c r="B37" s="90" t="s">
        <v>176</v>
      </c>
      <c r="C37" s="45">
        <f>C24*C32*Tc*(44/12)</f>
        <v>0</v>
      </c>
      <c r="D37" t="s">
        <v>85</v>
      </c>
      <c r="G37" s="7" t="s">
        <v>118</v>
      </c>
      <c r="H37" s="44">
        <f>H36*G18</f>
        <v>796.08168256958595</v>
      </c>
      <c r="I37" s="44" t="s">
        <v>86</v>
      </c>
      <c r="J37" s="35"/>
      <c r="K37" s="35"/>
      <c r="L37" s="90"/>
      <c r="M37" s="268"/>
      <c r="N37" s="35"/>
      <c r="O37" s="35"/>
      <c r="P37" s="35"/>
      <c r="Q37" s="90"/>
      <c r="R37" s="268"/>
      <c r="S37" s="35"/>
      <c r="T37" s="35"/>
    </row>
    <row r="38" spans="1:20" ht="15.75" x14ac:dyDescent="0.25">
      <c r="B38" s="7" t="s">
        <v>82</v>
      </c>
      <c r="C38" s="44">
        <f>C36*B18</f>
        <v>90.086701193253887</v>
      </c>
      <c r="D38" s="44" t="s">
        <v>86</v>
      </c>
      <c r="E38" s="96">
        <f>IF(ISNA(C38),"0",C38)</f>
        <v>90.086701193253887</v>
      </c>
      <c r="J38" s="96">
        <f>IF(ISNA(H37),"0",H37)</f>
        <v>796.08168256958595</v>
      </c>
      <c r="K38" s="35"/>
      <c r="L38" s="263"/>
      <c r="M38" s="269"/>
      <c r="N38" s="269"/>
      <c r="O38" s="270"/>
      <c r="P38" s="35"/>
      <c r="Q38" s="263"/>
      <c r="R38" s="269"/>
      <c r="S38" s="269"/>
      <c r="T38" s="270"/>
    </row>
    <row r="39" spans="1:20" ht="15.75" x14ac:dyDescent="0.25">
      <c r="B39" s="7" t="s">
        <v>174</v>
      </c>
      <c r="C39" s="44">
        <f>C37*B18</f>
        <v>0</v>
      </c>
      <c r="D39" s="44" t="s">
        <v>175</v>
      </c>
      <c r="E39" s="96">
        <f>IF(ISNA(C39),"0",C39)</f>
        <v>0</v>
      </c>
      <c r="F39" s="28"/>
      <c r="G39" s="7"/>
      <c r="H39" s="44"/>
      <c r="I39" s="44"/>
      <c r="J39" s="96">
        <f>IF(ISNA(H39),"0",H39)</f>
        <v>0</v>
      </c>
      <c r="K39" s="35"/>
      <c r="L39" s="263"/>
      <c r="M39" s="269"/>
      <c r="N39" s="269"/>
      <c r="O39" s="270"/>
      <c r="P39" s="35"/>
      <c r="Q39" s="263"/>
      <c r="R39" s="269"/>
      <c r="S39" s="269"/>
      <c r="T39" s="270"/>
    </row>
    <row r="40" spans="1:20" ht="16.5" thickBot="1" x14ac:dyDescent="0.3">
      <c r="B40" s="7"/>
      <c r="C40" s="44"/>
      <c r="D40" s="44"/>
      <c r="E40" s="96"/>
      <c r="F40" s="28"/>
      <c r="G40" s="7"/>
      <c r="H40" s="44"/>
      <c r="I40" s="44"/>
      <c r="J40" s="96"/>
      <c r="K40" s="35"/>
      <c r="L40" s="263"/>
      <c r="M40" s="269"/>
      <c r="N40" s="269"/>
      <c r="O40" s="270"/>
      <c r="P40" s="35"/>
      <c r="Q40" s="263"/>
      <c r="R40" s="269"/>
      <c r="S40" s="269"/>
      <c r="T40" s="270"/>
    </row>
    <row r="41" spans="1:20" ht="15.75" thickBot="1" x14ac:dyDescent="0.3">
      <c r="B41" s="143" t="s">
        <v>245</v>
      </c>
      <c r="C41" s="144">
        <f>INDEX(SMLT,MATCH(B17,ESS,0),MATCH(C17,CF,0))*B18</f>
        <v>105.31314384211083</v>
      </c>
      <c r="D41" s="145" t="s">
        <v>246</v>
      </c>
      <c r="E41" s="142">
        <f>IF(ISNA(C41),"0",C41)</f>
        <v>105.31314384211083</v>
      </c>
      <c r="F41" s="28"/>
      <c r="G41" s="143" t="s">
        <v>245</v>
      </c>
      <c r="H41" s="144">
        <f>Inputs!C14*'4. CONUAU'!G18</f>
        <v>590.22530559802431</v>
      </c>
      <c r="I41" s="145" t="s">
        <v>246</v>
      </c>
      <c r="J41" s="142">
        <f>IF(ISNA(H41),"0",H41)</f>
        <v>590.22530559802431</v>
      </c>
      <c r="K41" s="35"/>
      <c r="L41" s="263"/>
      <c r="M41" s="269"/>
      <c r="N41" s="271"/>
      <c r="O41" s="265"/>
      <c r="P41" s="35"/>
      <c r="Q41" s="263"/>
      <c r="R41" s="269"/>
      <c r="S41" s="271"/>
      <c r="T41" s="265"/>
    </row>
    <row r="42" spans="1:20" ht="15.75" x14ac:dyDescent="0.25">
      <c r="B42" s="7"/>
      <c r="C42" s="44"/>
      <c r="D42" s="44"/>
      <c r="E42" s="96"/>
      <c r="F42" s="28"/>
      <c r="G42" s="7"/>
      <c r="H42" s="44"/>
      <c r="I42" s="44"/>
      <c r="J42" s="96"/>
      <c r="K42" s="35"/>
      <c r="L42" s="263"/>
      <c r="M42" s="269"/>
      <c r="N42" s="269"/>
      <c r="O42" s="270"/>
      <c r="P42" s="35"/>
      <c r="Q42" s="263"/>
      <c r="R42" s="269"/>
      <c r="S42" s="269"/>
      <c r="T42" s="270"/>
    </row>
    <row r="43" spans="1:20" ht="16.5" x14ac:dyDescent="0.3">
      <c r="A43" s="198" t="s">
        <v>153</v>
      </c>
      <c r="B43" s="198"/>
      <c r="C43" s="198"/>
      <c r="D43" s="198"/>
      <c r="E43" s="19"/>
      <c r="F43" s="26"/>
      <c r="G43" s="26"/>
      <c r="H43" s="26"/>
      <c r="I43" s="19"/>
      <c r="J43" s="19"/>
      <c r="K43" s="35"/>
      <c r="L43" s="35"/>
      <c r="M43" s="35"/>
      <c r="N43" s="35"/>
      <c r="O43" s="35"/>
      <c r="P43" s="35"/>
      <c r="Q43" s="35"/>
      <c r="R43" s="35"/>
      <c r="S43" s="35"/>
      <c r="T43" s="35"/>
    </row>
    <row r="44" spans="1:20" x14ac:dyDescent="0.25">
      <c r="E44" s="19"/>
      <c r="F44" s="19"/>
      <c r="G44" s="19"/>
      <c r="H44" s="19"/>
      <c r="I44" s="19"/>
      <c r="J44" s="19"/>
      <c r="K44" s="19"/>
      <c r="L44" s="19"/>
    </row>
    <row r="45" spans="1:20" x14ac:dyDescent="0.25">
      <c r="A45" t="s">
        <v>40</v>
      </c>
      <c r="B45" t="s">
        <v>39</v>
      </c>
      <c r="C45" t="s">
        <v>38</v>
      </c>
      <c r="D45" s="19"/>
      <c r="E45" s="19"/>
      <c r="F45" s="29"/>
      <c r="G45" s="19"/>
      <c r="H45" s="19"/>
      <c r="I45" s="19"/>
      <c r="J45" s="19"/>
      <c r="K45" s="19"/>
    </row>
    <row r="46" spans="1:20" x14ac:dyDescent="0.25">
      <c r="A46" t="s">
        <v>8</v>
      </c>
      <c r="B46" t="s">
        <v>34</v>
      </c>
      <c r="C46" s="9">
        <v>30</v>
      </c>
      <c r="D46" s="19"/>
      <c r="E46" s="19"/>
      <c r="F46" s="30"/>
      <c r="G46" s="19"/>
      <c r="H46" s="19"/>
      <c r="I46" s="19"/>
      <c r="J46" s="19"/>
      <c r="K46" s="19"/>
    </row>
    <row r="47" spans="1:20" x14ac:dyDescent="0.25">
      <c r="A47" t="s">
        <v>23</v>
      </c>
      <c r="B47" t="s">
        <v>24</v>
      </c>
      <c r="C47" s="9">
        <f>C46*C54</f>
        <v>15</v>
      </c>
      <c r="D47" s="19"/>
      <c r="E47" s="83"/>
      <c r="F47" s="30"/>
      <c r="G47" s="19"/>
      <c r="H47" s="19"/>
      <c r="I47" s="19"/>
      <c r="J47" s="19"/>
      <c r="K47" s="19"/>
    </row>
    <row r="48" spans="1:20" x14ac:dyDescent="0.25">
      <c r="A48" t="s">
        <v>25</v>
      </c>
      <c r="B48" t="s">
        <v>27</v>
      </c>
      <c r="C48" s="9">
        <f>EXP(-1.0587+0.8836*LN(C47)+0.284)</f>
        <v>5.0436657935706641</v>
      </c>
      <c r="D48" s="19"/>
      <c r="E48" s="19"/>
      <c r="F48" s="83"/>
      <c r="G48" s="83"/>
      <c r="H48" s="31"/>
      <c r="I48" s="19"/>
      <c r="J48" s="19"/>
      <c r="K48" s="19"/>
    </row>
    <row r="49" spans="1:19" x14ac:dyDescent="0.25">
      <c r="A49" t="s">
        <v>26</v>
      </c>
      <c r="B49" t="s">
        <v>188</v>
      </c>
      <c r="C49" s="9">
        <v>70</v>
      </c>
      <c r="D49" s="19"/>
      <c r="E49" s="19"/>
      <c r="F49" s="19"/>
      <c r="G49" s="19"/>
      <c r="H49" s="19"/>
      <c r="I49" s="19"/>
      <c r="J49" s="19"/>
      <c r="K49" s="19"/>
    </row>
    <row r="50" spans="1:19" x14ac:dyDescent="0.25">
      <c r="A50" t="s">
        <v>28</v>
      </c>
      <c r="B50" t="s">
        <v>32</v>
      </c>
      <c r="C50" s="9">
        <v>10</v>
      </c>
      <c r="D50" s="19"/>
      <c r="E50" s="19"/>
      <c r="F50" s="19"/>
      <c r="G50" s="19"/>
      <c r="H50" s="19"/>
      <c r="I50" s="19"/>
      <c r="J50" s="19"/>
      <c r="K50" s="19"/>
    </row>
    <row r="51" spans="1:19" x14ac:dyDescent="0.25">
      <c r="A51" t="s">
        <v>29</v>
      </c>
      <c r="B51" t="s">
        <v>31</v>
      </c>
      <c r="C51" s="9">
        <v>0</v>
      </c>
      <c r="D51" s="19"/>
      <c r="E51" s="19"/>
      <c r="F51" s="19"/>
      <c r="G51" s="19"/>
      <c r="H51" s="19"/>
      <c r="I51" s="19"/>
      <c r="J51" s="19"/>
      <c r="K51" s="19"/>
    </row>
    <row r="52" spans="1:19" x14ac:dyDescent="0.25">
      <c r="C52" s="9"/>
      <c r="D52" s="9"/>
      <c r="E52" s="19"/>
      <c r="F52" s="19"/>
      <c r="G52" s="19"/>
      <c r="H52" s="19"/>
      <c r="I52" s="19"/>
      <c r="J52" s="19"/>
      <c r="K52" s="19"/>
      <c r="L52" s="19"/>
    </row>
    <row r="53" spans="1:19" x14ac:dyDescent="0.25">
      <c r="A53" s="4" t="s">
        <v>30</v>
      </c>
      <c r="B53" s="4" t="s">
        <v>33</v>
      </c>
      <c r="C53" s="42">
        <v>0.47499999999999998</v>
      </c>
      <c r="D53" s="19"/>
      <c r="E53" s="19"/>
      <c r="F53" s="19"/>
      <c r="G53" s="19"/>
      <c r="H53" s="19"/>
      <c r="I53" s="19"/>
      <c r="J53" s="19"/>
      <c r="K53" s="19"/>
    </row>
    <row r="54" spans="1:19" x14ac:dyDescent="0.25">
      <c r="A54" s="5" t="s">
        <v>35</v>
      </c>
      <c r="B54" s="5" t="s">
        <v>36</v>
      </c>
      <c r="C54" s="13">
        <f>0.5</f>
        <v>0.5</v>
      </c>
      <c r="D54" s="19"/>
      <c r="E54" s="19"/>
      <c r="F54" s="19"/>
      <c r="G54" s="19"/>
      <c r="H54" s="19"/>
      <c r="K54" s="19"/>
    </row>
    <row r="55" spans="1:19" x14ac:dyDescent="0.25">
      <c r="E55" s="19"/>
      <c r="F55" s="55"/>
      <c r="G55" s="31"/>
      <c r="L55" s="19"/>
    </row>
    <row r="56" spans="1:19" x14ac:dyDescent="0.25">
      <c r="B56" s="14" t="s">
        <v>201</v>
      </c>
      <c r="C56" s="45">
        <f>(C47+C48)*Tc+C49+C50+C51</f>
        <v>89.520741251946063</v>
      </c>
      <c r="E56" s="19"/>
      <c r="F56" s="55"/>
      <c r="G56" s="31"/>
      <c r="L56" s="19"/>
    </row>
    <row r="57" spans="1:19" x14ac:dyDescent="0.25">
      <c r="B57" s="14" t="s">
        <v>88</v>
      </c>
      <c r="C57" s="100">
        <f>C56*44/12</f>
        <v>328.24271792380222</v>
      </c>
      <c r="D57" s="12"/>
      <c r="E57" s="19"/>
      <c r="F57" s="32"/>
      <c r="G57" s="33"/>
      <c r="L57" s="19"/>
    </row>
    <row r="58" spans="1:19" x14ac:dyDescent="0.25">
      <c r="B58" s="23" t="s">
        <v>89</v>
      </c>
      <c r="C58" s="12">
        <f>C57*C10</f>
        <v>531.75320303655963</v>
      </c>
      <c r="E58" s="19"/>
      <c r="F58" s="19"/>
      <c r="G58" s="19"/>
      <c r="I58" s="19"/>
      <c r="J58" s="19"/>
      <c r="L58" s="19"/>
    </row>
    <row r="59" spans="1:19" x14ac:dyDescent="0.25">
      <c r="E59" s="19"/>
      <c r="F59" s="19"/>
      <c r="G59" s="19"/>
      <c r="H59" s="19"/>
      <c r="I59" s="19"/>
      <c r="J59" s="19"/>
      <c r="K59" s="19"/>
      <c r="L59" s="19"/>
    </row>
    <row r="60" spans="1:19" s="19" customFormat="1" ht="16.5" x14ac:dyDescent="0.3">
      <c r="A60" s="198" t="s">
        <v>90</v>
      </c>
      <c r="B60" s="198"/>
      <c r="C60" s="198"/>
      <c r="D60" s="198"/>
      <c r="M60"/>
      <c r="R60"/>
      <c r="S60"/>
    </row>
    <row r="61" spans="1:19" ht="16.5" x14ac:dyDescent="0.3">
      <c r="A61" s="26"/>
      <c r="B61" s="26"/>
      <c r="C61" s="26"/>
      <c r="D61" s="26"/>
      <c r="F61" s="19"/>
      <c r="G61" s="19"/>
      <c r="H61" s="19"/>
      <c r="I61" s="19"/>
      <c r="J61" s="19"/>
      <c r="K61" s="19"/>
      <c r="L61" s="19"/>
      <c r="M61" s="19"/>
      <c r="R61" s="19"/>
      <c r="S61" s="19"/>
    </row>
    <row r="62" spans="1:19" x14ac:dyDescent="0.25">
      <c r="C62" s="7" t="s">
        <v>78</v>
      </c>
      <c r="D62" s="7" t="s">
        <v>199</v>
      </c>
      <c r="E62" s="7" t="s">
        <v>48</v>
      </c>
      <c r="F62" s="8" t="s">
        <v>200</v>
      </c>
      <c r="G62" s="8" t="s">
        <v>244</v>
      </c>
      <c r="H62" s="19"/>
      <c r="K62" s="19"/>
      <c r="L62" s="19"/>
    </row>
    <row r="63" spans="1:19" x14ac:dyDescent="0.25">
      <c r="A63" s="4" t="b">
        <v>0</v>
      </c>
      <c r="B63" s="4" t="s">
        <v>42</v>
      </c>
      <c r="C63" s="10">
        <v>45</v>
      </c>
      <c r="D63" s="10">
        <f>5</f>
        <v>5</v>
      </c>
      <c r="E63" s="10">
        <f>(D63+C63)*44/12</f>
        <v>183.33333333333334</v>
      </c>
      <c r="F63" s="10">
        <f>E63*$C$10</f>
        <v>297.00000000000006</v>
      </c>
      <c r="G63" s="10">
        <f>F63</f>
        <v>297.00000000000006</v>
      </c>
    </row>
    <row r="64" spans="1:19" x14ac:dyDescent="0.25">
      <c r="A64" s="5" t="b">
        <v>1</v>
      </c>
      <c r="B64" s="5" t="s">
        <v>43</v>
      </c>
      <c r="C64" s="11">
        <v>70</v>
      </c>
      <c r="D64" s="11">
        <v>0</v>
      </c>
      <c r="E64" s="10">
        <f t="shared" ref="E64:E66" si="0">(D64+C64)*44/12</f>
        <v>256.66666666666669</v>
      </c>
      <c r="F64" s="11">
        <f>E64*$C$10</f>
        <v>415.80000000000007</v>
      </c>
      <c r="G64" s="11">
        <f>F64</f>
        <v>415.80000000000007</v>
      </c>
    </row>
    <row r="65" spans="1:15" x14ac:dyDescent="0.25">
      <c r="A65" s="4" t="b">
        <v>0</v>
      </c>
      <c r="B65" s="4" t="s">
        <v>77</v>
      </c>
      <c r="C65" s="10">
        <v>32</v>
      </c>
      <c r="D65" s="10">
        <f>5</f>
        <v>5</v>
      </c>
      <c r="E65" s="10">
        <f t="shared" si="0"/>
        <v>135.66666666666666</v>
      </c>
      <c r="F65" s="10">
        <f>E65*$C$10</f>
        <v>219.78</v>
      </c>
      <c r="G65" s="10">
        <f>F65</f>
        <v>219.78</v>
      </c>
    </row>
    <row r="66" spans="1:15" x14ac:dyDescent="0.25">
      <c r="A66" s="5" t="b">
        <v>0</v>
      </c>
      <c r="B66" s="5" t="s">
        <v>80</v>
      </c>
      <c r="C66" s="11">
        <v>70</v>
      </c>
      <c r="D66" s="11">
        <f>C56</f>
        <v>89.520741251946063</v>
      </c>
      <c r="E66" s="10">
        <f t="shared" si="0"/>
        <v>584.9093845904689</v>
      </c>
      <c r="F66" s="11">
        <f>E66*$C$10</f>
        <v>947.55320303655969</v>
      </c>
      <c r="G66" s="11">
        <f>VERRA!F7*'4. CONUAU'!C10</f>
        <v>516.4156083086425</v>
      </c>
      <c r="H66" s="19"/>
      <c r="I66" s="19"/>
      <c r="J66" s="19"/>
    </row>
    <row r="67" spans="1:15" x14ac:dyDescent="0.25">
      <c r="G67" s="19"/>
      <c r="H67" s="19"/>
      <c r="I67" s="19"/>
      <c r="J67" s="19"/>
    </row>
    <row r="69" spans="1:15" ht="16.5" x14ac:dyDescent="0.3">
      <c r="A69" s="198" t="s">
        <v>59</v>
      </c>
      <c r="B69" s="198"/>
      <c r="C69" s="198"/>
      <c r="D69" s="198"/>
    </row>
    <row r="71" spans="1:15" x14ac:dyDescent="0.25">
      <c r="A71" s="293" t="s">
        <v>137</v>
      </c>
      <c r="B71" s="294"/>
      <c r="C71" s="295"/>
      <c r="D71" s="104">
        <v>0</v>
      </c>
    </row>
    <row r="72" spans="1:15" x14ac:dyDescent="0.25">
      <c r="A72" s="296" t="s">
        <v>60</v>
      </c>
      <c r="B72" s="297"/>
      <c r="C72" s="298"/>
      <c r="D72" s="105">
        <v>0.1</v>
      </c>
    </row>
    <row r="73" spans="1:15" x14ac:dyDescent="0.25">
      <c r="A73" s="293" t="s">
        <v>61</v>
      </c>
      <c r="B73" s="294"/>
      <c r="C73" s="295"/>
      <c r="D73" s="104">
        <v>0</v>
      </c>
    </row>
    <row r="74" spans="1:15" x14ac:dyDescent="0.25">
      <c r="A74" s="296" t="s">
        <v>62</v>
      </c>
      <c r="B74" s="297"/>
      <c r="C74" s="298"/>
      <c r="D74" s="105">
        <v>0</v>
      </c>
    </row>
    <row r="77" spans="1:15" ht="16.5" x14ac:dyDescent="0.3">
      <c r="E77" s="19"/>
      <c r="G77" s="19"/>
      <c r="H77" s="19"/>
      <c r="I77" s="84"/>
      <c r="J77" s="84"/>
    </row>
    <row r="78" spans="1:15" ht="16.5" x14ac:dyDescent="0.3">
      <c r="A78" s="291" t="s">
        <v>109</v>
      </c>
      <c r="B78" s="291"/>
      <c r="C78" s="291"/>
      <c r="D78" s="291"/>
      <c r="F78" s="197" t="s">
        <v>186</v>
      </c>
      <c r="G78" s="197"/>
      <c r="H78" s="197"/>
      <c r="I78" s="197"/>
      <c r="J78" s="19"/>
      <c r="K78" s="19"/>
      <c r="L78" s="204" t="s">
        <v>349</v>
      </c>
      <c r="M78" s="204"/>
      <c r="N78" s="204"/>
      <c r="O78" s="204"/>
    </row>
    <row r="79" spans="1:15" ht="15.75" thickBot="1" x14ac:dyDescent="0.3">
      <c r="J79" s="19"/>
    </row>
    <row r="80" spans="1:15" x14ac:dyDescent="0.25">
      <c r="A80" s="134" t="s">
        <v>108</v>
      </c>
      <c r="B80" s="135">
        <f>E38+J38+O38+T38</f>
        <v>886.16838376283988</v>
      </c>
      <c r="C80" s="136" t="s">
        <v>48</v>
      </c>
      <c r="J80" s="19"/>
    </row>
    <row r="81" spans="1:15" x14ac:dyDescent="0.25">
      <c r="A81" s="137" t="s">
        <v>110</v>
      </c>
      <c r="B81" s="11">
        <f>VLOOKUP(TRUE,A63:F66,6,FALSE)</f>
        <v>415.80000000000007</v>
      </c>
      <c r="C81" s="138" t="s">
        <v>48</v>
      </c>
      <c r="J81" s="19"/>
    </row>
    <row r="82" spans="1:15" ht="15.75" thickBot="1" x14ac:dyDescent="0.3">
      <c r="A82" s="139" t="s">
        <v>243</v>
      </c>
      <c r="B82" s="140">
        <f>B80-B81</f>
        <v>470.36838376283981</v>
      </c>
      <c r="C82" s="141" t="s">
        <v>48</v>
      </c>
      <c r="D82" s="9"/>
      <c r="J82" s="19"/>
    </row>
    <row r="83" spans="1:15" x14ac:dyDescent="0.25">
      <c r="A83" s="134" t="s">
        <v>240</v>
      </c>
      <c r="B83" s="135">
        <f>E41+J41+O41+T41</f>
        <v>695.53844944013508</v>
      </c>
      <c r="C83" s="136" t="s">
        <v>48</v>
      </c>
      <c r="F83" s="4" t="s">
        <v>108</v>
      </c>
      <c r="G83" s="10">
        <f>'Inputs - Tables de production'!AP14</f>
        <v>32.559118133166265</v>
      </c>
      <c r="H83" s="10" t="s">
        <v>48</v>
      </c>
      <c r="J83" s="19"/>
      <c r="L83" s="4" t="s">
        <v>108</v>
      </c>
      <c r="M83" s="10">
        <f>'Inputs - Tables de production'!AS14</f>
        <v>229.11447666160484</v>
      </c>
      <c r="N83" s="10" t="s">
        <v>48</v>
      </c>
    </row>
    <row r="84" spans="1:15" ht="16.5" x14ac:dyDescent="0.3">
      <c r="A84" s="137" t="s">
        <v>241</v>
      </c>
      <c r="B84" s="11">
        <f>VLOOKUP(TRUE,A63:G66,7,FALSE)</f>
        <v>415.80000000000007</v>
      </c>
      <c r="C84" s="138" t="s">
        <v>48</v>
      </c>
      <c r="D84" s="26"/>
      <c r="F84" s="5" t="s">
        <v>110</v>
      </c>
      <c r="G84" s="11">
        <v>0</v>
      </c>
      <c r="H84" s="11" t="s">
        <v>48</v>
      </c>
      <c r="I84" s="14" t="s">
        <v>178</v>
      </c>
      <c r="L84" s="5" t="s">
        <v>110</v>
      </c>
      <c r="M84" s="11">
        <v>0</v>
      </c>
      <c r="N84" s="11" t="s">
        <v>48</v>
      </c>
      <c r="O84" s="14" t="s">
        <v>178</v>
      </c>
    </row>
    <row r="85" spans="1:15" ht="15.75" thickBot="1" x14ac:dyDescent="0.3">
      <c r="A85" s="139" t="s">
        <v>242</v>
      </c>
      <c r="B85" s="140">
        <f>B83-B84</f>
        <v>279.73844944013501</v>
      </c>
      <c r="C85" s="141" t="s">
        <v>48</v>
      </c>
      <c r="F85" s="53" t="s">
        <v>185</v>
      </c>
      <c r="G85" s="241">
        <f>(G83-G84)</f>
        <v>32.559118133166265</v>
      </c>
      <c r="H85" s="54" t="s">
        <v>48</v>
      </c>
      <c r="L85" s="53" t="s">
        <v>185</v>
      </c>
      <c r="M85" s="54">
        <f>(M83-M84)</f>
        <v>229.11447666160484</v>
      </c>
      <c r="N85" s="54" t="s">
        <v>48</v>
      </c>
    </row>
    <row r="87" spans="1:15" x14ac:dyDescent="0.25">
      <c r="G87" s="66" t="s">
        <v>197</v>
      </c>
      <c r="H87" s="67">
        <f>G85*(1-D71)*(1-D72)*(1-D73)*(1-D74)</f>
        <v>29.30320631984964</v>
      </c>
      <c r="I87" s="7" t="s">
        <v>147</v>
      </c>
      <c r="M87" s="66" t="s">
        <v>197</v>
      </c>
      <c r="N87" s="67">
        <f>M85*(1-J71)*(1-D72)*(1-D73)*(1-D74)</f>
        <v>206.20302899544436</v>
      </c>
      <c r="O87" s="7" t="s">
        <v>147</v>
      </c>
    </row>
    <row r="89" spans="1:15" x14ac:dyDescent="0.25">
      <c r="B89" s="215" t="s">
        <v>109</v>
      </c>
      <c r="C89" s="146">
        <f>MIN(B82,B85)</f>
        <v>279.73844944013501</v>
      </c>
      <c r="D89" s="7" t="s">
        <v>147</v>
      </c>
      <c r="G89" s="27" t="s">
        <v>111</v>
      </c>
      <c r="H89" s="27">
        <f>40*H87</f>
        <v>1172.1282527939857</v>
      </c>
      <c r="M89" s="27" t="s">
        <v>111</v>
      </c>
      <c r="N89" s="27">
        <f>40*N87</f>
        <v>8248.1211598177742</v>
      </c>
    </row>
    <row r="91" spans="1:15" x14ac:dyDescent="0.25">
      <c r="B91" s="215" t="s">
        <v>146</v>
      </c>
      <c r="C91" s="216">
        <f>C89*(1-D71)*(1-D72)*(1-D73)*(1-D74)</f>
        <v>251.76460449612151</v>
      </c>
      <c r="D91" s="7" t="s">
        <v>147</v>
      </c>
    </row>
    <row r="92" spans="1:15" x14ac:dyDescent="0.25">
      <c r="C92" s="9">
        <f>C91/C10</f>
        <v>155.41024968896389</v>
      </c>
      <c r="D92" t="s">
        <v>351</v>
      </c>
    </row>
    <row r="93" spans="1:15" x14ac:dyDescent="0.25">
      <c r="F93" s="215" t="s">
        <v>350</v>
      </c>
      <c r="G93" s="216">
        <f>C91+H87+N87</f>
        <v>487.2708398114155</v>
      </c>
      <c r="H93" s="7" t="s">
        <v>147</v>
      </c>
    </row>
    <row r="94" spans="1:15" x14ac:dyDescent="0.25">
      <c r="G94" s="9">
        <f>G93/C10</f>
        <v>300.78446901939225</v>
      </c>
      <c r="H94" t="s">
        <v>351</v>
      </c>
    </row>
    <row r="95" spans="1:15" x14ac:dyDescent="0.25">
      <c r="B95" s="27" t="s">
        <v>111</v>
      </c>
      <c r="C95" s="27">
        <f>40*C91</f>
        <v>10070.58417984486</v>
      </c>
    </row>
    <row r="98" spans="1:20" x14ac:dyDescent="0.25">
      <c r="D98" s="19"/>
      <c r="E98" s="19"/>
      <c r="I98" s="19"/>
      <c r="J98" s="19"/>
      <c r="N98" s="19"/>
      <c r="O98" s="19"/>
      <c r="T98" s="19"/>
    </row>
    <row r="99" spans="1:2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spans="1:2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x14ac:dyDescent="0.25">
      <c r="A104" s="19"/>
      <c r="B104" s="19"/>
      <c r="C104" s="19"/>
      <c r="F104" s="19"/>
      <c r="G104" s="19"/>
      <c r="H104" s="19"/>
      <c r="K104" s="19"/>
      <c r="L104" s="19"/>
      <c r="M104" s="19"/>
      <c r="P104" s="19"/>
      <c r="Q104" s="19"/>
      <c r="R104" s="19"/>
      <c r="S104" s="19"/>
    </row>
    <row r="121" spans="3:3" x14ac:dyDescent="0.25">
      <c r="C121" t="s">
        <v>155</v>
      </c>
    </row>
  </sheetData>
  <mergeCells count="11">
    <mergeCell ref="A71:C71"/>
    <mergeCell ref="A72:C72"/>
    <mergeCell ref="A73:C73"/>
    <mergeCell ref="A74:C74"/>
    <mergeCell ref="A78:D78"/>
    <mergeCell ref="P20:T20"/>
    <mergeCell ref="A1:D1"/>
    <mergeCell ref="A14:D14"/>
    <mergeCell ref="A20:D20"/>
    <mergeCell ref="F20:I20"/>
    <mergeCell ref="K20:N20"/>
  </mergeCells>
  <dataValidations count="4">
    <dataValidation type="list" allowBlank="1" showInputMessage="1" showErrorMessage="1" sqref="H17">
      <formula1>$A$101:$A$106</formula1>
    </dataValidation>
    <dataValidation type="list" allowBlank="1" showInputMessage="1" showErrorMessage="1" sqref="M17 R17">
      <formula1>$A$87:$A$92</formula1>
    </dataValidation>
    <dataValidation type="list" allowBlank="1" showInputMessage="1" showErrorMessage="1" sqref="D71 D73:D74">
      <formula1>Rab</formula1>
    </dataValidation>
    <dataValidation type="list" allowBlank="1" showInputMessage="1" showErrorMessage="1" sqref="B17 Q17 L17">
      <formula1>ESS</formula1>
    </dataValidation>
  </dataValidations>
  <pageMargins left="0.7" right="0.7" top="0.75" bottom="0.75" header="0.3" footer="0.3"/>
  <pageSetup paperSize="9" scale="2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Check Box 1">
              <controlPr defaultSize="0" autoFill="0" autoLine="0" autoPict="0">
                <anchor moveWithCells="1">
                  <from>
                    <xdr:col>0</xdr:col>
                    <xdr:colOff>676275</xdr:colOff>
                    <xdr:row>3</xdr:row>
                    <xdr:rowOff>19050</xdr:rowOff>
                  </from>
                  <to>
                    <xdr:col>0</xdr:col>
                    <xdr:colOff>962025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Check Box 2">
              <controlPr defaultSize="0" autoFill="0" autoLine="0" autoPict="0">
                <anchor moveWithCells="1">
                  <from>
                    <xdr:col>0</xdr:col>
                    <xdr:colOff>676275</xdr:colOff>
                    <xdr:row>4</xdr:row>
                    <xdr:rowOff>38100</xdr:rowOff>
                  </from>
                  <to>
                    <xdr:col>0</xdr:col>
                    <xdr:colOff>952500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6" name="Check Box 3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9525</xdr:rowOff>
                  </from>
                  <to>
                    <xdr:col>0</xdr:col>
                    <xdr:colOff>942975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8" r:id="rId7" name="Check Box 4">
              <controlPr defaultSize="0" autoFill="0" autoLine="0" autoPict="0">
                <anchor moveWithCells="1">
                  <from>
                    <xdr:col>0</xdr:col>
                    <xdr:colOff>676275</xdr:colOff>
                    <xdr:row>5</xdr:row>
                    <xdr:rowOff>190500</xdr:rowOff>
                  </from>
                  <to>
                    <xdr:col>0</xdr:col>
                    <xdr:colOff>942975</xdr:colOff>
                    <xdr:row>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3">
    <tablePart r:id="rId8"/>
    <tablePart r:id="rId9"/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Inputs!$A$90:$A$95</xm:f>
          </x14:formula1>
          <xm:sqref>C17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A1:P94"/>
  <sheetViews>
    <sheetView topLeftCell="A22" workbookViewId="0">
      <selection activeCell="G50" sqref="G50"/>
    </sheetView>
  </sheetViews>
  <sheetFormatPr baseColWidth="10" defaultRowHeight="15" x14ac:dyDescent="0.25"/>
  <cols>
    <col min="1" max="1" width="21.5703125" bestFit="1" customWidth="1"/>
    <col min="2" max="2" width="17.42578125" customWidth="1"/>
    <col min="3" max="3" width="12.28515625" bestFit="1" customWidth="1"/>
    <col min="4" max="4" width="14.5703125" bestFit="1" customWidth="1"/>
    <col min="5" max="5" width="17.5703125" bestFit="1" customWidth="1"/>
    <col min="6" max="6" width="22.28515625" bestFit="1" customWidth="1"/>
    <col min="7" max="7" width="15" bestFit="1" customWidth="1"/>
    <col min="8" max="8" width="13.42578125" bestFit="1" customWidth="1"/>
    <col min="9" max="10" width="19.140625" bestFit="1" customWidth="1"/>
    <col min="11" max="11" width="16.7109375" bestFit="1" customWidth="1"/>
    <col min="12" max="12" width="12.28515625" bestFit="1" customWidth="1"/>
    <col min="14" max="14" width="14.85546875" bestFit="1" customWidth="1"/>
    <col min="16" max="16" width="12" bestFit="1" customWidth="1"/>
  </cols>
  <sheetData>
    <row r="1" spans="1:16" x14ac:dyDescent="0.25">
      <c r="A1" s="7" t="s">
        <v>287</v>
      </c>
      <c r="J1" s="7" t="s">
        <v>325</v>
      </c>
    </row>
    <row r="3" spans="1:16" x14ac:dyDescent="0.25">
      <c r="A3" t="s">
        <v>276</v>
      </c>
      <c r="B3">
        <v>5.6</v>
      </c>
      <c r="C3" t="s">
        <v>38</v>
      </c>
      <c r="J3" t="s">
        <v>276</v>
      </c>
      <c r="K3">
        <v>9.1</v>
      </c>
      <c r="L3" t="s">
        <v>38</v>
      </c>
    </row>
    <row r="4" spans="1:16" x14ac:dyDescent="0.25">
      <c r="A4" t="s">
        <v>321</v>
      </c>
      <c r="B4" s="52">
        <f>F8+F10</f>
        <v>5.3333333333333339</v>
      </c>
      <c r="C4" t="s">
        <v>38</v>
      </c>
      <c r="J4" t="s">
        <v>136</v>
      </c>
      <c r="K4">
        <f>K17/K3</f>
        <v>1800</v>
      </c>
      <c r="L4" t="s">
        <v>283</v>
      </c>
    </row>
    <row r="5" spans="1:16" x14ac:dyDescent="0.25">
      <c r="A5" t="s">
        <v>136</v>
      </c>
      <c r="B5">
        <f>B15/B3</f>
        <v>1500</v>
      </c>
      <c r="C5" t="s">
        <v>283</v>
      </c>
    </row>
    <row r="6" spans="1:16" x14ac:dyDescent="0.25">
      <c r="J6" s="15"/>
      <c r="K6" s="15" t="s">
        <v>277</v>
      </c>
      <c r="L6" s="15" t="s">
        <v>258</v>
      </c>
      <c r="M6" s="15" t="s">
        <v>284</v>
      </c>
      <c r="N6" s="15" t="s">
        <v>0</v>
      </c>
      <c r="O6" s="15" t="s">
        <v>285</v>
      </c>
      <c r="P6" s="15" t="s">
        <v>284</v>
      </c>
    </row>
    <row r="7" spans="1:16" x14ac:dyDescent="0.25">
      <c r="A7" s="15"/>
      <c r="B7" s="15" t="s">
        <v>277</v>
      </c>
      <c r="C7" s="15" t="s">
        <v>258</v>
      </c>
      <c r="D7" s="15" t="s">
        <v>284</v>
      </c>
      <c r="E7" s="15" t="s">
        <v>0</v>
      </c>
      <c r="F7" s="15" t="s">
        <v>285</v>
      </c>
      <c r="J7" s="15" t="s">
        <v>275</v>
      </c>
      <c r="K7" s="201">
        <v>13110</v>
      </c>
      <c r="L7" s="208">
        <f>K7/$K$4</f>
        <v>7.2833333333333332</v>
      </c>
      <c r="M7" s="49">
        <f>K7/$K$17</f>
        <v>0.80036630036630041</v>
      </c>
      <c r="N7" s="15" t="s">
        <v>275</v>
      </c>
      <c r="O7" s="150">
        <f>L7</f>
        <v>7.2833333333333332</v>
      </c>
      <c r="P7" s="225">
        <f>O7/$O$17</f>
        <v>0.80036630036630041</v>
      </c>
    </row>
    <row r="8" spans="1:16" x14ac:dyDescent="0.25">
      <c r="A8" s="15" t="s">
        <v>275</v>
      </c>
      <c r="B8" s="15">
        <v>6400</v>
      </c>
      <c r="C8" s="173">
        <f>B8/$B$5</f>
        <v>4.2666666666666666</v>
      </c>
      <c r="D8" s="283">
        <f>B8/$B$15</f>
        <v>0.76190476190476186</v>
      </c>
      <c r="E8" s="314" t="s">
        <v>19</v>
      </c>
      <c r="F8" s="315">
        <f>SUM(C8:C9)</f>
        <v>4.9333333333333336</v>
      </c>
      <c r="G8" s="313">
        <f>F8/F15</f>
        <v>0.88095238095238093</v>
      </c>
      <c r="J8" s="15" t="s">
        <v>322</v>
      </c>
      <c r="K8" s="201">
        <v>1000</v>
      </c>
      <c r="L8" s="208">
        <f t="shared" ref="L8:L16" si="0">K8/$K$4</f>
        <v>0.55555555555555558</v>
      </c>
      <c r="M8" s="49">
        <f t="shared" ref="M8:M16" si="1">K8/$K$17</f>
        <v>6.1050061050061048E-2</v>
      </c>
      <c r="N8" s="301" t="s">
        <v>22</v>
      </c>
      <c r="O8" s="305">
        <f>L8+L9</f>
        <v>0.94444444444444442</v>
      </c>
      <c r="P8" s="306">
        <f>O8/$O$17</f>
        <v>0.10378510378510379</v>
      </c>
    </row>
    <row r="9" spans="1:16" x14ac:dyDescent="0.25">
      <c r="A9" s="15" t="s">
        <v>189</v>
      </c>
      <c r="B9" s="15">
        <v>1000</v>
      </c>
      <c r="C9" s="173">
        <f t="shared" ref="C9:C14" si="2">B9/$B$5</f>
        <v>0.66666666666666663</v>
      </c>
      <c r="D9" s="283">
        <f t="shared" ref="D9:D14" si="3">B9/$B$15</f>
        <v>0.11904761904761904</v>
      </c>
      <c r="E9" s="314"/>
      <c r="F9" s="314"/>
      <c r="G9" s="313"/>
      <c r="J9" s="15" t="s">
        <v>22</v>
      </c>
      <c r="K9" s="201">
        <v>700</v>
      </c>
      <c r="L9" s="208">
        <f t="shared" si="0"/>
        <v>0.3888888888888889</v>
      </c>
      <c r="M9" s="49">
        <f t="shared" si="1"/>
        <v>4.2735042735042736E-2</v>
      </c>
      <c r="N9" s="303"/>
      <c r="O9" s="303"/>
      <c r="P9" s="307"/>
    </row>
    <row r="10" spans="1:16" x14ac:dyDescent="0.25">
      <c r="A10" s="15" t="s">
        <v>278</v>
      </c>
      <c r="B10" s="15">
        <v>100</v>
      </c>
      <c r="C10" s="173">
        <f t="shared" si="2"/>
        <v>6.6666666666666666E-2</v>
      </c>
      <c r="D10" s="283">
        <f t="shared" si="3"/>
        <v>1.1904761904761904E-2</v>
      </c>
      <c r="E10" s="304" t="s">
        <v>5</v>
      </c>
      <c r="F10" s="315">
        <f>SUM(C10:C12)</f>
        <v>0.4</v>
      </c>
      <c r="G10" s="313">
        <f>(F10+F13)/F15</f>
        <v>0.11904761904761905</v>
      </c>
      <c r="J10" s="15" t="s">
        <v>65</v>
      </c>
      <c r="K10" s="201">
        <v>180</v>
      </c>
      <c r="L10" s="208">
        <f t="shared" si="0"/>
        <v>0.1</v>
      </c>
      <c r="M10" s="49">
        <f t="shared" si="1"/>
        <v>1.098901098901099E-2</v>
      </c>
      <c r="N10" s="15" t="s">
        <v>65</v>
      </c>
      <c r="O10" s="150">
        <f>L10</f>
        <v>0.1</v>
      </c>
      <c r="P10" s="225">
        <f>O10/$O$17</f>
        <v>1.098901098901099E-2</v>
      </c>
    </row>
    <row r="11" spans="1:16" x14ac:dyDescent="0.25">
      <c r="A11" s="15" t="s">
        <v>279</v>
      </c>
      <c r="B11" s="15">
        <v>300</v>
      </c>
      <c r="C11" s="173">
        <f t="shared" si="2"/>
        <v>0.2</v>
      </c>
      <c r="D11" s="283">
        <f t="shared" si="3"/>
        <v>3.5714285714285712E-2</v>
      </c>
      <c r="E11" s="304"/>
      <c r="F11" s="314"/>
      <c r="G11" s="313"/>
      <c r="J11" s="15" t="s">
        <v>187</v>
      </c>
      <c r="K11" s="201">
        <v>400</v>
      </c>
      <c r="L11" s="208">
        <f t="shared" si="0"/>
        <v>0.22222222222222221</v>
      </c>
      <c r="M11" s="49">
        <f t="shared" si="1"/>
        <v>2.442002442002442E-2</v>
      </c>
      <c r="N11" s="211" t="s">
        <v>187</v>
      </c>
      <c r="O11" s="308">
        <f>SUM(L11:L16)</f>
        <v>0.77222222222222214</v>
      </c>
      <c r="P11" s="306">
        <f>O11/$O$17</f>
        <v>8.485958485958485E-2</v>
      </c>
    </row>
    <row r="12" spans="1:16" x14ac:dyDescent="0.25">
      <c r="A12" s="15" t="s">
        <v>280</v>
      </c>
      <c r="B12" s="15">
        <v>200</v>
      </c>
      <c r="C12" s="173">
        <f t="shared" si="2"/>
        <v>0.13333333333333333</v>
      </c>
      <c r="D12" s="283">
        <f t="shared" si="3"/>
        <v>2.3809523809523808E-2</v>
      </c>
      <c r="E12" s="304"/>
      <c r="F12" s="314"/>
      <c r="G12" s="313"/>
      <c r="J12" s="15" t="s">
        <v>323</v>
      </c>
      <c r="K12" s="201">
        <v>300</v>
      </c>
      <c r="L12" s="208">
        <f t="shared" si="0"/>
        <v>0.16666666666666666</v>
      </c>
      <c r="M12" s="49">
        <f t="shared" si="1"/>
        <v>1.8315018315018316E-2</v>
      </c>
      <c r="N12" s="302" t="s">
        <v>5</v>
      </c>
      <c r="O12" s="309"/>
      <c r="P12" s="311"/>
    </row>
    <row r="13" spans="1:16" x14ac:dyDescent="0.25">
      <c r="A13" s="15" t="s">
        <v>281</v>
      </c>
      <c r="B13" s="15">
        <v>200</v>
      </c>
      <c r="C13" s="173">
        <f t="shared" si="2"/>
        <v>0.13333333333333333</v>
      </c>
      <c r="D13" s="283">
        <f t="shared" si="3"/>
        <v>2.3809523809523808E-2</v>
      </c>
      <c r="E13" s="15" t="s">
        <v>326</v>
      </c>
      <c r="F13" s="308">
        <f>C13+C14</f>
        <v>0.26666666666666666</v>
      </c>
      <c r="G13" s="313"/>
      <c r="J13" s="15" t="s">
        <v>5</v>
      </c>
      <c r="K13" s="201">
        <v>180</v>
      </c>
      <c r="L13" s="208">
        <f t="shared" si="0"/>
        <v>0.1</v>
      </c>
      <c r="M13" s="49">
        <f t="shared" si="1"/>
        <v>1.098901098901099E-2</v>
      </c>
      <c r="N13" s="302"/>
      <c r="O13" s="309"/>
      <c r="P13" s="311"/>
    </row>
    <row r="14" spans="1:16" x14ac:dyDescent="0.25">
      <c r="A14" s="15" t="s">
        <v>282</v>
      </c>
      <c r="B14" s="15">
        <v>200</v>
      </c>
      <c r="C14" s="173">
        <f t="shared" si="2"/>
        <v>0.13333333333333333</v>
      </c>
      <c r="D14" s="283">
        <f t="shared" si="3"/>
        <v>2.3809523809523808E-2</v>
      </c>
      <c r="E14" s="15" t="s">
        <v>326</v>
      </c>
      <c r="F14" s="310"/>
      <c r="G14" s="313"/>
      <c r="J14" s="15" t="s">
        <v>324</v>
      </c>
      <c r="K14" s="201">
        <v>150</v>
      </c>
      <c r="L14" s="208">
        <f t="shared" si="0"/>
        <v>8.3333333333333329E-2</v>
      </c>
      <c r="M14" s="49">
        <f t="shared" si="1"/>
        <v>9.1575091575091579E-3</v>
      </c>
      <c r="N14" s="302"/>
      <c r="O14" s="309"/>
      <c r="P14" s="311"/>
    </row>
    <row r="15" spans="1:16" x14ac:dyDescent="0.25">
      <c r="A15" s="15"/>
      <c r="B15" s="15">
        <f>SUM(B8:B14)</f>
        <v>8400</v>
      </c>
      <c r="C15" s="150">
        <f>SUM(C8:C14)</f>
        <v>5.6000000000000014</v>
      </c>
      <c r="D15" s="49">
        <f>SUM(D8:D14)</f>
        <v>1</v>
      </c>
      <c r="E15" s="15"/>
      <c r="F15" s="150">
        <f>SUM(F8:F14)</f>
        <v>5.6000000000000005</v>
      </c>
      <c r="G15" s="150">
        <f>SUM(G8:G14)</f>
        <v>1</v>
      </c>
      <c r="J15" s="15" t="s">
        <v>280</v>
      </c>
      <c r="K15" s="201">
        <v>180</v>
      </c>
      <c r="L15" s="208">
        <f t="shared" si="0"/>
        <v>0.1</v>
      </c>
      <c r="M15" s="49">
        <f t="shared" si="1"/>
        <v>1.098901098901099E-2</v>
      </c>
      <c r="N15" s="302"/>
      <c r="O15" s="309"/>
      <c r="P15" s="311"/>
    </row>
    <row r="16" spans="1:16" x14ac:dyDescent="0.25">
      <c r="J16" s="15" t="s">
        <v>279</v>
      </c>
      <c r="K16" s="201">
        <v>180</v>
      </c>
      <c r="L16" s="208">
        <f t="shared" si="0"/>
        <v>0.1</v>
      </c>
      <c r="M16" s="49">
        <f t="shared" si="1"/>
        <v>1.098901098901099E-2</v>
      </c>
      <c r="N16" s="303"/>
      <c r="O16" s="310"/>
      <c r="P16" s="307"/>
    </row>
    <row r="17" spans="1:16" x14ac:dyDescent="0.25">
      <c r="J17" s="224" t="s">
        <v>295</v>
      </c>
      <c r="K17" s="203">
        <f>SUM(K7:K16)</f>
        <v>16380</v>
      </c>
      <c r="L17" s="203">
        <f>SUM(L7:L16)</f>
        <v>9.0999999999999979</v>
      </c>
      <c r="M17" s="15">
        <f>SUM(M7:M16)</f>
        <v>0.99999999999999989</v>
      </c>
      <c r="N17" s="15"/>
      <c r="O17" s="15">
        <f>SUM(O7:O16)</f>
        <v>9.1</v>
      </c>
      <c r="P17" s="15">
        <f>SUM(P7:P16)</f>
        <v>1</v>
      </c>
    </row>
    <row r="18" spans="1:16" x14ac:dyDescent="0.25">
      <c r="A18" s="7" t="s">
        <v>300</v>
      </c>
    </row>
    <row r="20" spans="1:16" x14ac:dyDescent="0.25">
      <c r="A20" t="s">
        <v>276</v>
      </c>
      <c r="B20">
        <v>9.2645999999999997</v>
      </c>
      <c r="C20" t="s">
        <v>38</v>
      </c>
      <c r="J20" s="7" t="s">
        <v>334</v>
      </c>
    </row>
    <row r="21" spans="1:16" x14ac:dyDescent="0.25">
      <c r="A21" t="s">
        <v>321</v>
      </c>
      <c r="B21">
        <f>F25+F26+F31</f>
        <v>8.40625</v>
      </c>
      <c r="C21" t="s">
        <v>38</v>
      </c>
    </row>
    <row r="22" spans="1:16" x14ac:dyDescent="0.25">
      <c r="A22" t="s">
        <v>136</v>
      </c>
      <c r="B22">
        <v>1600</v>
      </c>
      <c r="C22" t="s">
        <v>283</v>
      </c>
      <c r="J22" t="s">
        <v>276</v>
      </c>
      <c r="K22">
        <v>1.62</v>
      </c>
    </row>
    <row r="23" spans="1:16" x14ac:dyDescent="0.25">
      <c r="J23" t="s">
        <v>336</v>
      </c>
      <c r="K23" s="9">
        <f>K27/L27</f>
        <v>157.04225352112678</v>
      </c>
    </row>
    <row r="24" spans="1:16" x14ac:dyDescent="0.25">
      <c r="A24" s="15"/>
      <c r="B24" s="15" t="s">
        <v>277</v>
      </c>
      <c r="C24" s="15" t="s">
        <v>258</v>
      </c>
      <c r="D24" s="15" t="s">
        <v>284</v>
      </c>
      <c r="E24" s="15" t="s">
        <v>0</v>
      </c>
      <c r="F24" s="15" t="s">
        <v>285</v>
      </c>
      <c r="G24" s="15" t="s">
        <v>284</v>
      </c>
      <c r="J24" t="s">
        <v>332</v>
      </c>
      <c r="K24">
        <f>K28/L28</f>
        <v>1600</v>
      </c>
    </row>
    <row r="25" spans="1:16" x14ac:dyDescent="0.25">
      <c r="A25" s="15" t="s">
        <v>275</v>
      </c>
      <c r="B25" s="15">
        <v>9000</v>
      </c>
      <c r="C25" s="15">
        <f>B25/$B$22</f>
        <v>5.625</v>
      </c>
      <c r="D25" s="49">
        <f>B25/$B$32</f>
        <v>0.60281312793034159</v>
      </c>
      <c r="E25" s="15" t="s">
        <v>275</v>
      </c>
      <c r="F25" s="15">
        <f>C25</f>
        <v>5.625</v>
      </c>
      <c r="G25" s="49">
        <f>F25/$F$32</f>
        <v>0.60714651929646557</v>
      </c>
    </row>
    <row r="26" spans="1:16" x14ac:dyDescent="0.25">
      <c r="A26" s="15" t="s">
        <v>301</v>
      </c>
      <c r="B26" s="15">
        <v>1750</v>
      </c>
      <c r="C26" s="15">
        <f t="shared" ref="C26:C31" si="4">B26/$B$22</f>
        <v>1.09375</v>
      </c>
      <c r="D26" s="49">
        <f t="shared" ref="D26:D31" si="5">B26/$B$32</f>
        <v>0.11721366376423309</v>
      </c>
      <c r="E26" s="304" t="s">
        <v>5</v>
      </c>
      <c r="F26" s="304">
        <f>SUM(C26:C29)</f>
        <v>1.9375</v>
      </c>
      <c r="G26" s="312">
        <f>F26/$F$32</f>
        <v>0.20912824553544926</v>
      </c>
      <c r="J26" s="15"/>
      <c r="K26" s="15" t="s">
        <v>277</v>
      </c>
      <c r="L26" s="15" t="s">
        <v>258</v>
      </c>
      <c r="M26" s="15" t="s">
        <v>284</v>
      </c>
    </row>
    <row r="27" spans="1:16" x14ac:dyDescent="0.25">
      <c r="A27" s="15" t="s">
        <v>302</v>
      </c>
      <c r="B27" s="15">
        <v>700</v>
      </c>
      <c r="C27" s="15">
        <f t="shared" si="4"/>
        <v>0.4375</v>
      </c>
      <c r="D27" s="49">
        <f t="shared" si="5"/>
        <v>4.6885465505693238E-2</v>
      </c>
      <c r="E27" s="304"/>
      <c r="F27" s="304"/>
      <c r="G27" s="312"/>
      <c r="J27" s="15" t="s">
        <v>247</v>
      </c>
      <c r="K27" s="15">
        <v>223</v>
      </c>
      <c r="L27" s="15">
        <v>1.42</v>
      </c>
      <c r="M27" s="49">
        <f>L27/1.62</f>
        <v>0.87654320987654311</v>
      </c>
    </row>
    <row r="28" spans="1:16" x14ac:dyDescent="0.25">
      <c r="A28" s="15" t="s">
        <v>5</v>
      </c>
      <c r="B28" s="15">
        <v>600</v>
      </c>
      <c r="C28" s="15">
        <f t="shared" si="4"/>
        <v>0.375</v>
      </c>
      <c r="D28" s="49">
        <f t="shared" si="5"/>
        <v>4.0187541862022773E-2</v>
      </c>
      <c r="E28" s="304"/>
      <c r="F28" s="304"/>
      <c r="G28" s="312"/>
      <c r="J28" s="15" t="s">
        <v>19</v>
      </c>
      <c r="K28" s="15">
        <v>320</v>
      </c>
      <c r="L28" s="15">
        <v>0.2</v>
      </c>
      <c r="M28" s="49">
        <f>L28/1.62</f>
        <v>0.12345679012345678</v>
      </c>
    </row>
    <row r="29" spans="1:16" x14ac:dyDescent="0.25">
      <c r="A29" s="15" t="s">
        <v>304</v>
      </c>
      <c r="B29" s="15">
        <v>50</v>
      </c>
      <c r="C29" s="15">
        <f t="shared" si="4"/>
        <v>3.125E-2</v>
      </c>
      <c r="D29" s="49">
        <f t="shared" si="5"/>
        <v>3.3489618218352311E-3</v>
      </c>
      <c r="E29" s="304"/>
      <c r="F29" s="304"/>
      <c r="G29" s="312"/>
    </row>
    <row r="30" spans="1:16" x14ac:dyDescent="0.25">
      <c r="A30" s="15" t="s">
        <v>305</v>
      </c>
      <c r="B30" s="15">
        <v>1480</v>
      </c>
      <c r="C30" s="15">
        <f>0.8538+0.0046</f>
        <v>0.85840000000000005</v>
      </c>
      <c r="D30" s="49">
        <f t="shared" si="5"/>
        <v>9.9129269926322844E-2</v>
      </c>
      <c r="E30" s="15" t="s">
        <v>326</v>
      </c>
      <c r="F30" s="15">
        <f>C30</f>
        <v>0.85840000000000005</v>
      </c>
      <c r="G30" s="49">
        <f t="shared" ref="G30:G31" si="6">F30/$F$32</f>
        <v>9.2653257273615314E-2</v>
      </c>
    </row>
    <row r="31" spans="1:16" x14ac:dyDescent="0.25">
      <c r="A31" s="15" t="s">
        <v>303</v>
      </c>
      <c r="B31" s="15">
        <v>1350</v>
      </c>
      <c r="C31" s="15">
        <f t="shared" si="4"/>
        <v>0.84375</v>
      </c>
      <c r="D31" s="49">
        <f t="shared" si="5"/>
        <v>9.0421969189551241E-2</v>
      </c>
      <c r="E31" s="15" t="s">
        <v>22</v>
      </c>
      <c r="F31" s="15">
        <f>C31</f>
        <v>0.84375</v>
      </c>
      <c r="G31" s="49">
        <f t="shared" si="6"/>
        <v>9.1071977894469844E-2</v>
      </c>
    </row>
    <row r="32" spans="1:16" x14ac:dyDescent="0.25">
      <c r="A32" s="15"/>
      <c r="B32" s="15">
        <f>SUM(B25:B31)</f>
        <v>14930</v>
      </c>
      <c r="C32" s="366">
        <f>SUM(C25:C31)</f>
        <v>9.2646499999999996</v>
      </c>
      <c r="D32" s="210">
        <f>SUM(D25:D31)</f>
        <v>1</v>
      </c>
      <c r="E32" s="15"/>
      <c r="F32" s="15">
        <f>SUM(F25:F31)</f>
        <v>9.2646499999999996</v>
      </c>
      <c r="G32" s="15">
        <f>SUM(G25:G30)</f>
        <v>0.90892802210553014</v>
      </c>
    </row>
    <row r="34" spans="1:12" x14ac:dyDescent="0.25">
      <c r="C34" s="365"/>
    </row>
    <row r="36" spans="1:12" x14ac:dyDescent="0.25">
      <c r="G36" s="209"/>
    </row>
    <row r="37" spans="1:12" x14ac:dyDescent="0.25">
      <c r="A37" s="15"/>
      <c r="B37" s="15" t="s">
        <v>352</v>
      </c>
      <c r="C37" s="15" t="s">
        <v>258</v>
      </c>
      <c r="D37" s="15" t="s">
        <v>360</v>
      </c>
      <c r="E37" s="50" t="s">
        <v>361</v>
      </c>
      <c r="F37" s="15" t="s">
        <v>363</v>
      </c>
      <c r="G37" s="50" t="s">
        <v>362</v>
      </c>
      <c r="H37" s="15" t="s">
        <v>353</v>
      </c>
      <c r="I37" s="50" t="s">
        <v>491</v>
      </c>
      <c r="J37" s="50" t="s">
        <v>380</v>
      </c>
      <c r="K37" s="50" t="s">
        <v>489</v>
      </c>
      <c r="L37" s="50" t="s">
        <v>490</v>
      </c>
    </row>
    <row r="38" spans="1:12" x14ac:dyDescent="0.25">
      <c r="A38" s="15">
        <v>1</v>
      </c>
      <c r="B38" s="128" t="s">
        <v>287</v>
      </c>
      <c r="C38" s="15">
        <f>B3</f>
        <v>5.6</v>
      </c>
      <c r="D38" s="149">
        <f>'1. DE LA RIVIERE'!C71</f>
        <v>987.49737498591469</v>
      </c>
      <c r="E38" s="15">
        <v>0</v>
      </c>
      <c r="F38" s="15">
        <v>0</v>
      </c>
      <c r="G38" s="240">
        <f>D38+E38+F38</f>
        <v>987.49737498591469</v>
      </c>
      <c r="H38" s="16">
        <f>G38/C38</f>
        <v>176.3388169617705</v>
      </c>
      <c r="I38" s="239">
        <f>'1. VAN DE LA RIVIERE'!H25</f>
        <v>49599</v>
      </c>
      <c r="J38" s="261">
        <f>I38/C38</f>
        <v>8856.9642857142862</v>
      </c>
      <c r="K38" s="261">
        <f>I38*0.8</f>
        <v>39679.200000000004</v>
      </c>
      <c r="L38" s="261">
        <f>K38/G38</f>
        <v>40.181575166785606</v>
      </c>
    </row>
    <row r="39" spans="1:12" x14ac:dyDescent="0.25">
      <c r="A39" s="15">
        <v>2</v>
      </c>
      <c r="B39" s="128" t="s">
        <v>300</v>
      </c>
      <c r="C39" s="15">
        <f>B20</f>
        <v>9.2645999999999997</v>
      </c>
      <c r="D39" s="149">
        <f>'2. DE LANGLE'!C90</f>
        <v>1997.049988568758</v>
      </c>
      <c r="E39" s="149">
        <f>'2. DE LANGLE'!H86</f>
        <v>1.2776104687499998</v>
      </c>
      <c r="F39" s="15">
        <v>0</v>
      </c>
      <c r="G39" s="240">
        <f t="shared" ref="G39:G41" si="7">D39+E39+F39</f>
        <v>1998.327599037508</v>
      </c>
      <c r="H39" s="16">
        <f t="shared" ref="H39:H40" si="8">G39/C39</f>
        <v>215.69496783860157</v>
      </c>
      <c r="I39" s="239">
        <f>'2. VAN DE LANGLE'!H25</f>
        <v>76358</v>
      </c>
      <c r="J39" s="261">
        <f>I39/C39</f>
        <v>8241.9100662737728</v>
      </c>
      <c r="K39" s="261">
        <f t="shared" ref="K39:K42" si="9">I39*0.8</f>
        <v>61086.400000000001</v>
      </c>
      <c r="L39" s="261">
        <f t="shared" ref="L39:L40" si="10">K39/G39</f>
        <v>30.568761613172029</v>
      </c>
    </row>
    <row r="40" spans="1:12" x14ac:dyDescent="0.25">
      <c r="A40" s="15">
        <v>3</v>
      </c>
      <c r="B40" s="128" t="s">
        <v>325</v>
      </c>
      <c r="C40" s="15">
        <f>K3</f>
        <v>9.1</v>
      </c>
      <c r="D40" s="149">
        <f>'3.LETOURNEUX'!C90</f>
        <v>2259.5947301379501</v>
      </c>
      <c r="E40" s="149">
        <f>'3.LETOURNEUX'!H86</f>
        <v>1.550605833333333</v>
      </c>
      <c r="F40" s="15">
        <v>0</v>
      </c>
      <c r="G40" s="240">
        <f>D40+E40+F40</f>
        <v>2261.1453359712837</v>
      </c>
      <c r="H40" s="16">
        <f t="shared" si="8"/>
        <v>248.47750944739383</v>
      </c>
      <c r="I40" s="239">
        <f>'3. VAN LETOURNEUX'!H24</f>
        <v>80254.5</v>
      </c>
      <c r="J40" s="261">
        <f>I40/C40</f>
        <v>8819.1758241758253</v>
      </c>
      <c r="K40" s="261">
        <f t="shared" si="9"/>
        <v>64203.600000000006</v>
      </c>
      <c r="L40" s="261">
        <f t="shared" si="10"/>
        <v>28.3942827462796</v>
      </c>
    </row>
    <row r="41" spans="1:12" x14ac:dyDescent="0.25">
      <c r="A41" s="15">
        <v>4</v>
      </c>
      <c r="B41" s="128" t="s">
        <v>334</v>
      </c>
      <c r="C41" s="15">
        <f>K22</f>
        <v>1.62</v>
      </c>
      <c r="D41" s="149">
        <f>'4. CONUAU'!C91</f>
        <v>251.76460449612151</v>
      </c>
      <c r="E41" s="149">
        <f>'4. CONUAU'!H87</f>
        <v>29.30320631984964</v>
      </c>
      <c r="F41" s="149">
        <f>'4. CONUAU'!N87</f>
        <v>206.20302899544436</v>
      </c>
      <c r="G41" s="240">
        <f t="shared" si="7"/>
        <v>487.2708398114155</v>
      </c>
      <c r="H41" s="16">
        <f>G41/C41</f>
        <v>300.78446901939225</v>
      </c>
      <c r="I41" s="239">
        <f>'4. VAN CONUAU'!H24</f>
        <v>8420.39</v>
      </c>
      <c r="J41" s="261">
        <f>I41/C41</f>
        <v>5197.7716049382707</v>
      </c>
      <c r="K41" s="261">
        <f t="shared" si="9"/>
        <v>6736.3119999999999</v>
      </c>
      <c r="L41" s="261">
        <f>K41/G41</f>
        <v>13.82457444530664</v>
      </c>
    </row>
    <row r="42" spans="1:12" x14ac:dyDescent="0.25">
      <c r="A42" s="386" t="s">
        <v>295</v>
      </c>
      <c r="B42" s="386"/>
      <c r="C42" s="386">
        <f>SUM(C38:C41)</f>
        <v>25.584599999999998</v>
      </c>
      <c r="D42" s="387">
        <f>SUM(D38:D41)</f>
        <v>5495.9066981887436</v>
      </c>
      <c r="E42" s="387">
        <f t="shared" ref="E42:F42" si="11">SUM(E38:E41)</f>
        <v>32.13142262193297</v>
      </c>
      <c r="F42" s="387">
        <f t="shared" si="11"/>
        <v>206.20302899544436</v>
      </c>
      <c r="G42" s="387">
        <f>SUM(G38:G41)</f>
        <v>5734.2411498061219</v>
      </c>
      <c r="H42" s="388">
        <f>G42/C42</f>
        <v>224.12862228864716</v>
      </c>
      <c r="I42" s="389">
        <f>SUM(I38:I41)</f>
        <v>214631.89</v>
      </c>
      <c r="J42" s="390">
        <f>AVERAGE(J38:J41)</f>
        <v>7778.9554452755383</v>
      </c>
      <c r="K42" s="390">
        <f t="shared" si="9"/>
        <v>171705.51200000002</v>
      </c>
      <c r="L42" s="390">
        <f>K42/G42</f>
        <v>29.943894495229848</v>
      </c>
    </row>
    <row r="44" spans="1:12" x14ac:dyDescent="0.25">
      <c r="A44" s="15" t="s">
        <v>354</v>
      </c>
      <c r="B44" s="234" t="s">
        <v>0</v>
      </c>
      <c r="C44" s="15" t="s">
        <v>359</v>
      </c>
      <c r="D44" s="15" t="s">
        <v>355</v>
      </c>
      <c r="E44" s="15" t="s">
        <v>356</v>
      </c>
    </row>
    <row r="45" spans="1:12" x14ac:dyDescent="0.25">
      <c r="A45" s="128" t="s">
        <v>287</v>
      </c>
      <c r="B45" s="15" t="s">
        <v>275</v>
      </c>
      <c r="C45" s="15" t="s">
        <v>357</v>
      </c>
      <c r="D45" s="15">
        <v>6400</v>
      </c>
      <c r="E45" s="173">
        <f>D45/$B$5</f>
        <v>4.2666666666666666</v>
      </c>
    </row>
    <row r="46" spans="1:12" x14ac:dyDescent="0.25">
      <c r="A46" s="128" t="s">
        <v>287</v>
      </c>
      <c r="B46" s="15" t="s">
        <v>189</v>
      </c>
      <c r="C46" s="15" t="s">
        <v>357</v>
      </c>
      <c r="D46" s="15">
        <v>1000</v>
      </c>
      <c r="E46" s="173">
        <f t="shared" ref="E46:E51" si="12">D46/$B$5</f>
        <v>0.66666666666666663</v>
      </c>
    </row>
    <row r="47" spans="1:12" x14ac:dyDescent="0.25">
      <c r="A47" s="128" t="s">
        <v>287</v>
      </c>
      <c r="B47" s="15" t="s">
        <v>278</v>
      </c>
      <c r="C47" s="15" t="s">
        <v>357</v>
      </c>
      <c r="D47" s="15">
        <v>100</v>
      </c>
      <c r="E47" s="173">
        <f t="shared" si="12"/>
        <v>6.6666666666666666E-2</v>
      </c>
    </row>
    <row r="48" spans="1:12" x14ac:dyDescent="0.25">
      <c r="A48" s="128" t="s">
        <v>287</v>
      </c>
      <c r="B48" s="15" t="s">
        <v>279</v>
      </c>
      <c r="C48" s="15" t="s">
        <v>357</v>
      </c>
      <c r="D48" s="15">
        <v>300</v>
      </c>
      <c r="E48" s="173">
        <f t="shared" si="12"/>
        <v>0.2</v>
      </c>
    </row>
    <row r="49" spans="1:5" x14ac:dyDescent="0.25">
      <c r="A49" s="128" t="s">
        <v>287</v>
      </c>
      <c r="B49" s="15" t="s">
        <v>280</v>
      </c>
      <c r="C49" s="15" t="s">
        <v>357</v>
      </c>
      <c r="D49" s="15">
        <v>200</v>
      </c>
      <c r="E49" s="173">
        <f t="shared" si="12"/>
        <v>0.13333333333333333</v>
      </c>
    </row>
    <row r="50" spans="1:5" x14ac:dyDescent="0.25">
      <c r="A50" s="128" t="s">
        <v>287</v>
      </c>
      <c r="B50" s="15" t="s">
        <v>281</v>
      </c>
      <c r="C50" s="15" t="s">
        <v>357</v>
      </c>
      <c r="D50" s="15">
        <v>200</v>
      </c>
      <c r="E50" s="173">
        <f t="shared" si="12"/>
        <v>0.13333333333333333</v>
      </c>
    </row>
    <row r="51" spans="1:5" x14ac:dyDescent="0.25">
      <c r="A51" s="128" t="s">
        <v>287</v>
      </c>
      <c r="B51" s="15" t="s">
        <v>282</v>
      </c>
      <c r="C51" s="15" t="s">
        <v>357</v>
      </c>
      <c r="D51" s="15">
        <v>200</v>
      </c>
      <c r="E51" s="173">
        <f t="shared" si="12"/>
        <v>0.13333333333333333</v>
      </c>
    </row>
    <row r="52" spans="1:5" x14ac:dyDescent="0.25">
      <c r="A52" s="128" t="s">
        <v>300</v>
      </c>
      <c r="B52" s="15" t="s">
        <v>275</v>
      </c>
      <c r="C52" s="15" t="s">
        <v>357</v>
      </c>
      <c r="D52" s="15">
        <v>9002.7899999999991</v>
      </c>
      <c r="E52" s="150">
        <v>5.58378</v>
      </c>
    </row>
    <row r="53" spans="1:5" x14ac:dyDescent="0.25">
      <c r="A53" s="128" t="s">
        <v>300</v>
      </c>
      <c r="B53" s="15" t="s">
        <v>301</v>
      </c>
      <c r="C53" s="15" t="s">
        <v>357</v>
      </c>
      <c r="D53" s="15">
        <v>1746.81</v>
      </c>
      <c r="E53" s="150">
        <v>1.08342</v>
      </c>
    </row>
    <row r="54" spans="1:5" x14ac:dyDescent="0.25">
      <c r="A54" s="128" t="s">
        <v>300</v>
      </c>
      <c r="B54" s="15" t="s">
        <v>302</v>
      </c>
      <c r="C54" s="15" t="s">
        <v>357</v>
      </c>
      <c r="D54" s="15">
        <v>701.70999999999992</v>
      </c>
      <c r="E54" s="150">
        <v>0.43522</v>
      </c>
    </row>
    <row r="55" spans="1:5" x14ac:dyDescent="0.25">
      <c r="A55" s="128" t="s">
        <v>300</v>
      </c>
      <c r="B55" s="15" t="s">
        <v>5</v>
      </c>
      <c r="C55" s="15" t="s">
        <v>357</v>
      </c>
      <c r="D55" s="15">
        <v>597.20000000000005</v>
      </c>
      <c r="E55" s="150">
        <v>0.37040000000000001</v>
      </c>
    </row>
    <row r="56" spans="1:5" x14ac:dyDescent="0.25">
      <c r="A56" s="128" t="s">
        <v>300</v>
      </c>
      <c r="B56" s="15" t="s">
        <v>304</v>
      </c>
      <c r="C56" s="15" t="s">
        <v>357</v>
      </c>
      <c r="D56" s="15">
        <v>44.79</v>
      </c>
      <c r="E56" s="150">
        <v>2.7779999999999999E-2</v>
      </c>
    </row>
    <row r="57" spans="1:5" x14ac:dyDescent="0.25">
      <c r="A57" s="128" t="s">
        <v>300</v>
      </c>
      <c r="B57" s="15" t="s">
        <v>305</v>
      </c>
      <c r="C57" s="15" t="s">
        <v>358</v>
      </c>
      <c r="D57" s="15">
        <v>1478.07</v>
      </c>
      <c r="E57" s="150">
        <v>0.91674</v>
      </c>
    </row>
    <row r="58" spans="1:5" x14ac:dyDescent="0.25">
      <c r="A58" s="128" t="s">
        <v>300</v>
      </c>
      <c r="B58" s="15" t="s">
        <v>303</v>
      </c>
      <c r="C58" s="15" t="s">
        <v>358</v>
      </c>
      <c r="D58" s="15">
        <v>1343.6999999999998</v>
      </c>
      <c r="E58" s="150">
        <v>0.83339999999999992</v>
      </c>
    </row>
    <row r="59" spans="1:5" x14ac:dyDescent="0.25">
      <c r="A59" s="128" t="s">
        <v>325</v>
      </c>
      <c r="B59" s="15" t="s">
        <v>275</v>
      </c>
      <c r="C59" s="15" t="s">
        <v>357</v>
      </c>
      <c r="D59" s="15">
        <v>13110</v>
      </c>
      <c r="E59" s="150">
        <v>7.2744512195121951</v>
      </c>
    </row>
    <row r="60" spans="1:5" x14ac:dyDescent="0.25">
      <c r="A60" s="128" t="s">
        <v>325</v>
      </c>
      <c r="B60" s="15" t="s">
        <v>322</v>
      </c>
      <c r="C60" s="15" t="s">
        <v>358</v>
      </c>
      <c r="D60" s="15">
        <v>1000</v>
      </c>
      <c r="E60" s="150">
        <v>0.55487804878048774</v>
      </c>
    </row>
    <row r="61" spans="1:5" x14ac:dyDescent="0.25">
      <c r="A61" s="128" t="s">
        <v>325</v>
      </c>
      <c r="B61" s="15" t="s">
        <v>22</v>
      </c>
      <c r="C61" s="15" t="s">
        <v>358</v>
      </c>
      <c r="D61" s="15">
        <v>700</v>
      </c>
      <c r="E61" s="150">
        <v>0.38841463414634142</v>
      </c>
    </row>
    <row r="62" spans="1:5" x14ac:dyDescent="0.25">
      <c r="A62" s="128" t="s">
        <v>325</v>
      </c>
      <c r="B62" s="15" t="s">
        <v>65</v>
      </c>
      <c r="C62" s="15" t="s">
        <v>358</v>
      </c>
      <c r="D62" s="15">
        <v>180</v>
      </c>
      <c r="E62" s="150">
        <v>9.9878048780487796E-2</v>
      </c>
    </row>
    <row r="63" spans="1:5" x14ac:dyDescent="0.25">
      <c r="A63" s="128" t="s">
        <v>325</v>
      </c>
      <c r="B63" s="15" t="s">
        <v>187</v>
      </c>
      <c r="C63" s="15" t="s">
        <v>357</v>
      </c>
      <c r="D63" s="15">
        <v>400</v>
      </c>
      <c r="E63" s="150">
        <v>0.22195121951219512</v>
      </c>
    </row>
    <row r="64" spans="1:5" x14ac:dyDescent="0.25">
      <c r="A64" s="128" t="s">
        <v>325</v>
      </c>
      <c r="B64" s="15" t="s">
        <v>323</v>
      </c>
      <c r="C64" s="15" t="s">
        <v>357</v>
      </c>
      <c r="D64" s="15">
        <v>300</v>
      </c>
      <c r="E64" s="150">
        <v>0.16646341463414632</v>
      </c>
    </row>
    <row r="65" spans="1:5" x14ac:dyDescent="0.25">
      <c r="A65" s="128" t="s">
        <v>325</v>
      </c>
      <c r="B65" s="15" t="s">
        <v>5</v>
      </c>
      <c r="C65" s="15" t="s">
        <v>357</v>
      </c>
      <c r="D65" s="15">
        <v>180</v>
      </c>
      <c r="E65" s="150">
        <v>9.9878048780487796E-2</v>
      </c>
    </row>
    <row r="66" spans="1:5" x14ac:dyDescent="0.25">
      <c r="A66" s="128" t="s">
        <v>325</v>
      </c>
      <c r="B66" s="15" t="s">
        <v>324</v>
      </c>
      <c r="C66" s="15" t="s">
        <v>357</v>
      </c>
      <c r="D66" s="15">
        <v>150</v>
      </c>
      <c r="E66" s="150">
        <v>8.3231707317073161E-2</v>
      </c>
    </row>
    <row r="67" spans="1:5" x14ac:dyDescent="0.25">
      <c r="A67" s="128" t="s">
        <v>325</v>
      </c>
      <c r="B67" s="15" t="s">
        <v>280</v>
      </c>
      <c r="C67" s="15" t="s">
        <v>357</v>
      </c>
      <c r="D67" s="15">
        <v>200</v>
      </c>
      <c r="E67" s="150">
        <v>0.11097560975609756</v>
      </c>
    </row>
    <row r="68" spans="1:5" x14ac:dyDescent="0.25">
      <c r="A68" s="128" t="s">
        <v>325</v>
      </c>
      <c r="B68" s="15" t="s">
        <v>279</v>
      </c>
      <c r="C68" s="15" t="s">
        <v>357</v>
      </c>
      <c r="D68" s="15">
        <v>180</v>
      </c>
      <c r="E68" s="150">
        <v>9.9878048780487796E-2</v>
      </c>
    </row>
    <row r="69" spans="1:5" x14ac:dyDescent="0.25">
      <c r="A69" s="128" t="s">
        <v>334</v>
      </c>
      <c r="B69" s="15" t="s">
        <v>247</v>
      </c>
      <c r="C69" s="15" t="s">
        <v>357</v>
      </c>
      <c r="D69" s="15">
        <v>223</v>
      </c>
      <c r="E69" s="15">
        <v>1.42</v>
      </c>
    </row>
    <row r="70" spans="1:5" x14ac:dyDescent="0.25">
      <c r="A70" s="128" t="s">
        <v>334</v>
      </c>
      <c r="B70" s="15" t="s">
        <v>275</v>
      </c>
      <c r="C70" s="15" t="s">
        <v>357</v>
      </c>
      <c r="D70" s="15">
        <v>320</v>
      </c>
      <c r="E70" s="15">
        <v>0.2</v>
      </c>
    </row>
    <row r="71" spans="1:5" x14ac:dyDescent="0.25">
      <c r="E71" s="52">
        <f>SUM(E45:E70)</f>
        <v>25.570740000000004</v>
      </c>
    </row>
    <row r="73" spans="1:5" x14ac:dyDescent="0.25">
      <c r="A73" s="15" t="s">
        <v>372</v>
      </c>
      <c r="B73" s="15" t="s">
        <v>373</v>
      </c>
      <c r="C73" s="15" t="s">
        <v>381</v>
      </c>
      <c r="D73" s="15" t="s">
        <v>382</v>
      </c>
    </row>
    <row r="74" spans="1:5" x14ac:dyDescent="0.25">
      <c r="A74" s="15" t="s">
        <v>374</v>
      </c>
      <c r="B74" s="15" t="s">
        <v>375</v>
      </c>
      <c r="C74" s="15">
        <v>0.91420000000000001</v>
      </c>
      <c r="D74" s="15">
        <f t="shared" ref="D74:D77" si="13">$D$79/$C$79*C74</f>
        <v>0.64236492760169628</v>
      </c>
    </row>
    <row r="75" spans="1:5" x14ac:dyDescent="0.25">
      <c r="A75" s="15"/>
      <c r="B75" s="15" t="s">
        <v>376</v>
      </c>
      <c r="C75" s="15">
        <v>4.2095000000000002</v>
      </c>
      <c r="D75" s="15">
        <f t="shared" si="13"/>
        <v>2.957815754473136</v>
      </c>
    </row>
    <row r="76" spans="1:5" x14ac:dyDescent="0.25">
      <c r="A76" s="15"/>
      <c r="B76" s="15" t="s">
        <v>377</v>
      </c>
      <c r="C76" s="15">
        <v>0.80969999999999998</v>
      </c>
      <c r="D76" s="15">
        <f t="shared" si="13"/>
        <v>0.56893773996838048</v>
      </c>
    </row>
    <row r="77" spans="1:5" x14ac:dyDescent="0.25">
      <c r="A77" s="15"/>
      <c r="B77" s="15" t="s">
        <v>378</v>
      </c>
      <c r="C77" s="15">
        <v>1.1986000000000001</v>
      </c>
      <c r="D77" s="15">
        <f t="shared" si="13"/>
        <v>0.84219930236643326</v>
      </c>
    </row>
    <row r="78" spans="1:5" x14ac:dyDescent="0.25">
      <c r="A78" s="15"/>
      <c r="B78" s="15" t="s">
        <v>379</v>
      </c>
      <c r="C78" s="15">
        <v>0.83779999999999999</v>
      </c>
      <c r="D78" s="15">
        <f>$D$79/$C$79*C78</f>
        <v>0.58868227559035347</v>
      </c>
    </row>
    <row r="79" spans="1:5" x14ac:dyDescent="0.25">
      <c r="A79" s="299" t="s">
        <v>295</v>
      </c>
      <c r="B79" s="300"/>
      <c r="C79" s="15">
        <f>SUM(C74:C78)</f>
        <v>7.9698000000000002</v>
      </c>
      <c r="D79" s="15">
        <v>5.6</v>
      </c>
    </row>
    <row r="82" spans="1:4" x14ac:dyDescent="0.25">
      <c r="A82" s="15" t="s">
        <v>372</v>
      </c>
      <c r="B82" s="15" t="s">
        <v>384</v>
      </c>
      <c r="C82" s="15" t="s">
        <v>381</v>
      </c>
      <c r="D82" s="50" t="s">
        <v>380</v>
      </c>
    </row>
    <row r="83" spans="1:4" x14ac:dyDescent="0.25">
      <c r="A83" s="304" t="s">
        <v>383</v>
      </c>
      <c r="B83" s="15" t="s">
        <v>385</v>
      </c>
      <c r="C83" s="15">
        <f>1.3635</f>
        <v>1.3634999999999999</v>
      </c>
      <c r="D83" s="261">
        <f t="shared" ref="D83:D93" si="14">$J$39*C83</f>
        <v>11237.84437536429</v>
      </c>
    </row>
    <row r="84" spans="1:4" x14ac:dyDescent="0.25">
      <c r="A84" s="304"/>
      <c r="B84" s="15" t="s">
        <v>386</v>
      </c>
      <c r="C84" s="15">
        <v>0.78200000000000003</v>
      </c>
      <c r="D84" s="261">
        <f t="shared" si="14"/>
        <v>6445.1736718260909</v>
      </c>
    </row>
    <row r="85" spans="1:4" x14ac:dyDescent="0.25">
      <c r="A85" s="304"/>
      <c r="B85" s="15" t="s">
        <v>387</v>
      </c>
      <c r="C85" s="15">
        <v>2.444</v>
      </c>
      <c r="D85" s="261">
        <f t="shared" si="14"/>
        <v>20143.228201973099</v>
      </c>
    </row>
    <row r="86" spans="1:4" x14ac:dyDescent="0.25">
      <c r="A86" s="304"/>
      <c r="B86" s="15" t="s">
        <v>388</v>
      </c>
      <c r="C86" s="15">
        <v>2.3144</v>
      </c>
      <c r="D86" s="261">
        <f t="shared" si="14"/>
        <v>19075.076657384019</v>
      </c>
    </row>
    <row r="87" spans="1:4" x14ac:dyDescent="0.25">
      <c r="A87" s="304"/>
      <c r="B87" s="15" t="s">
        <v>389</v>
      </c>
      <c r="C87" s="15">
        <v>0.54400000000000004</v>
      </c>
      <c r="D87" s="261">
        <f t="shared" si="14"/>
        <v>4483.599076052933</v>
      </c>
    </row>
    <row r="88" spans="1:4" x14ac:dyDescent="0.25">
      <c r="A88" s="304"/>
      <c r="B88" s="15" t="s">
        <v>390</v>
      </c>
      <c r="C88" s="15">
        <v>0.59</v>
      </c>
      <c r="D88" s="261">
        <f t="shared" si="14"/>
        <v>4862.7269391015261</v>
      </c>
    </row>
    <row r="89" spans="1:4" x14ac:dyDescent="0.25">
      <c r="A89" s="304"/>
      <c r="B89" s="15" t="s">
        <v>391</v>
      </c>
      <c r="C89" s="15">
        <v>7.7499999999999999E-2</v>
      </c>
      <c r="D89" s="261">
        <f t="shared" si="14"/>
        <v>638.74803013621738</v>
      </c>
    </row>
    <row r="90" spans="1:4" x14ac:dyDescent="0.25">
      <c r="A90" s="304"/>
      <c r="B90" s="15" t="s">
        <v>392</v>
      </c>
      <c r="C90" s="15">
        <v>5.1299999999999998E-2</v>
      </c>
      <c r="D90" s="261">
        <f t="shared" si="14"/>
        <v>422.80998639984455</v>
      </c>
    </row>
    <row r="91" spans="1:4" x14ac:dyDescent="0.25">
      <c r="A91" s="304"/>
      <c r="B91" s="15" t="s">
        <v>393</v>
      </c>
      <c r="C91" s="15">
        <v>0.38100000000000001</v>
      </c>
      <c r="D91" s="261">
        <f t="shared" si="14"/>
        <v>3140.1677352503075</v>
      </c>
    </row>
    <row r="92" spans="1:4" x14ac:dyDescent="0.25">
      <c r="A92" s="304"/>
      <c r="B92" s="15" t="s">
        <v>394</v>
      </c>
      <c r="C92" s="15">
        <v>0.40039999999999998</v>
      </c>
      <c r="D92" s="261">
        <f t="shared" si="14"/>
        <v>3300.0607905360184</v>
      </c>
    </row>
    <row r="93" spans="1:4" x14ac:dyDescent="0.25">
      <c r="A93" s="304"/>
      <c r="B93" s="15" t="s">
        <v>395</v>
      </c>
      <c r="C93" s="15">
        <v>0.32950000000000002</v>
      </c>
      <c r="D93" s="261">
        <f t="shared" si="14"/>
        <v>2715.7093668372081</v>
      </c>
    </row>
    <row r="94" spans="1:4" x14ac:dyDescent="0.25">
      <c r="A94" s="314" t="s">
        <v>295</v>
      </c>
      <c r="B94" s="314"/>
      <c r="C94" s="15">
        <f>SUM(C83:C93)</f>
        <v>9.2775999999999996</v>
      </c>
      <c r="D94" s="15">
        <f>SUM(D83:D93)</f>
        <v>76465.144830861565</v>
      </c>
    </row>
  </sheetData>
  <mergeCells count="19">
    <mergeCell ref="G26:G29"/>
    <mergeCell ref="G8:G9"/>
    <mergeCell ref="G10:G14"/>
    <mergeCell ref="E8:E9"/>
    <mergeCell ref="E10:E12"/>
    <mergeCell ref="F8:F9"/>
    <mergeCell ref="F10:F12"/>
    <mergeCell ref="F13:F14"/>
    <mergeCell ref="N8:N9"/>
    <mergeCell ref="O8:O9"/>
    <mergeCell ref="P8:P9"/>
    <mergeCell ref="O11:O16"/>
    <mergeCell ref="P11:P16"/>
    <mergeCell ref="N12:N16"/>
    <mergeCell ref="A94:B94"/>
    <mergeCell ref="A83:A93"/>
    <mergeCell ref="A79:B79"/>
    <mergeCell ref="E26:E29"/>
    <mergeCell ref="F26:F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X148"/>
  <sheetViews>
    <sheetView showGridLines="0" view="pageBreakPreview" topLeftCell="A34" zoomScaleNormal="100" zoomScaleSheetLayoutView="100" workbookViewId="0">
      <selection activeCell="K17" sqref="K17"/>
    </sheetView>
  </sheetViews>
  <sheetFormatPr baseColWidth="10" defaultRowHeight="15" x14ac:dyDescent="0.25"/>
  <cols>
    <col min="1" max="1" width="5" customWidth="1"/>
    <col min="2" max="2" width="41.28515625" bestFit="1" customWidth="1"/>
    <col min="3" max="3" width="18" bestFit="1" customWidth="1"/>
    <col min="4" max="4" width="19.140625" bestFit="1" customWidth="1"/>
    <col min="5" max="5" width="17.5703125" bestFit="1" customWidth="1"/>
    <col min="6" max="8" width="13.28515625" bestFit="1" customWidth="1"/>
    <col min="9" max="9" width="15.85546875" customWidth="1"/>
    <col min="11" max="11" width="28" customWidth="1"/>
    <col min="12" max="12" width="11.85546875" bestFit="1" customWidth="1"/>
    <col min="15" max="24" width="11.42578125" style="35"/>
  </cols>
  <sheetData>
    <row r="1" spans="1:12" customFormat="1" ht="16.5" x14ac:dyDescent="0.3">
      <c r="A1" s="340" t="s">
        <v>154</v>
      </c>
      <c r="B1" s="340"/>
      <c r="C1" s="340"/>
      <c r="D1" s="340"/>
      <c r="E1" s="340"/>
      <c r="F1" s="340"/>
      <c r="G1" s="340"/>
      <c r="H1" s="340"/>
      <c r="I1" s="340"/>
    </row>
    <row r="2" spans="1:12" customFormat="1" x14ac:dyDescent="0.25"/>
    <row r="3" spans="1:12" customFormat="1" x14ac:dyDescent="0.2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</row>
    <row r="4" spans="1:12" customFormat="1" x14ac:dyDescent="0.2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</row>
    <row r="5" spans="1:12" customFormat="1" x14ac:dyDescent="0.25">
      <c r="A5" t="s">
        <v>46</v>
      </c>
      <c r="B5" s="2" t="s">
        <v>16</v>
      </c>
      <c r="C5" s="3">
        <v>4.4999999999999998E-2</v>
      </c>
      <c r="G5" s="6"/>
      <c r="H5" s="6"/>
      <c r="I5" s="6"/>
    </row>
    <row r="6" spans="1:12" customFormat="1" x14ac:dyDescent="0.25">
      <c r="A6" t="s">
        <v>47</v>
      </c>
      <c r="B6" s="2" t="s">
        <v>17</v>
      </c>
      <c r="C6" s="2">
        <f>100*C3</f>
        <v>200</v>
      </c>
    </row>
    <row r="7" spans="1:12" customFormat="1" x14ac:dyDescent="0.25"/>
    <row r="8" spans="1:12" customFormat="1" ht="16.5" x14ac:dyDescent="0.3">
      <c r="A8" s="340" t="s">
        <v>273</v>
      </c>
      <c r="B8" s="340"/>
      <c r="C8" s="340"/>
      <c r="D8" s="340"/>
      <c r="E8" s="340"/>
      <c r="F8" s="340"/>
      <c r="G8" s="340"/>
      <c r="H8" s="340"/>
      <c r="I8" s="340"/>
    </row>
    <row r="9" spans="1:12" customFormat="1" ht="15.75" thickBot="1" x14ac:dyDescent="0.3"/>
    <row r="10" spans="1:12" customFormat="1" ht="66.75" thickBot="1" x14ac:dyDescent="0.3">
      <c r="A10" s="341" t="s">
        <v>274</v>
      </c>
      <c r="B10" s="342"/>
      <c r="C10" s="342" t="s">
        <v>259</v>
      </c>
      <c r="D10" s="342"/>
      <c r="E10" s="155" t="s">
        <v>260</v>
      </c>
      <c r="F10" s="155" t="s">
        <v>261</v>
      </c>
      <c r="G10" s="155" t="s">
        <v>262</v>
      </c>
      <c r="H10" s="155" t="s">
        <v>263</v>
      </c>
      <c r="I10" s="155" t="s">
        <v>264</v>
      </c>
    </row>
    <row r="11" spans="1:12" customFormat="1" ht="16.5" customHeight="1" x14ac:dyDescent="0.25">
      <c r="A11" s="348" t="s">
        <v>274</v>
      </c>
      <c r="B11" s="349"/>
      <c r="C11" s="324" t="s">
        <v>289</v>
      </c>
      <c r="D11" s="324"/>
      <c r="E11" s="325" t="s">
        <v>288</v>
      </c>
      <c r="F11" s="156">
        <f>650</f>
        <v>650</v>
      </c>
      <c r="G11" s="343">
        <f>Répartition!F8</f>
        <v>4.9333333333333336</v>
      </c>
      <c r="H11" s="157">
        <f>F11*G11</f>
        <v>3206.666666666667</v>
      </c>
      <c r="I11" s="168"/>
      <c r="J11" s="154"/>
      <c r="K11" s="368"/>
      <c r="L11" s="369"/>
    </row>
    <row r="12" spans="1:12" customFormat="1" ht="16.5" x14ac:dyDescent="0.25">
      <c r="A12" s="350"/>
      <c r="B12" s="321"/>
      <c r="C12" s="330" t="s">
        <v>291</v>
      </c>
      <c r="D12" s="331"/>
      <c r="E12" s="326"/>
      <c r="F12" s="156">
        <f>0.6*1500</f>
        <v>900</v>
      </c>
      <c r="G12" s="344"/>
      <c r="H12" s="157">
        <f>F12*G11</f>
        <v>4440</v>
      </c>
      <c r="I12" s="168"/>
      <c r="J12" s="154"/>
      <c r="K12" s="368"/>
      <c r="L12" s="369"/>
    </row>
    <row r="13" spans="1:12" customFormat="1" ht="16.5" x14ac:dyDescent="0.25">
      <c r="A13" s="350"/>
      <c r="B13" s="321"/>
      <c r="C13" s="324" t="s">
        <v>292</v>
      </c>
      <c r="D13" s="324"/>
      <c r="E13" s="326"/>
      <c r="F13" s="156">
        <f>H13/G11</f>
        <v>1842.9729729729729</v>
      </c>
      <c r="G13" s="344"/>
      <c r="H13" s="157">
        <f>7872+1220</f>
        <v>9092</v>
      </c>
      <c r="I13" s="168"/>
      <c r="K13" s="368"/>
      <c r="L13" s="369"/>
    </row>
    <row r="14" spans="1:12" customFormat="1" ht="17.25" thickBot="1" x14ac:dyDescent="0.3">
      <c r="A14" s="351"/>
      <c r="B14" s="323"/>
      <c r="C14" s="332" t="s">
        <v>294</v>
      </c>
      <c r="D14" s="332"/>
      <c r="E14" s="327"/>
      <c r="F14" s="158">
        <f>0.25*4*1500</f>
        <v>1500</v>
      </c>
      <c r="G14" s="344"/>
      <c r="H14" s="158">
        <f>F14*G11</f>
        <v>7400</v>
      </c>
      <c r="I14" s="169"/>
      <c r="J14" t="s">
        <v>290</v>
      </c>
      <c r="K14" s="370"/>
      <c r="L14" s="371"/>
    </row>
    <row r="15" spans="1:12" customFormat="1" ht="50.25" thickBot="1" x14ac:dyDescent="0.3">
      <c r="A15" s="159" t="s">
        <v>265</v>
      </c>
      <c r="B15" s="160">
        <f>1300*G11</f>
        <v>6413.3333333333339</v>
      </c>
      <c r="C15" s="346" t="s">
        <v>266</v>
      </c>
      <c r="D15" s="346"/>
      <c r="E15" s="347"/>
      <c r="F15" s="161">
        <f>H15/G11</f>
        <v>4892.9729729729734</v>
      </c>
      <c r="G15" s="345"/>
      <c r="H15" s="162">
        <f>SUM(H11:H14)</f>
        <v>24138.666666666668</v>
      </c>
      <c r="I15" s="170"/>
    </row>
    <row r="16" spans="1:12" customFormat="1" ht="17.25" customHeight="1" thickBot="1" x14ac:dyDescent="0.3">
      <c r="A16" s="320" t="s">
        <v>270</v>
      </c>
      <c r="B16" s="321"/>
      <c r="C16" s="324" t="s">
        <v>289</v>
      </c>
      <c r="D16" s="324"/>
      <c r="E16" s="325" t="s">
        <v>293</v>
      </c>
      <c r="F16" s="163">
        <f>650</f>
        <v>650</v>
      </c>
      <c r="G16" s="328">
        <f>Répartition!F10+Répartition!F13</f>
        <v>0.66666666666666674</v>
      </c>
      <c r="H16" s="163">
        <f>F16*G16</f>
        <v>433.33333333333337</v>
      </c>
      <c r="I16" s="171"/>
    </row>
    <row r="17" spans="1:24" ht="17.25" customHeight="1" thickBot="1" x14ac:dyDescent="0.3">
      <c r="A17" s="320"/>
      <c r="B17" s="321"/>
      <c r="C17" s="330" t="s">
        <v>291</v>
      </c>
      <c r="D17" s="331"/>
      <c r="E17" s="326"/>
      <c r="F17" s="163">
        <f>0.6*1500</f>
        <v>900</v>
      </c>
      <c r="G17" s="329"/>
      <c r="H17" s="163">
        <f>F17*G16</f>
        <v>600.00000000000011</v>
      </c>
      <c r="I17" s="171"/>
      <c r="O17"/>
      <c r="P17"/>
      <c r="Q17"/>
      <c r="R17"/>
      <c r="S17"/>
      <c r="T17"/>
      <c r="U17"/>
      <c r="V17"/>
      <c r="W17"/>
      <c r="X17"/>
    </row>
    <row r="18" spans="1:24" ht="17.25" customHeight="1" thickBot="1" x14ac:dyDescent="0.3">
      <c r="A18" s="320"/>
      <c r="B18" s="321"/>
      <c r="C18" s="324" t="s">
        <v>292</v>
      </c>
      <c r="D18" s="324"/>
      <c r="E18" s="326"/>
      <c r="F18" s="163">
        <f>H18/G16</f>
        <v>2278.4999999999995</v>
      </c>
      <c r="G18" s="329"/>
      <c r="H18" s="157">
        <f>172+297+454+108+488</f>
        <v>1519</v>
      </c>
      <c r="I18" s="171"/>
      <c r="O18"/>
      <c r="P18"/>
      <c r="Q18"/>
      <c r="R18"/>
      <c r="S18"/>
      <c r="T18"/>
      <c r="U18"/>
      <c r="V18"/>
      <c r="W18"/>
      <c r="X18"/>
    </row>
    <row r="19" spans="1:24" ht="17.25" customHeight="1" thickBot="1" x14ac:dyDescent="0.3">
      <c r="A19" s="322"/>
      <c r="B19" s="323"/>
      <c r="C19" s="332" t="s">
        <v>294</v>
      </c>
      <c r="D19" s="332"/>
      <c r="E19" s="327"/>
      <c r="F19" s="158">
        <f>0.25*4*1500</f>
        <v>1500</v>
      </c>
      <c r="G19" s="329"/>
      <c r="H19" s="158">
        <f>F19*G16</f>
        <v>1000.0000000000001</v>
      </c>
      <c r="I19" s="171"/>
      <c r="O19"/>
      <c r="P19"/>
      <c r="Q19"/>
      <c r="R19"/>
      <c r="S19"/>
      <c r="T19"/>
      <c r="U19"/>
      <c r="V19"/>
      <c r="W19"/>
      <c r="X19"/>
    </row>
    <row r="20" spans="1:24" ht="49.5" x14ac:dyDescent="0.25">
      <c r="A20" s="164" t="s">
        <v>265</v>
      </c>
      <c r="B20" s="165">
        <f>5400</f>
        <v>5400</v>
      </c>
      <c r="C20" s="333" t="s">
        <v>266</v>
      </c>
      <c r="D20" s="334"/>
      <c r="E20" s="335"/>
      <c r="F20" s="166">
        <f>H20/G16</f>
        <v>5328.5</v>
      </c>
      <c r="G20" s="329"/>
      <c r="H20" s="167">
        <f>SUM(H16:H19)</f>
        <v>3552.3333333333335</v>
      </c>
      <c r="I20" s="170"/>
      <c r="O20"/>
      <c r="P20"/>
      <c r="Q20"/>
      <c r="R20"/>
      <c r="S20"/>
      <c r="T20"/>
      <c r="U20"/>
      <c r="V20"/>
      <c r="W20"/>
      <c r="X20"/>
    </row>
    <row r="21" spans="1:24" ht="16.5" x14ac:dyDescent="0.25">
      <c r="A21" s="318" t="s">
        <v>267</v>
      </c>
      <c r="B21" s="318"/>
      <c r="C21" s="318"/>
      <c r="D21" s="318"/>
      <c r="E21" s="318"/>
      <c r="F21" s="318"/>
      <c r="G21" s="318"/>
      <c r="H21" s="319">
        <f>H15+H20</f>
        <v>27691</v>
      </c>
      <c r="I21" s="319"/>
      <c r="O21"/>
      <c r="P21"/>
      <c r="Q21"/>
      <c r="R21"/>
      <c r="S21"/>
      <c r="T21"/>
      <c r="U21"/>
      <c r="V21"/>
      <c r="W21"/>
      <c r="X21"/>
    </row>
    <row r="22" spans="1:24" ht="17.25" thickBot="1" x14ac:dyDescent="0.3">
      <c r="A22" s="336" t="s">
        <v>268</v>
      </c>
      <c r="B22" s="336"/>
      <c r="C22" s="336"/>
      <c r="D22" s="336"/>
      <c r="E22" s="336"/>
      <c r="F22" s="336"/>
      <c r="G22" s="336"/>
      <c r="H22" s="337">
        <f>2400+720</f>
        <v>3120</v>
      </c>
      <c r="I22" s="338"/>
      <c r="J22" s="19"/>
      <c r="K22" s="19"/>
      <c r="L22" s="19"/>
      <c r="O22"/>
      <c r="P22"/>
      <c r="Q22"/>
      <c r="R22"/>
      <c r="S22"/>
      <c r="T22"/>
      <c r="U22"/>
      <c r="V22"/>
      <c r="W22"/>
      <c r="X22"/>
    </row>
    <row r="23" spans="1:24" ht="14.45" customHeight="1" thickBot="1" x14ac:dyDescent="0.3">
      <c r="A23" s="316" t="s">
        <v>504</v>
      </c>
      <c r="B23" s="316"/>
      <c r="C23" s="316"/>
      <c r="D23" s="316"/>
      <c r="E23" s="316"/>
      <c r="F23" s="316"/>
      <c r="G23" s="316"/>
      <c r="H23" s="235">
        <f>H21+H22</f>
        <v>30811</v>
      </c>
      <c r="I23" s="236"/>
      <c r="M23" s="52"/>
      <c r="O23"/>
      <c r="P23"/>
      <c r="Q23"/>
      <c r="R23"/>
      <c r="S23"/>
      <c r="T23"/>
      <c r="U23"/>
      <c r="V23"/>
      <c r="W23"/>
      <c r="X23"/>
    </row>
    <row r="24" spans="1:24" ht="14.45" customHeight="1" thickBot="1" x14ac:dyDescent="0.3">
      <c r="A24" s="316" t="s">
        <v>505</v>
      </c>
      <c r="B24" s="316"/>
      <c r="C24" s="316"/>
      <c r="D24" s="316"/>
      <c r="E24" s="316"/>
      <c r="F24" s="316"/>
      <c r="G24" s="316"/>
      <c r="H24" s="235">
        <f>28028-9240</f>
        <v>18788</v>
      </c>
      <c r="I24" s="236"/>
      <c r="M24" s="52"/>
      <c r="O24"/>
      <c r="P24"/>
      <c r="Q24"/>
      <c r="R24"/>
      <c r="S24"/>
      <c r="T24"/>
      <c r="U24"/>
      <c r="V24"/>
      <c r="W24"/>
      <c r="X24"/>
    </row>
    <row r="25" spans="1:24" ht="14.45" customHeight="1" thickBot="1" x14ac:dyDescent="0.3">
      <c r="A25" s="316" t="s">
        <v>269</v>
      </c>
      <c r="B25" s="316"/>
      <c r="C25" s="316"/>
      <c r="D25" s="316"/>
      <c r="E25" s="316"/>
      <c r="F25" s="316"/>
      <c r="G25" s="316"/>
      <c r="H25" s="235">
        <f>H23+H24</f>
        <v>49599</v>
      </c>
      <c r="I25" s="236"/>
      <c r="M25" s="52"/>
      <c r="O25"/>
      <c r="P25"/>
      <c r="Q25"/>
      <c r="R25"/>
      <c r="S25"/>
      <c r="T25"/>
      <c r="U25"/>
      <c r="V25"/>
      <c r="W25"/>
      <c r="X25"/>
    </row>
    <row r="26" spans="1:24" x14ac:dyDescent="0.25">
      <c r="A26" s="35"/>
      <c r="C26" s="107"/>
      <c r="D26" s="35"/>
      <c r="E26" s="35"/>
      <c r="F26" s="35"/>
      <c r="G26" s="35"/>
      <c r="H26" s="35"/>
      <c r="I26" s="35"/>
      <c r="M26" s="52"/>
      <c r="O26"/>
      <c r="P26"/>
      <c r="Q26"/>
      <c r="R26"/>
      <c r="S26"/>
      <c r="T26"/>
      <c r="U26"/>
      <c r="V26"/>
      <c r="W26"/>
      <c r="X26"/>
    </row>
    <row r="27" spans="1:24" ht="16.5" x14ac:dyDescent="0.3">
      <c r="A27" s="339" t="s">
        <v>107</v>
      </c>
      <c r="B27" s="339" t="s">
        <v>272</v>
      </c>
      <c r="C27" s="339"/>
      <c r="D27" s="339"/>
      <c r="E27" s="339"/>
      <c r="F27" s="339"/>
      <c r="G27" s="339"/>
      <c r="H27" s="339"/>
      <c r="I27" s="339"/>
      <c r="O27"/>
      <c r="P27"/>
      <c r="Q27"/>
      <c r="R27"/>
      <c r="S27"/>
      <c r="T27"/>
      <c r="U27"/>
      <c r="V27"/>
      <c r="W27"/>
      <c r="X27"/>
    </row>
    <row r="28" spans="1:24" s="17" customFormat="1" x14ac:dyDescent="0.25">
      <c r="A28" s="35"/>
      <c r="B28" s="108"/>
      <c r="E28" s="109"/>
      <c r="F28" s="109"/>
      <c r="G28" s="109"/>
      <c r="H28" s="109"/>
      <c r="I28" s="35"/>
      <c r="K28" s="218"/>
      <c r="L28" s="218"/>
      <c r="M28" s="218"/>
      <c r="N28" s="218"/>
      <c r="O28" s="218"/>
    </row>
    <row r="29" spans="1:24" s="17" customFormat="1" x14ac:dyDescent="0.25">
      <c r="A29" s="35"/>
      <c r="C29" s="110" t="s">
        <v>16</v>
      </c>
      <c r="D29" s="172">
        <f>0.045</f>
        <v>4.4999999999999998E-2</v>
      </c>
      <c r="H29"/>
      <c r="I29"/>
      <c r="K29" s="218"/>
      <c r="L29" s="218"/>
      <c r="M29" s="218"/>
      <c r="N29" s="218"/>
      <c r="O29" s="218"/>
    </row>
    <row r="30" spans="1:24" s="17" customFormat="1" x14ac:dyDescent="0.25">
      <c r="A30" s="35"/>
      <c r="H30"/>
      <c r="I30"/>
      <c r="K30" s="35"/>
      <c r="L30" s="35"/>
      <c r="M30" s="35"/>
      <c r="N30" s="35"/>
      <c r="O30" s="35"/>
    </row>
    <row r="31" spans="1:24" s="17" customFormat="1" x14ac:dyDescent="0.25">
      <c r="A31" s="35"/>
      <c r="B31" s="17" t="s">
        <v>54</v>
      </c>
      <c r="C31" s="196">
        <f>G11</f>
        <v>4.9333333333333336</v>
      </c>
      <c r="H31" t="s">
        <v>298</v>
      </c>
      <c r="I31" s="195">
        <f>G16</f>
        <v>0.66666666666666674</v>
      </c>
    </row>
    <row r="32" spans="1:24" s="17" customFormat="1" x14ac:dyDescent="0.25">
      <c r="A32" s="35"/>
      <c r="H32"/>
      <c r="I32"/>
    </row>
    <row r="33" spans="1:24" s="17" customFormat="1" x14ac:dyDescent="0.25">
      <c r="A33" s="35"/>
      <c r="B33" s="90" t="s">
        <v>271</v>
      </c>
      <c r="C33" s="111" t="s">
        <v>202</v>
      </c>
      <c r="D33" s="111" t="s">
        <v>203</v>
      </c>
      <c r="E33" s="111" t="s">
        <v>204</v>
      </c>
      <c r="F33" s="111" t="s">
        <v>106</v>
      </c>
      <c r="G33" s="109"/>
      <c r="H33" s="90" t="s">
        <v>297</v>
      </c>
      <c r="I33" s="111" t="s">
        <v>202</v>
      </c>
      <c r="J33" s="111" t="s">
        <v>203</v>
      </c>
      <c r="K33" s="111" t="s">
        <v>204</v>
      </c>
      <c r="L33" s="111" t="s">
        <v>106</v>
      </c>
      <c r="N33" s="90"/>
      <c r="O33" s="109"/>
      <c r="P33" s="109"/>
      <c r="Q33" s="109"/>
      <c r="R33" s="109"/>
      <c r="S33" s="35"/>
      <c r="T33" s="90"/>
      <c r="U33" s="109"/>
      <c r="V33" s="109"/>
      <c r="W33" s="109"/>
      <c r="X33" s="109"/>
    </row>
    <row r="34" spans="1:24" s="17" customFormat="1" x14ac:dyDescent="0.25">
      <c r="A34" s="35"/>
      <c r="B34" s="90" t="s">
        <v>296</v>
      </c>
      <c r="C34" s="182">
        <v>1</v>
      </c>
      <c r="D34" s="183">
        <v>0</v>
      </c>
      <c r="E34" s="184">
        <f>F11</f>
        <v>650</v>
      </c>
      <c r="F34" s="185">
        <f t="shared" ref="F34:F55" si="0">(D34-E34)/((1+$D$29)^C34)</f>
        <v>-622.00956937799049</v>
      </c>
      <c r="G34" s="109"/>
      <c r="H34" s="90" t="s">
        <v>296</v>
      </c>
      <c r="I34" s="113">
        <v>1</v>
      </c>
      <c r="J34" s="193">
        <v>0</v>
      </c>
      <c r="K34" s="111">
        <f>F16</f>
        <v>650</v>
      </c>
      <c r="L34" s="114">
        <f t="shared" ref="L34:L51" si="1">(J34-K34)/((1+$D$29)^I34)</f>
        <v>-622.00956937799049</v>
      </c>
      <c r="N34" s="90"/>
      <c r="O34" s="90"/>
      <c r="P34" s="190"/>
      <c r="Q34" s="109"/>
      <c r="R34" s="123"/>
      <c r="S34" s="35"/>
      <c r="T34" s="90"/>
      <c r="U34" s="90"/>
      <c r="V34" s="190"/>
      <c r="W34" s="109"/>
      <c r="X34" s="123"/>
    </row>
    <row r="35" spans="1:24" s="17" customFormat="1" x14ac:dyDescent="0.25">
      <c r="A35" s="35"/>
      <c r="B35" s="112" t="s">
        <v>205</v>
      </c>
      <c r="C35" s="182">
        <v>1</v>
      </c>
      <c r="D35" s="183">
        <v>0</v>
      </c>
      <c r="E35" s="184">
        <f>F12+F13+(F14/4)</f>
        <v>3117.9729729729729</v>
      </c>
      <c r="F35" s="185">
        <f t="shared" si="0"/>
        <v>-2983.7061942325104</v>
      </c>
      <c r="G35" s="109"/>
      <c r="H35" s="112" t="s">
        <v>205</v>
      </c>
      <c r="I35" s="113">
        <v>1</v>
      </c>
      <c r="J35" s="193">
        <v>0</v>
      </c>
      <c r="K35" s="111">
        <f>F17+F18+(F19/4)</f>
        <v>3553.4999999999995</v>
      </c>
      <c r="L35" s="114">
        <f t="shared" si="1"/>
        <v>-3400.4784688995214</v>
      </c>
      <c r="N35" s="112"/>
      <c r="O35" s="90"/>
      <c r="P35" s="190"/>
      <c r="Q35" s="109"/>
      <c r="R35" s="123"/>
      <c r="S35" s="35"/>
      <c r="T35" s="112"/>
      <c r="U35" s="90"/>
      <c r="V35" s="190"/>
      <c r="W35" s="109"/>
      <c r="X35" s="123"/>
    </row>
    <row r="36" spans="1:24" s="17" customFormat="1" x14ac:dyDescent="0.25">
      <c r="A36" s="35"/>
      <c r="B36" s="117" t="s">
        <v>210</v>
      </c>
      <c r="C36" s="182">
        <v>2</v>
      </c>
      <c r="D36" s="183">
        <v>0</v>
      </c>
      <c r="E36" s="184">
        <v>0</v>
      </c>
      <c r="F36" s="185">
        <f t="shared" si="0"/>
        <v>0</v>
      </c>
      <c r="G36" s="109"/>
      <c r="H36" s="117" t="s">
        <v>210</v>
      </c>
      <c r="I36" s="113">
        <v>2</v>
      </c>
      <c r="J36" s="193">
        <v>0</v>
      </c>
      <c r="K36" s="111">
        <v>0</v>
      </c>
      <c r="L36" s="114">
        <f t="shared" si="1"/>
        <v>0</v>
      </c>
      <c r="N36" s="117"/>
      <c r="O36" s="90"/>
      <c r="P36" s="190"/>
      <c r="Q36" s="109"/>
      <c r="R36" s="123"/>
      <c r="S36" s="35"/>
      <c r="T36" s="117"/>
      <c r="U36" s="90"/>
      <c r="V36" s="190"/>
      <c r="W36" s="109"/>
      <c r="X36" s="123"/>
    </row>
    <row r="37" spans="1:24" s="17" customFormat="1" x14ac:dyDescent="0.25">
      <c r="A37" s="35"/>
      <c r="B37" s="112" t="s">
        <v>206</v>
      </c>
      <c r="C37" s="182">
        <v>2</v>
      </c>
      <c r="D37" s="183">
        <v>0</v>
      </c>
      <c r="E37" s="184">
        <f>F14/4</f>
        <v>375</v>
      </c>
      <c r="F37" s="185">
        <f t="shared" si="0"/>
        <v>-343.39873171401757</v>
      </c>
      <c r="G37" s="109"/>
      <c r="H37" s="112" t="s">
        <v>206</v>
      </c>
      <c r="I37" s="113">
        <v>2</v>
      </c>
      <c r="J37" s="193">
        <v>0</v>
      </c>
      <c r="K37" s="111">
        <f>F14/4</f>
        <v>375</v>
      </c>
      <c r="L37" s="114">
        <f t="shared" si="1"/>
        <v>-343.39873171401757</v>
      </c>
      <c r="N37" s="112"/>
      <c r="O37" s="90"/>
      <c r="P37" s="190"/>
      <c r="Q37" s="109"/>
      <c r="R37" s="123"/>
      <c r="S37" s="35"/>
      <c r="T37" s="112"/>
      <c r="U37" s="90"/>
      <c r="V37" s="190"/>
      <c r="W37" s="109"/>
      <c r="X37" s="123"/>
    </row>
    <row r="38" spans="1:24" s="17" customFormat="1" ht="15" customHeight="1" x14ac:dyDescent="0.25">
      <c r="A38" s="35"/>
      <c r="B38" s="112" t="s">
        <v>207</v>
      </c>
      <c r="C38" s="182">
        <v>3</v>
      </c>
      <c r="D38" s="183">
        <v>0</v>
      </c>
      <c r="E38" s="184">
        <f>F14/4</f>
        <v>375</v>
      </c>
      <c r="F38" s="185">
        <f t="shared" si="0"/>
        <v>-328.611226520591</v>
      </c>
      <c r="G38" s="109"/>
      <c r="H38" s="112" t="s">
        <v>207</v>
      </c>
      <c r="I38" s="113">
        <v>3</v>
      </c>
      <c r="J38" s="193">
        <v>0</v>
      </c>
      <c r="K38" s="111">
        <f>F14/4</f>
        <v>375</v>
      </c>
      <c r="L38" s="114">
        <f t="shared" si="1"/>
        <v>-328.611226520591</v>
      </c>
      <c r="N38" s="112"/>
      <c r="O38" s="90"/>
      <c r="P38" s="190"/>
      <c r="Q38" s="109"/>
      <c r="R38" s="123"/>
      <c r="S38" s="35"/>
      <c r="T38" s="112"/>
      <c r="U38" s="90"/>
      <c r="V38" s="190"/>
      <c r="W38" s="109"/>
      <c r="X38" s="123"/>
    </row>
    <row r="39" spans="1:24" s="17" customFormat="1" x14ac:dyDescent="0.25">
      <c r="A39" s="35"/>
      <c r="B39" s="112" t="s">
        <v>208</v>
      </c>
      <c r="C39" s="182">
        <v>4</v>
      </c>
      <c r="D39" s="186">
        <v>0</v>
      </c>
      <c r="E39" s="184">
        <f>F14/4</f>
        <v>375</v>
      </c>
      <c r="F39" s="185">
        <f t="shared" si="0"/>
        <v>-314.46050384745558</v>
      </c>
      <c r="G39" s="109"/>
      <c r="H39" s="112" t="s">
        <v>208</v>
      </c>
      <c r="I39" s="113">
        <v>4</v>
      </c>
      <c r="J39" s="194">
        <v>0</v>
      </c>
      <c r="K39" s="111">
        <f>F14/4</f>
        <v>375</v>
      </c>
      <c r="L39" s="114">
        <f t="shared" si="1"/>
        <v>-314.46050384745558</v>
      </c>
      <c r="N39" s="112"/>
      <c r="O39" s="90"/>
      <c r="P39" s="191"/>
      <c r="Q39" s="109"/>
      <c r="R39" s="123"/>
      <c r="S39" s="35"/>
      <c r="T39" s="112"/>
      <c r="U39" s="90"/>
      <c r="V39" s="191"/>
      <c r="W39" s="109"/>
      <c r="X39" s="123"/>
    </row>
    <row r="40" spans="1:24" s="17" customFormat="1" x14ac:dyDescent="0.25">
      <c r="A40" s="35"/>
      <c r="B40" s="112" t="s">
        <v>209</v>
      </c>
      <c r="C40" s="187">
        <v>36</v>
      </c>
      <c r="D40" s="186">
        <v>0</v>
      </c>
      <c r="E40" s="184">
        <v>150</v>
      </c>
      <c r="F40" s="185">
        <f t="shared" si="0"/>
        <v>-30.754226104204811</v>
      </c>
      <c r="G40" s="109"/>
      <c r="H40" s="112" t="s">
        <v>209</v>
      </c>
      <c r="I40" s="50">
        <v>15</v>
      </c>
      <c r="J40" s="194">
        <v>80</v>
      </c>
      <c r="K40" s="111">
        <v>150</v>
      </c>
      <c r="L40" s="114">
        <f t="shared" si="1"/>
        <v>-36.170430962103758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25">
      <c r="A41" s="35"/>
      <c r="B41" s="112" t="s">
        <v>2</v>
      </c>
      <c r="C41" s="187">
        <v>44</v>
      </c>
      <c r="D41" s="186">
        <v>0</v>
      </c>
      <c r="E41" s="184">
        <v>150</v>
      </c>
      <c r="F41" s="185">
        <f t="shared" si="0"/>
        <v>-21.625914387914221</v>
      </c>
      <c r="G41" s="109"/>
      <c r="H41" s="112" t="s">
        <v>2</v>
      </c>
      <c r="I41" s="50">
        <v>20</v>
      </c>
      <c r="J41" s="194">
        <v>123.8826</v>
      </c>
      <c r="K41" s="111">
        <v>150</v>
      </c>
      <c r="L41" s="114">
        <f t="shared" si="1"/>
        <v>-10.82939342352617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25">
      <c r="A42" s="35"/>
      <c r="B42" s="112" t="s">
        <v>3</v>
      </c>
      <c r="C42" s="187">
        <v>52</v>
      </c>
      <c r="D42" s="186">
        <v>580</v>
      </c>
      <c r="E42" s="184">
        <v>150</v>
      </c>
      <c r="F42" s="185">
        <f t="shared" si="0"/>
        <v>43.593461216758257</v>
      </c>
      <c r="G42"/>
      <c r="H42" s="112" t="s">
        <v>3</v>
      </c>
      <c r="I42" s="50">
        <v>25</v>
      </c>
      <c r="J42" s="194">
        <v>204.85213333333337</v>
      </c>
      <c r="K42" s="111">
        <v>150</v>
      </c>
      <c r="L42" s="114">
        <f t="shared" si="1"/>
        <v>18.25098305305745</v>
      </c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25">
      <c r="A43" s="35"/>
      <c r="B43" s="112" t="s">
        <v>91</v>
      </c>
      <c r="C43" s="187">
        <v>60</v>
      </c>
      <c r="D43" s="186">
        <v>1200</v>
      </c>
      <c r="E43" s="184">
        <v>150</v>
      </c>
      <c r="F43" s="185">
        <f t="shared" si="0"/>
        <v>74.853458694776847</v>
      </c>
      <c r="G43" s="109"/>
      <c r="H43" s="112" t="s">
        <v>91</v>
      </c>
      <c r="I43" s="50">
        <v>30</v>
      </c>
      <c r="J43" s="194">
        <v>615.38727777777785</v>
      </c>
      <c r="K43" s="111">
        <v>150</v>
      </c>
      <c r="L43" s="114">
        <f t="shared" si="1"/>
        <v>124.2584103834286</v>
      </c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25">
      <c r="A44" s="35"/>
      <c r="B44" s="112" t="s">
        <v>92</v>
      </c>
      <c r="C44" s="187">
        <v>68</v>
      </c>
      <c r="D44" s="186">
        <v>1240</v>
      </c>
      <c r="E44" s="184">
        <v>150</v>
      </c>
      <c r="F44" s="185">
        <f t="shared" si="0"/>
        <v>54.641013669919857</v>
      </c>
      <c r="G44" s="109"/>
      <c r="H44" s="112" t="s">
        <v>92</v>
      </c>
      <c r="I44" s="50">
        <v>35</v>
      </c>
      <c r="J44" s="194">
        <v>1083.0520972222223</v>
      </c>
      <c r="K44" s="111">
        <v>150</v>
      </c>
      <c r="L44" s="114">
        <f t="shared" si="1"/>
        <v>199.91055631599048</v>
      </c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25">
      <c r="A45" s="35"/>
      <c r="B45" s="112" t="s">
        <v>93</v>
      </c>
      <c r="C45" s="187">
        <v>78</v>
      </c>
      <c r="D45" s="186">
        <v>1920</v>
      </c>
      <c r="E45" s="184">
        <v>150</v>
      </c>
      <c r="F45" s="185">
        <f t="shared" si="0"/>
        <v>57.135049962340204</v>
      </c>
      <c r="G45" s="109"/>
      <c r="H45" s="112" t="s">
        <v>93</v>
      </c>
      <c r="I45" s="50">
        <v>40</v>
      </c>
      <c r="J45" s="194">
        <v>1663.0152191358022</v>
      </c>
      <c r="K45" s="111">
        <v>150</v>
      </c>
      <c r="L45" s="114">
        <f t="shared" si="1"/>
        <v>260.13074135150157</v>
      </c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x14ac:dyDescent="0.25">
      <c r="A46" s="35"/>
      <c r="B46" s="112" t="s">
        <v>94</v>
      </c>
      <c r="C46" s="187">
        <v>88</v>
      </c>
      <c r="D46" s="186">
        <v>4200</v>
      </c>
      <c r="E46" s="184">
        <v>150</v>
      </c>
      <c r="F46" s="185">
        <f t="shared" si="0"/>
        <v>84.18243116041117</v>
      </c>
      <c r="G46" s="109"/>
      <c r="H46" s="112" t="s">
        <v>94</v>
      </c>
      <c r="I46" s="50">
        <v>45</v>
      </c>
      <c r="J46" s="194">
        <v>2358.3375199331285</v>
      </c>
      <c r="K46" s="111">
        <v>150</v>
      </c>
      <c r="L46" s="114">
        <f t="shared" si="1"/>
        <v>304.67188609692283</v>
      </c>
      <c r="N46" s="112"/>
      <c r="O46" s="109"/>
      <c r="P46" s="191"/>
      <c r="Q46" s="109"/>
      <c r="R46" s="123"/>
      <c r="S46" s="35"/>
      <c r="T46" s="112"/>
      <c r="U46" s="109"/>
      <c r="V46" s="191"/>
      <c r="W46" s="109"/>
      <c r="X46" s="123"/>
    </row>
    <row r="47" spans="1:24" s="17" customFormat="1" x14ac:dyDescent="0.25">
      <c r="A47" s="35"/>
      <c r="B47" s="112" t="s">
        <v>95</v>
      </c>
      <c r="C47" s="187">
        <v>98</v>
      </c>
      <c r="D47" s="186">
        <v>4080</v>
      </c>
      <c r="E47" s="184">
        <v>150</v>
      </c>
      <c r="F47" s="185">
        <f t="shared" si="0"/>
        <v>52.601252645820907</v>
      </c>
      <c r="G47" s="109"/>
      <c r="H47" s="112" t="s">
        <v>95</v>
      </c>
      <c r="I47" s="50">
        <v>50</v>
      </c>
      <c r="J47" s="194">
        <v>3171.3735199331277</v>
      </c>
      <c r="K47" s="111">
        <v>150</v>
      </c>
      <c r="L47" s="114">
        <f t="shared" si="1"/>
        <v>334.49520480728688</v>
      </c>
      <c r="N47" s="112"/>
      <c r="O47" s="109"/>
      <c r="P47" s="191"/>
      <c r="Q47" s="109"/>
      <c r="R47" s="123"/>
      <c r="S47" s="35"/>
      <c r="T47" s="112"/>
      <c r="U47" s="109"/>
      <c r="V47" s="191"/>
      <c r="W47" s="109"/>
      <c r="X47" s="123"/>
    </row>
    <row r="48" spans="1:24" s="17" customFormat="1" ht="16.5" x14ac:dyDescent="0.3">
      <c r="A48" s="115"/>
      <c r="B48" s="112" t="s">
        <v>96</v>
      </c>
      <c r="C48" s="187">
        <v>108</v>
      </c>
      <c r="D48" s="186">
        <v>4680</v>
      </c>
      <c r="E48" s="184">
        <v>150</v>
      </c>
      <c r="F48" s="185">
        <f t="shared" si="0"/>
        <v>39.042609205367327</v>
      </c>
      <c r="G48" s="109"/>
      <c r="H48" s="112" t="s">
        <v>96</v>
      </c>
      <c r="I48" s="50">
        <v>55</v>
      </c>
      <c r="J48" s="194">
        <v>4103.9218110460961</v>
      </c>
      <c r="K48" s="111">
        <v>150</v>
      </c>
      <c r="L48" s="114">
        <f t="shared" si="1"/>
        <v>351.26275423060673</v>
      </c>
      <c r="N48" s="112"/>
      <c r="O48" s="109"/>
      <c r="P48" s="191"/>
      <c r="Q48" s="109"/>
      <c r="R48" s="123"/>
      <c r="S48" s="35"/>
      <c r="T48" s="112"/>
      <c r="U48" s="109"/>
      <c r="V48" s="191"/>
      <c r="W48" s="109"/>
      <c r="X48" s="123"/>
    </row>
    <row r="49" spans="1:24" s="17" customFormat="1" ht="16.5" x14ac:dyDescent="0.3">
      <c r="A49" s="115"/>
      <c r="B49" s="112" t="s">
        <v>97</v>
      </c>
      <c r="C49" s="187">
        <v>118</v>
      </c>
      <c r="D49" s="186">
        <v>4800</v>
      </c>
      <c r="E49" s="184">
        <v>150</v>
      </c>
      <c r="F49" s="185">
        <f t="shared" si="0"/>
        <v>25.806593451209523</v>
      </c>
      <c r="G49" s="109"/>
      <c r="H49" s="112" t="s">
        <v>97</v>
      </c>
      <c r="I49" s="50">
        <v>60</v>
      </c>
      <c r="J49" s="194">
        <v>4512.6768425384143</v>
      </c>
      <c r="K49" s="111">
        <v>150</v>
      </c>
      <c r="L49" s="114">
        <f t="shared" si="1"/>
        <v>311.01090555391301</v>
      </c>
      <c r="N49" s="112"/>
      <c r="O49" s="109"/>
      <c r="P49" s="191"/>
      <c r="Q49" s="109"/>
      <c r="R49" s="123"/>
      <c r="S49" s="35"/>
      <c r="T49" s="112"/>
      <c r="U49" s="109"/>
      <c r="V49" s="191"/>
      <c r="W49" s="109"/>
      <c r="X49" s="123"/>
    </row>
    <row r="50" spans="1:24" s="17" customFormat="1" ht="16.5" x14ac:dyDescent="0.3">
      <c r="A50" s="116"/>
      <c r="B50" s="112" t="s">
        <v>98</v>
      </c>
      <c r="C50" s="187">
        <v>128</v>
      </c>
      <c r="D50" s="188">
        <v>4680</v>
      </c>
      <c r="E50" s="184">
        <v>150</v>
      </c>
      <c r="F50" s="185">
        <f t="shared" si="0"/>
        <v>16.188739130461197</v>
      </c>
      <c r="G50" s="35"/>
      <c r="H50" s="112" t="s">
        <v>98</v>
      </c>
      <c r="I50" s="50">
        <v>65</v>
      </c>
      <c r="J50" s="193">
        <v>4925.4060354486774</v>
      </c>
      <c r="K50" s="111">
        <v>150</v>
      </c>
      <c r="L50" s="114">
        <f t="shared" si="1"/>
        <v>273.18158779136144</v>
      </c>
      <c r="N50" s="112"/>
      <c r="O50" s="35"/>
      <c r="P50" s="190"/>
      <c r="Q50" s="109"/>
      <c r="R50" s="123"/>
      <c r="S50" s="35"/>
      <c r="T50" s="112"/>
      <c r="U50" s="35"/>
      <c r="V50" s="190"/>
      <c r="W50" s="109"/>
      <c r="X50" s="123"/>
    </row>
    <row r="51" spans="1:24" s="17" customFormat="1" ht="16.5" x14ac:dyDescent="0.3">
      <c r="A51" s="116"/>
      <c r="B51" s="112" t="s">
        <v>99</v>
      </c>
      <c r="C51" s="187">
        <v>138</v>
      </c>
      <c r="D51" s="188">
        <v>4680</v>
      </c>
      <c r="E51" s="184">
        <v>150</v>
      </c>
      <c r="F51" s="185">
        <f t="shared" si="0"/>
        <v>10.424377263266937</v>
      </c>
      <c r="G51" s="35"/>
      <c r="H51" s="112" t="s">
        <v>103</v>
      </c>
      <c r="I51" s="50">
        <v>70</v>
      </c>
      <c r="J51" s="193">
        <v>32048.682177243372</v>
      </c>
      <c r="K51" s="111">
        <v>150</v>
      </c>
      <c r="L51" s="114">
        <f t="shared" si="1"/>
        <v>1464.3079162117047</v>
      </c>
      <c r="N51" s="112"/>
      <c r="O51" s="35"/>
      <c r="P51" s="190"/>
      <c r="Q51" s="109"/>
      <c r="R51" s="123"/>
      <c r="S51" s="35"/>
      <c r="T51" s="112"/>
      <c r="U51" s="35"/>
      <c r="V51" s="190"/>
      <c r="W51" s="109"/>
      <c r="X51" s="123"/>
    </row>
    <row r="52" spans="1:24" s="17" customFormat="1" ht="16.5" x14ac:dyDescent="0.3">
      <c r="B52" s="112" t="s">
        <v>100</v>
      </c>
      <c r="C52" s="187">
        <v>148</v>
      </c>
      <c r="D52" s="189">
        <v>6560</v>
      </c>
      <c r="E52" s="184">
        <v>150</v>
      </c>
      <c r="F52" s="185">
        <f t="shared" si="0"/>
        <v>9.4983253890567934</v>
      </c>
      <c r="G52" s="115"/>
      <c r="H52" s="112"/>
      <c r="I52" s="115"/>
      <c r="J52" s="192"/>
      <c r="K52" s="109"/>
      <c r="L52" s="123">
        <f>SUM(L34:L50)</f>
        <v>-2878.7852951611371</v>
      </c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ht="16.5" x14ac:dyDescent="0.3">
      <c r="A53" s="115"/>
      <c r="B53" s="112" t="s">
        <v>101</v>
      </c>
      <c r="C53" s="187">
        <v>158</v>
      </c>
      <c r="D53" s="189">
        <v>6560</v>
      </c>
      <c r="E53" s="184">
        <v>150</v>
      </c>
      <c r="F53" s="185">
        <f t="shared" si="0"/>
        <v>6.1162346509424506</v>
      </c>
      <c r="G53" s="115"/>
      <c r="H53" s="112"/>
      <c r="I53" s="115"/>
      <c r="J53" s="192"/>
      <c r="K53" s="109"/>
      <c r="L53" s="123"/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ht="16.5" x14ac:dyDescent="0.3">
      <c r="A54" s="116"/>
      <c r="B54" s="112" t="s">
        <v>102</v>
      </c>
      <c r="C54" s="187">
        <v>168</v>
      </c>
      <c r="D54" s="189">
        <v>6560</v>
      </c>
      <c r="E54" s="184">
        <v>150</v>
      </c>
      <c r="F54" s="185">
        <f t="shared" si="0"/>
        <v>3.9384128015332034</v>
      </c>
      <c r="G54" s="116"/>
      <c r="H54" s="112"/>
      <c r="I54" s="115"/>
      <c r="J54" s="192"/>
      <c r="K54" s="109"/>
      <c r="L54" s="123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ht="16.5" x14ac:dyDescent="0.3">
      <c r="A55" s="116"/>
      <c r="B55" s="112" t="s">
        <v>103</v>
      </c>
      <c r="C55" s="187">
        <v>180</v>
      </c>
      <c r="D55" s="189">
        <v>58880</v>
      </c>
      <c r="E55" s="184">
        <v>150</v>
      </c>
      <c r="F55" s="185">
        <f t="shared" si="0"/>
        <v>21.277848892756303</v>
      </c>
      <c r="G55" s="116"/>
      <c r="H55" s="112"/>
      <c r="I55" s="115"/>
      <c r="J55" s="192"/>
      <c r="K55" s="109"/>
      <c r="L55" s="123"/>
      <c r="N55" s="112"/>
      <c r="O55" s="115"/>
      <c r="P55" s="192"/>
      <c r="Q55" s="109"/>
      <c r="R55" s="123"/>
      <c r="S55" s="35"/>
      <c r="T55" s="112"/>
      <c r="U55" s="115"/>
      <c r="V55" s="192"/>
      <c r="W55" s="109"/>
      <c r="X55" s="123"/>
    </row>
    <row r="56" spans="1:24" s="17" customFormat="1" ht="16.5" x14ac:dyDescent="0.3">
      <c r="B56" s="177"/>
      <c r="C56" s="178"/>
      <c r="D56" s="179"/>
      <c r="E56" s="180"/>
      <c r="F56" s="181">
        <f>SUM(F34:F55)</f>
        <v>-4145.2665580500616</v>
      </c>
      <c r="H56" s="112"/>
      <c r="I56" s="115"/>
      <c r="J56" s="192"/>
      <c r="K56" s="109"/>
      <c r="L56" s="123"/>
      <c r="N56" s="112"/>
      <c r="O56" s="115"/>
      <c r="P56" s="192"/>
      <c r="Q56" s="109"/>
      <c r="R56" s="123"/>
      <c r="S56" s="35"/>
      <c r="T56" s="112"/>
      <c r="U56" s="115"/>
      <c r="V56" s="192"/>
      <c r="W56" s="109"/>
      <c r="X56" s="123"/>
    </row>
    <row r="57" spans="1:24" s="17" customFormat="1" ht="16.5" x14ac:dyDescent="0.3">
      <c r="B57" s="177"/>
      <c r="C57" s="178"/>
      <c r="D57" s="179"/>
      <c r="E57" s="180"/>
      <c r="F57" s="181"/>
      <c r="G57" s="115"/>
      <c r="H57" s="112"/>
      <c r="I57" s="115"/>
      <c r="J57" s="192"/>
      <c r="K57" s="109"/>
      <c r="L57" s="123"/>
      <c r="N57" s="112"/>
      <c r="O57" s="115"/>
      <c r="P57" s="192"/>
      <c r="Q57" s="109"/>
      <c r="R57" s="123"/>
      <c r="S57" s="35"/>
      <c r="T57" s="112"/>
      <c r="U57" s="115"/>
      <c r="V57" s="192"/>
      <c r="W57" s="109"/>
      <c r="X57" s="123"/>
    </row>
    <row r="58" spans="1:24" s="17" customFormat="1" ht="16.5" x14ac:dyDescent="0.3">
      <c r="A58" s="153"/>
      <c r="B58" s="177"/>
      <c r="C58" s="178"/>
      <c r="D58" s="179"/>
      <c r="E58" s="180"/>
      <c r="F58" s="181"/>
      <c r="G58" s="116"/>
      <c r="H58" s="112"/>
      <c r="I58" s="115"/>
      <c r="J58" s="192"/>
      <c r="K58" s="109"/>
      <c r="L58" s="123"/>
      <c r="N58" s="112"/>
      <c r="O58" s="115"/>
      <c r="P58" s="192"/>
      <c r="Q58" s="109"/>
      <c r="R58" s="123"/>
      <c r="S58" s="35"/>
      <c r="T58" s="112"/>
      <c r="U58" s="115"/>
      <c r="V58" s="192"/>
      <c r="W58" s="109"/>
      <c r="X58" s="123"/>
    </row>
    <row r="59" spans="1:24" s="17" customFormat="1" ht="16.5" x14ac:dyDescent="0.3">
      <c r="B59" s="381" t="s">
        <v>299</v>
      </c>
      <c r="C59" s="382">
        <f>C31*F56+I31*L52</f>
        <v>-22369.171883154399</v>
      </c>
      <c r="D59" s="116"/>
      <c r="E59" s="116"/>
      <c r="F59" s="176"/>
      <c r="G59" s="116"/>
      <c r="H59" s="112"/>
      <c r="I59" s="116"/>
      <c r="J59" s="116"/>
      <c r="K59" s="116"/>
      <c r="L59" s="116"/>
      <c r="N59" s="112"/>
      <c r="O59" s="116"/>
      <c r="P59" s="116"/>
      <c r="Q59" s="116"/>
      <c r="R59" s="116"/>
      <c r="S59" s="35"/>
      <c r="T59" s="112"/>
      <c r="U59" s="116"/>
      <c r="V59" s="116"/>
      <c r="W59" s="116"/>
      <c r="X59" s="116"/>
    </row>
    <row r="60" spans="1:24" s="17" customFormat="1" ht="16.5" x14ac:dyDescent="0.3">
      <c r="B60" s="116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25"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25"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25"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25"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7:24" s="17" customFormat="1" x14ac:dyDescent="0.25"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7:24" s="17" customFormat="1" x14ac:dyDescent="0.25"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7:24" s="17" customFormat="1" x14ac:dyDescent="0.25"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7:24" s="17" customFormat="1" x14ac:dyDescent="0.25"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7:24" s="17" customFormat="1" x14ac:dyDescent="0.25"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7:24" s="17" customFormat="1" x14ac:dyDescent="0.25"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7:24" s="17" customFormat="1" x14ac:dyDescent="0.25"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7:24" s="17" customFormat="1" x14ac:dyDescent="0.25"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7:24" s="17" customFormat="1" x14ac:dyDescent="0.25"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7:24" s="17" customFormat="1" x14ac:dyDescent="0.25"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7:24" s="17" customFormat="1" x14ac:dyDescent="0.25">
      <c r="G75" s="317"/>
      <c r="H75" s="317"/>
      <c r="I75" s="317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7:24" s="17" customFormat="1" x14ac:dyDescent="0.25"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7:24" s="17" customFormat="1" x14ac:dyDescent="0.25"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7:24" s="17" customFormat="1" x14ac:dyDescent="0.25"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7:24" s="17" customFormat="1" x14ac:dyDescent="0.25"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7:24" s="17" customFormat="1" x14ac:dyDescent="0.25"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3:24" s="17" customFormat="1" x14ac:dyDescent="0.25"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3:24" s="17" customFormat="1" x14ac:dyDescent="0.25"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3:24" s="17" customFormat="1" x14ac:dyDescent="0.25"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3:24" s="17" customFormat="1" x14ac:dyDescent="0.25"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3:24" s="17" customFormat="1" x14ac:dyDescent="0.2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3:24" s="17" customFormat="1" x14ac:dyDescent="0.2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3:24" s="17" customFormat="1" x14ac:dyDescent="0.2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3:24" s="17" customFormat="1" x14ac:dyDescent="0.2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3:24" s="17" customFormat="1" x14ac:dyDescent="0.25"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3:24" s="17" customFormat="1" x14ac:dyDescent="0.2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3:24" s="17" customFormat="1" x14ac:dyDescent="0.25">
      <c r="C91" s="61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3:24" s="17" customFormat="1" x14ac:dyDescent="0.2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3:24" s="17" customFormat="1" x14ac:dyDescent="0.2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3:24" s="17" customFormat="1" x14ac:dyDescent="0.25"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3:24" s="17" customFormat="1" x14ac:dyDescent="0.2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3:24" s="17" customFormat="1" x14ac:dyDescent="0.25">
      <c r="C96" s="62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25"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25">
      <c r="C98" s="62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25">
      <c r="B99" s="63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2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2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2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2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2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2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2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2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2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2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2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2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2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2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2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2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2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2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2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2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2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2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2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7" customFormat="1" x14ac:dyDescent="0.25">
      <c r="O123" s="35"/>
      <c r="P123" s="35"/>
      <c r="Q123" s="35"/>
      <c r="R123" s="35"/>
      <c r="S123" s="35"/>
      <c r="T123" s="35"/>
      <c r="U123" s="35"/>
      <c r="V123" s="35"/>
      <c r="W123" s="35"/>
      <c r="X123" s="35"/>
    </row>
    <row r="124" spans="1:24" s="17" customFormat="1" x14ac:dyDescent="0.25"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s="17" customFormat="1" x14ac:dyDescent="0.25"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s="17" customFormat="1" x14ac:dyDescent="0.25"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s="17" customFormat="1" x14ac:dyDescent="0.25">
      <c r="O127" s="35"/>
      <c r="P127" s="35"/>
      <c r="Q127" s="35"/>
      <c r="R127" s="35"/>
      <c r="S127" s="35"/>
      <c r="T127" s="35"/>
      <c r="U127" s="35"/>
      <c r="V127" s="35"/>
      <c r="W127" s="35"/>
      <c r="X127" s="35"/>
    </row>
    <row r="128" spans="1:24" x14ac:dyDescent="0.2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2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2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2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2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2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2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2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2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2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2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2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2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2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2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2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2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2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2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25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x14ac:dyDescent="0.25">
      <c r="B148" s="17"/>
    </row>
  </sheetData>
  <mergeCells count="29">
    <mergeCell ref="A1:I1"/>
    <mergeCell ref="A8:I8"/>
    <mergeCell ref="A10:B10"/>
    <mergeCell ref="C10:D10"/>
    <mergeCell ref="C11:D11"/>
    <mergeCell ref="E11:E14"/>
    <mergeCell ref="G11:G15"/>
    <mergeCell ref="C14:D14"/>
    <mergeCell ref="C15:E15"/>
    <mergeCell ref="C12:D12"/>
    <mergeCell ref="C13:D13"/>
    <mergeCell ref="A11:B14"/>
    <mergeCell ref="A16:B19"/>
    <mergeCell ref="C16:D16"/>
    <mergeCell ref="E16:E19"/>
    <mergeCell ref="G16:G20"/>
    <mergeCell ref="C17:D17"/>
    <mergeCell ref="C18:D18"/>
    <mergeCell ref="C19:D19"/>
    <mergeCell ref="C20:E20"/>
    <mergeCell ref="A24:G24"/>
    <mergeCell ref="A25:G25"/>
    <mergeCell ref="G75:I75"/>
    <mergeCell ref="A21:G21"/>
    <mergeCell ref="H21:I21"/>
    <mergeCell ref="A23:G23"/>
    <mergeCell ref="A22:G22"/>
    <mergeCell ref="H22:I22"/>
    <mergeCell ref="A27:I27"/>
  </mergeCells>
  <pageMargins left="0.7" right="0.7" top="0.75" bottom="0.75" header="0.3" footer="0.3"/>
  <pageSetup paperSize="9" scale="4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rgb="FFFFFF00"/>
  </sheetPr>
  <dimension ref="A1:X148"/>
  <sheetViews>
    <sheetView showGridLines="0" view="pageBreakPreview" topLeftCell="A37" zoomScaleNormal="100" zoomScaleSheetLayoutView="100" workbookViewId="0">
      <selection activeCell="I59" sqref="I59:J59"/>
    </sheetView>
  </sheetViews>
  <sheetFormatPr baseColWidth="10" defaultRowHeight="15" x14ac:dyDescent="0.25"/>
  <cols>
    <col min="1" max="1" width="5" customWidth="1"/>
    <col min="2" max="2" width="41.28515625" bestFit="1" customWidth="1"/>
    <col min="3" max="3" width="18" bestFit="1" customWidth="1"/>
    <col min="4" max="4" width="19.140625" bestFit="1" customWidth="1"/>
    <col min="5" max="5" width="17.5703125" bestFit="1" customWidth="1"/>
    <col min="6" max="8" width="13.28515625" bestFit="1" customWidth="1"/>
    <col min="9" max="9" width="15.85546875" customWidth="1"/>
    <col min="11" max="11" width="28" customWidth="1"/>
    <col min="12" max="12" width="11.85546875" bestFit="1" customWidth="1"/>
    <col min="15" max="24" width="11.42578125" style="35"/>
  </cols>
  <sheetData>
    <row r="1" spans="1:24" ht="16.5" x14ac:dyDescent="0.3">
      <c r="A1" s="340" t="s">
        <v>154</v>
      </c>
      <c r="B1" s="340"/>
      <c r="C1" s="340"/>
      <c r="D1" s="340"/>
      <c r="E1" s="340"/>
      <c r="F1" s="340"/>
      <c r="G1" s="340"/>
      <c r="H1" s="340"/>
      <c r="I1" s="340"/>
      <c r="O1"/>
      <c r="P1"/>
      <c r="Q1"/>
      <c r="R1"/>
      <c r="S1"/>
      <c r="T1"/>
      <c r="U1"/>
      <c r="V1"/>
      <c r="W1"/>
      <c r="X1"/>
    </row>
    <row r="2" spans="1:24" x14ac:dyDescent="0.25">
      <c r="O2"/>
      <c r="P2"/>
      <c r="Q2"/>
      <c r="R2"/>
      <c r="S2"/>
      <c r="T2"/>
      <c r="U2"/>
      <c r="V2"/>
      <c r="W2"/>
      <c r="X2"/>
    </row>
    <row r="3" spans="1:24" x14ac:dyDescent="0.2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  <c r="O3"/>
      <c r="P3"/>
      <c r="Q3"/>
      <c r="R3"/>
      <c r="S3"/>
      <c r="T3"/>
      <c r="U3"/>
      <c r="V3"/>
      <c r="W3"/>
      <c r="X3"/>
    </row>
    <row r="4" spans="1:24" x14ac:dyDescent="0.2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  <c r="O4"/>
      <c r="P4"/>
      <c r="Q4"/>
      <c r="R4"/>
      <c r="S4"/>
      <c r="T4"/>
      <c r="U4"/>
      <c r="V4"/>
      <c r="W4"/>
      <c r="X4"/>
    </row>
    <row r="5" spans="1:24" x14ac:dyDescent="0.25">
      <c r="A5" t="s">
        <v>46</v>
      </c>
      <c r="B5" s="2" t="s">
        <v>16</v>
      </c>
      <c r="C5" s="3">
        <v>4.4999999999999998E-2</v>
      </c>
      <c r="G5" s="6"/>
      <c r="H5" s="6"/>
      <c r="I5" s="6"/>
      <c r="O5"/>
      <c r="P5"/>
      <c r="Q5"/>
      <c r="R5"/>
      <c r="S5"/>
      <c r="T5"/>
      <c r="U5"/>
      <c r="V5"/>
      <c r="W5"/>
      <c r="X5"/>
    </row>
    <row r="6" spans="1:24" x14ac:dyDescent="0.25">
      <c r="A6" t="s">
        <v>47</v>
      </c>
      <c r="B6" s="2" t="s">
        <v>17</v>
      </c>
      <c r="C6" s="2">
        <f>100*C3</f>
        <v>200</v>
      </c>
      <c r="O6"/>
      <c r="P6"/>
      <c r="Q6"/>
      <c r="R6"/>
      <c r="S6"/>
      <c r="T6"/>
      <c r="U6"/>
      <c r="V6"/>
      <c r="W6"/>
      <c r="X6"/>
    </row>
    <row r="7" spans="1:24" x14ac:dyDescent="0.25">
      <c r="O7"/>
      <c r="P7"/>
      <c r="Q7"/>
      <c r="R7"/>
      <c r="S7"/>
      <c r="T7"/>
      <c r="U7"/>
      <c r="V7"/>
      <c r="W7"/>
      <c r="X7"/>
    </row>
    <row r="8" spans="1:24" ht="16.5" x14ac:dyDescent="0.3">
      <c r="A8" s="340" t="s">
        <v>273</v>
      </c>
      <c r="B8" s="340"/>
      <c r="C8" s="340"/>
      <c r="D8" s="340"/>
      <c r="E8" s="340"/>
      <c r="F8" s="340"/>
      <c r="G8" s="340"/>
      <c r="H8" s="340"/>
      <c r="I8" s="340"/>
      <c r="O8"/>
      <c r="P8"/>
      <c r="Q8"/>
      <c r="R8"/>
      <c r="S8"/>
      <c r="T8"/>
      <c r="U8"/>
      <c r="V8"/>
      <c r="W8"/>
      <c r="X8"/>
    </row>
    <row r="9" spans="1:24" ht="15.75" thickBot="1" x14ac:dyDescent="0.3">
      <c r="O9"/>
      <c r="P9"/>
      <c r="Q9"/>
      <c r="R9"/>
      <c r="S9"/>
      <c r="T9"/>
      <c r="U9"/>
      <c r="V9"/>
      <c r="W9"/>
      <c r="X9"/>
    </row>
    <row r="10" spans="1:24" ht="66.75" thickBot="1" x14ac:dyDescent="0.3">
      <c r="A10" s="341"/>
      <c r="B10" s="342"/>
      <c r="C10" s="342" t="s">
        <v>259</v>
      </c>
      <c r="D10" s="342"/>
      <c r="E10" s="199" t="s">
        <v>260</v>
      </c>
      <c r="F10" s="199" t="s">
        <v>261</v>
      </c>
      <c r="G10" s="199" t="s">
        <v>262</v>
      </c>
      <c r="H10" s="199" t="s">
        <v>263</v>
      </c>
      <c r="I10" s="199" t="s">
        <v>264</v>
      </c>
      <c r="O10"/>
      <c r="P10"/>
      <c r="Q10"/>
      <c r="R10"/>
      <c r="S10"/>
      <c r="T10"/>
      <c r="U10"/>
      <c r="V10"/>
      <c r="W10"/>
      <c r="X10"/>
    </row>
    <row r="11" spans="1:24" ht="16.5" x14ac:dyDescent="0.25">
      <c r="A11" s="350" t="s">
        <v>274</v>
      </c>
      <c r="B11" s="321"/>
      <c r="C11" s="330" t="s">
        <v>291</v>
      </c>
      <c r="D11" s="331"/>
      <c r="E11" s="326" t="s">
        <v>436</v>
      </c>
      <c r="F11" s="156">
        <f>H11/G11</f>
        <v>928</v>
      </c>
      <c r="G11" s="344">
        <f>Répartition!F25</f>
        <v>5.625</v>
      </c>
      <c r="H11" s="157">
        <f>B13*0.58</f>
        <v>5220</v>
      </c>
      <c r="I11" s="200"/>
      <c r="J11" s="154"/>
      <c r="K11" s="368"/>
      <c r="L11" s="369"/>
      <c r="O11"/>
      <c r="P11"/>
      <c r="Q11"/>
      <c r="R11"/>
      <c r="S11"/>
      <c r="T11"/>
      <c r="U11"/>
      <c r="V11"/>
      <c r="W11"/>
      <c r="X11"/>
    </row>
    <row r="12" spans="1:24" ht="17.25" thickBot="1" x14ac:dyDescent="0.3">
      <c r="A12" s="350"/>
      <c r="B12" s="321"/>
      <c r="C12" s="324" t="s">
        <v>292</v>
      </c>
      <c r="D12" s="324"/>
      <c r="E12" s="326"/>
      <c r="F12" s="156">
        <f>H12/G11</f>
        <v>1728</v>
      </c>
      <c r="G12" s="344"/>
      <c r="H12" s="157">
        <f>B13*1.08</f>
        <v>9720</v>
      </c>
      <c r="I12" s="200"/>
      <c r="K12" s="368"/>
      <c r="L12" s="369"/>
      <c r="O12"/>
      <c r="P12"/>
      <c r="Q12"/>
      <c r="R12"/>
      <c r="S12"/>
      <c r="T12"/>
      <c r="U12"/>
      <c r="V12"/>
      <c r="W12"/>
      <c r="X12"/>
    </row>
    <row r="13" spans="1:24" ht="50.25" thickBot="1" x14ac:dyDescent="0.3">
      <c r="A13" s="159" t="s">
        <v>265</v>
      </c>
      <c r="B13" s="160">
        <v>9000</v>
      </c>
      <c r="C13" s="346" t="s">
        <v>266</v>
      </c>
      <c r="D13" s="346"/>
      <c r="E13" s="347"/>
      <c r="F13" s="161">
        <f>F11+F12</f>
        <v>2656</v>
      </c>
      <c r="G13" s="345"/>
      <c r="H13" s="162">
        <f>SUM(H11:H12)</f>
        <v>14940</v>
      </c>
      <c r="I13" s="170"/>
      <c r="K13" s="35"/>
      <c r="L13" s="35"/>
      <c r="O13"/>
      <c r="P13"/>
      <c r="Q13"/>
      <c r="R13"/>
      <c r="S13"/>
      <c r="T13"/>
      <c r="U13"/>
      <c r="V13"/>
      <c r="W13"/>
      <c r="X13"/>
    </row>
    <row r="14" spans="1:24" ht="17.25" customHeight="1" thickBot="1" x14ac:dyDescent="0.3">
      <c r="A14" s="320" t="s">
        <v>516</v>
      </c>
      <c r="B14" s="321"/>
      <c r="C14" s="330" t="s">
        <v>291</v>
      </c>
      <c r="D14" s="331"/>
      <c r="E14" s="326" t="s">
        <v>510</v>
      </c>
      <c r="F14" s="156">
        <f>H14/G14</f>
        <v>992</v>
      </c>
      <c r="G14" s="329">
        <f>Répartition!F26</f>
        <v>1.9375</v>
      </c>
      <c r="H14" s="163">
        <f>B16*0.62</f>
        <v>1922</v>
      </c>
      <c r="I14" s="171"/>
      <c r="K14" t="s">
        <v>506</v>
      </c>
      <c r="O14"/>
      <c r="P14"/>
      <c r="Q14"/>
      <c r="R14"/>
      <c r="S14"/>
      <c r="T14"/>
      <c r="U14"/>
      <c r="V14"/>
      <c r="W14"/>
      <c r="X14"/>
    </row>
    <row r="15" spans="1:24" ht="17.25" customHeight="1" thickBot="1" x14ac:dyDescent="0.3">
      <c r="A15" s="320"/>
      <c r="B15" s="321"/>
      <c r="C15" s="324" t="s">
        <v>292</v>
      </c>
      <c r="D15" s="324"/>
      <c r="E15" s="326"/>
      <c r="F15" s="156">
        <f>H15/G14</f>
        <v>1296</v>
      </c>
      <c r="G15" s="329"/>
      <c r="H15" s="157">
        <f>504+76+636+1295</f>
        <v>2511</v>
      </c>
      <c r="I15" s="171"/>
      <c r="K15" s="364">
        <f>G11+G14+G17</f>
        <v>8.40625</v>
      </c>
      <c r="O15"/>
      <c r="P15"/>
      <c r="Q15"/>
      <c r="R15"/>
      <c r="S15"/>
      <c r="T15"/>
      <c r="U15"/>
      <c r="V15"/>
      <c r="W15"/>
      <c r="X15"/>
    </row>
    <row r="16" spans="1:24" ht="50.25" thickBot="1" x14ac:dyDescent="0.3">
      <c r="A16" s="164" t="s">
        <v>265</v>
      </c>
      <c r="B16" s="165">
        <f>700+50+600+1750</f>
        <v>3100</v>
      </c>
      <c r="C16" s="333" t="s">
        <v>266</v>
      </c>
      <c r="D16" s="334"/>
      <c r="E16" s="335"/>
      <c r="F16" s="166">
        <f>F14+F15</f>
        <v>2288</v>
      </c>
      <c r="G16" s="329"/>
      <c r="H16" s="167">
        <f>SUM(H14:H15)</f>
        <v>4433</v>
      </c>
      <c r="I16" s="170"/>
      <c r="O16"/>
      <c r="P16"/>
      <c r="Q16"/>
      <c r="R16"/>
      <c r="S16"/>
      <c r="T16"/>
      <c r="U16"/>
      <c r="V16"/>
      <c r="W16"/>
      <c r="X16"/>
    </row>
    <row r="17" spans="1:24" ht="17.25" customHeight="1" thickBot="1" x14ac:dyDescent="0.3">
      <c r="A17" s="350" t="s">
        <v>517</v>
      </c>
      <c r="B17" s="321"/>
      <c r="C17" s="330" t="s">
        <v>291</v>
      </c>
      <c r="D17" s="331"/>
      <c r="E17" s="326" t="s">
        <v>317</v>
      </c>
      <c r="F17" s="372">
        <f>H17/G17</f>
        <v>992</v>
      </c>
      <c r="G17" s="329">
        <f>Répartition!F31</f>
        <v>0.84375</v>
      </c>
      <c r="H17" s="163">
        <f>1350*0.62</f>
        <v>837</v>
      </c>
      <c r="I17" s="171"/>
      <c r="O17"/>
      <c r="P17"/>
      <c r="Q17"/>
      <c r="R17"/>
      <c r="S17"/>
      <c r="T17"/>
      <c r="U17"/>
      <c r="V17"/>
      <c r="W17"/>
      <c r="X17"/>
    </row>
    <row r="18" spans="1:24" ht="17.25" thickBot="1" x14ac:dyDescent="0.3">
      <c r="A18" s="350"/>
      <c r="B18" s="321"/>
      <c r="C18" s="324" t="s">
        <v>292</v>
      </c>
      <c r="D18" s="324"/>
      <c r="E18" s="326"/>
      <c r="F18" s="156">
        <f>H18/G17</f>
        <v>1280</v>
      </c>
      <c r="G18" s="329"/>
      <c r="H18" s="157">
        <f>B19*0.8</f>
        <v>1080</v>
      </c>
      <c r="I18" s="171"/>
      <c r="O18"/>
      <c r="P18"/>
      <c r="Q18"/>
      <c r="R18"/>
      <c r="S18"/>
      <c r="T18"/>
      <c r="U18"/>
      <c r="V18"/>
      <c r="W18"/>
      <c r="X18"/>
    </row>
    <row r="19" spans="1:24" ht="49.5" x14ac:dyDescent="0.25">
      <c r="A19" s="164" t="s">
        <v>265</v>
      </c>
      <c r="B19" s="165">
        <v>1350</v>
      </c>
      <c r="C19" s="333" t="s">
        <v>266</v>
      </c>
      <c r="D19" s="334"/>
      <c r="E19" s="335"/>
      <c r="F19" s="166">
        <f>F17+F18</f>
        <v>2272</v>
      </c>
      <c r="G19" s="329"/>
      <c r="H19" s="167">
        <f>SUM(H17:H18)</f>
        <v>1917</v>
      </c>
      <c r="I19" s="170"/>
      <c r="O19"/>
      <c r="P19"/>
      <c r="Q19"/>
      <c r="R19"/>
      <c r="S19"/>
      <c r="T19"/>
      <c r="U19"/>
      <c r="V19"/>
      <c r="W19"/>
      <c r="X19"/>
    </row>
    <row r="20" spans="1:24" ht="16.5" x14ac:dyDescent="0.25">
      <c r="A20" s="318" t="s">
        <v>267</v>
      </c>
      <c r="B20" s="318"/>
      <c r="C20" s="318"/>
      <c r="D20" s="318"/>
      <c r="E20" s="318"/>
      <c r="F20" s="318"/>
      <c r="G20" s="318"/>
      <c r="H20" s="319">
        <f>H13+H16+H19</f>
        <v>21290</v>
      </c>
      <c r="I20" s="319"/>
      <c r="M20" s="52"/>
      <c r="O20"/>
      <c r="P20"/>
      <c r="Q20"/>
      <c r="R20"/>
      <c r="S20"/>
      <c r="T20"/>
      <c r="U20"/>
      <c r="V20"/>
      <c r="W20"/>
      <c r="X20"/>
    </row>
    <row r="21" spans="1:24" ht="17.25" thickBot="1" x14ac:dyDescent="0.3">
      <c r="A21" s="336" t="s">
        <v>268</v>
      </c>
      <c r="B21" s="336"/>
      <c r="C21" s="336"/>
      <c r="D21" s="336"/>
      <c r="E21" s="336"/>
      <c r="F21" s="336"/>
      <c r="G21" s="336"/>
      <c r="H21" s="337">
        <f>3000</f>
        <v>3000</v>
      </c>
      <c r="I21" s="338"/>
      <c r="O21"/>
      <c r="P21"/>
      <c r="Q21"/>
      <c r="R21"/>
      <c r="S21"/>
      <c r="T21"/>
      <c r="U21"/>
      <c r="V21"/>
      <c r="W21"/>
      <c r="X21"/>
    </row>
    <row r="22" spans="1:24" s="17" customFormat="1" ht="17.25" thickBot="1" x14ac:dyDescent="0.3">
      <c r="A22" s="316" t="s">
        <v>507</v>
      </c>
      <c r="B22" s="316"/>
      <c r="C22" s="316"/>
      <c r="D22" s="316"/>
      <c r="E22" s="316"/>
      <c r="F22" s="316"/>
      <c r="G22" s="316"/>
      <c r="H22" s="235">
        <f>H20+H21</f>
        <v>24290</v>
      </c>
      <c r="I22" s="236"/>
    </row>
    <row r="23" spans="1:24" s="17" customFormat="1" ht="17.25" thickBot="1" x14ac:dyDescent="0.3">
      <c r="A23" s="316" t="s">
        <v>508</v>
      </c>
      <c r="B23" s="316"/>
      <c r="C23" s="316"/>
      <c r="D23" s="316"/>
      <c r="E23" s="316"/>
      <c r="F23" s="316"/>
      <c r="G23" s="316"/>
      <c r="H23" s="235">
        <f>14175+1680</f>
        <v>15855</v>
      </c>
      <c r="I23" s="236"/>
    </row>
    <row r="24" spans="1:24" s="17" customFormat="1" ht="17.25" thickBot="1" x14ac:dyDescent="0.3">
      <c r="A24" s="316" t="s">
        <v>509</v>
      </c>
      <c r="B24" s="316"/>
      <c r="C24" s="316"/>
      <c r="D24" s="316"/>
      <c r="E24" s="316"/>
      <c r="F24" s="316"/>
      <c r="G24" s="316"/>
      <c r="H24" s="235">
        <f>36213</f>
        <v>36213</v>
      </c>
      <c r="I24" s="236"/>
      <c r="K24" s="373"/>
    </row>
    <row r="25" spans="1:24" s="17" customFormat="1" ht="17.25" thickBot="1" x14ac:dyDescent="0.3">
      <c r="A25" s="316" t="s">
        <v>269</v>
      </c>
      <c r="B25" s="316"/>
      <c r="C25" s="316"/>
      <c r="D25" s="316"/>
      <c r="E25" s="316"/>
      <c r="F25" s="316"/>
      <c r="G25" s="316"/>
      <c r="H25" s="235">
        <f>H22+H23+H24</f>
        <v>76358</v>
      </c>
      <c r="I25" s="236"/>
    </row>
    <row r="26" spans="1:24" s="17" customFormat="1" x14ac:dyDescent="0.25">
      <c r="A26" s="35"/>
      <c r="B26"/>
      <c r="C26" s="107"/>
      <c r="D26" s="35"/>
      <c r="E26" s="35"/>
      <c r="F26" s="35"/>
      <c r="G26" s="35"/>
      <c r="H26" s="35"/>
      <c r="I26" s="35"/>
    </row>
    <row r="27" spans="1:24" s="17" customFormat="1" ht="16.5" x14ac:dyDescent="0.3">
      <c r="A27" s="339" t="s">
        <v>107</v>
      </c>
      <c r="B27" s="339" t="s">
        <v>272</v>
      </c>
      <c r="C27" s="339"/>
      <c r="D27" s="339"/>
      <c r="E27" s="339"/>
      <c r="F27" s="339"/>
      <c r="G27" s="339"/>
      <c r="H27" s="339"/>
      <c r="I27" s="339"/>
    </row>
    <row r="28" spans="1:24" s="17" customFormat="1" x14ac:dyDescent="0.25">
      <c r="A28" s="35"/>
      <c r="B28" s="108"/>
      <c r="E28" s="109"/>
      <c r="F28" s="109"/>
      <c r="G28" s="109"/>
      <c r="H28" s="109"/>
      <c r="I28" s="35"/>
      <c r="N28" s="90"/>
      <c r="O28" s="109"/>
      <c r="P28" s="109"/>
      <c r="Q28" s="109"/>
      <c r="R28" s="109"/>
      <c r="S28" s="35"/>
      <c r="T28" s="90"/>
      <c r="U28" s="109"/>
      <c r="V28" s="109"/>
      <c r="W28" s="109"/>
      <c r="X28" s="109"/>
    </row>
    <row r="29" spans="1:24" s="17" customFormat="1" x14ac:dyDescent="0.25">
      <c r="A29" s="35"/>
      <c r="C29" s="110" t="s">
        <v>16</v>
      </c>
      <c r="D29" s="172">
        <f>0.045</f>
        <v>4.4999999999999998E-2</v>
      </c>
      <c r="H29"/>
      <c r="I29"/>
      <c r="N29" s="90"/>
      <c r="O29" s="90"/>
      <c r="P29" s="190"/>
      <c r="Q29" s="109"/>
      <c r="R29" s="123"/>
      <c r="S29" s="35"/>
      <c r="T29" s="90"/>
      <c r="U29" s="90"/>
      <c r="V29" s="190"/>
      <c r="W29" s="109"/>
      <c r="X29" s="123"/>
    </row>
    <row r="30" spans="1:24" s="17" customFormat="1" x14ac:dyDescent="0.25">
      <c r="A30" s="35"/>
      <c r="H30"/>
      <c r="I30"/>
      <c r="N30" s="112"/>
      <c r="O30" s="90"/>
      <c r="P30" s="190"/>
      <c r="Q30" s="109"/>
      <c r="R30" s="123"/>
      <c r="S30" s="35"/>
      <c r="T30" s="112"/>
      <c r="U30" s="90"/>
      <c r="V30" s="190"/>
      <c r="W30" s="109"/>
      <c r="X30" s="123"/>
    </row>
    <row r="31" spans="1:24" s="17" customFormat="1" x14ac:dyDescent="0.25">
      <c r="A31" s="35"/>
      <c r="B31" s="17" t="s">
        <v>54</v>
      </c>
      <c r="C31" s="196">
        <f>G11</f>
        <v>5.625</v>
      </c>
      <c r="H31" t="s">
        <v>298</v>
      </c>
      <c r="I31" s="195">
        <f>G14</f>
        <v>1.9375</v>
      </c>
      <c r="N31" s="117"/>
      <c r="O31" s="90"/>
      <c r="P31" s="190"/>
      <c r="Q31" s="109"/>
      <c r="R31" s="123"/>
      <c r="S31" s="35"/>
      <c r="T31" s="117"/>
      <c r="U31" s="90"/>
      <c r="V31" s="190"/>
      <c r="W31" s="109"/>
      <c r="X31" s="123"/>
    </row>
    <row r="32" spans="1:24" s="17" customFormat="1" x14ac:dyDescent="0.25">
      <c r="A32" s="35"/>
      <c r="H32"/>
      <c r="I32"/>
      <c r="N32" s="112"/>
      <c r="O32" s="90"/>
      <c r="P32" s="190"/>
      <c r="Q32" s="109"/>
      <c r="R32" s="123"/>
      <c r="S32" s="35"/>
      <c r="T32" s="112"/>
      <c r="U32" s="90"/>
      <c r="V32" s="190"/>
      <c r="W32" s="109"/>
      <c r="X32" s="123"/>
    </row>
    <row r="33" spans="1:24" s="17" customFormat="1" ht="15" customHeight="1" x14ac:dyDescent="0.25">
      <c r="A33" s="35"/>
      <c r="B33" s="90" t="s">
        <v>271</v>
      </c>
      <c r="C33" s="111" t="s">
        <v>202</v>
      </c>
      <c r="D33" s="111" t="s">
        <v>203</v>
      </c>
      <c r="E33" s="111" t="s">
        <v>204</v>
      </c>
      <c r="F33" s="111" t="s">
        <v>106</v>
      </c>
      <c r="G33" s="109"/>
      <c r="H33" s="90" t="s">
        <v>297</v>
      </c>
      <c r="I33" s="111" t="s">
        <v>202</v>
      </c>
      <c r="J33" s="111" t="s">
        <v>203</v>
      </c>
      <c r="K33" s="111" t="s">
        <v>204</v>
      </c>
      <c r="L33" s="111" t="s">
        <v>106</v>
      </c>
      <c r="N33" s="112"/>
      <c r="O33" s="90"/>
      <c r="P33" s="190"/>
      <c r="Q33" s="109"/>
      <c r="R33" s="123"/>
      <c r="S33" s="35"/>
      <c r="T33" s="112"/>
      <c r="U33" s="90"/>
      <c r="V33" s="190"/>
      <c r="W33" s="109"/>
      <c r="X33" s="123"/>
    </row>
    <row r="34" spans="1:24" s="17" customFormat="1" x14ac:dyDescent="0.25">
      <c r="A34" s="35"/>
      <c r="B34" s="112" t="s">
        <v>296</v>
      </c>
      <c r="C34" s="182">
        <v>1</v>
      </c>
      <c r="D34" s="183">
        <v>0</v>
      </c>
      <c r="E34" s="184">
        <f>H21/9.26</f>
        <v>323.97408207343415</v>
      </c>
      <c r="F34" s="185">
        <f>(D34-E34)/((1+$D$29)^C34)</f>
        <v>-310.0230450463485</v>
      </c>
      <c r="G34" s="109"/>
      <c r="H34" s="90" t="s">
        <v>296</v>
      </c>
      <c r="I34" s="113">
        <v>1</v>
      </c>
      <c r="J34" s="193">
        <v>0</v>
      </c>
      <c r="K34" s="111">
        <f>E34</f>
        <v>323.97408207343415</v>
      </c>
      <c r="L34" s="114">
        <f>(J34-K34)/((1+$D$29)^I34)</f>
        <v>-310.0230450463485</v>
      </c>
      <c r="N34" s="112"/>
      <c r="O34" s="90"/>
      <c r="P34" s="191"/>
      <c r="Q34" s="109"/>
      <c r="R34" s="123"/>
      <c r="S34" s="35"/>
      <c r="T34" s="112"/>
      <c r="U34" s="90"/>
      <c r="V34" s="191"/>
      <c r="W34" s="109"/>
      <c r="X34" s="123"/>
    </row>
    <row r="35" spans="1:24" s="17" customFormat="1" x14ac:dyDescent="0.25">
      <c r="A35" s="35"/>
      <c r="B35" s="112" t="s">
        <v>205</v>
      </c>
      <c r="C35" s="182">
        <v>1</v>
      </c>
      <c r="D35" s="183">
        <v>0</v>
      </c>
      <c r="E35" s="184">
        <f>H20/9.26</f>
        <v>2299.136069114471</v>
      </c>
      <c r="F35" s="185">
        <f>(D35-E35)/((1+$D$29)^C35)</f>
        <v>-2200.1302096789195</v>
      </c>
      <c r="G35" s="109"/>
      <c r="H35" s="112" t="s">
        <v>205</v>
      </c>
      <c r="I35" s="113">
        <v>1</v>
      </c>
      <c r="J35" s="193">
        <v>0</v>
      </c>
      <c r="K35" s="111">
        <f t="shared" ref="K35:K40" si="0">E35</f>
        <v>2299.136069114471</v>
      </c>
      <c r="L35" s="114">
        <f>(J35-K35)/((1+$D$29)^I35)</f>
        <v>-2200.1302096789195</v>
      </c>
      <c r="N35" s="112"/>
      <c r="O35" s="109"/>
      <c r="P35" s="191"/>
      <c r="Q35" s="109"/>
      <c r="R35" s="123"/>
      <c r="S35" s="35"/>
      <c r="T35" s="112"/>
      <c r="U35" s="109"/>
      <c r="V35" s="191"/>
      <c r="W35" s="109"/>
      <c r="X35" s="123"/>
    </row>
    <row r="36" spans="1:24" s="17" customFormat="1" x14ac:dyDescent="0.25">
      <c r="A36" s="35"/>
      <c r="B36" s="112" t="s">
        <v>206</v>
      </c>
      <c r="C36" s="182">
        <v>2</v>
      </c>
      <c r="D36" s="183">
        <v>0</v>
      </c>
      <c r="E36" s="184">
        <v>320</v>
      </c>
      <c r="F36" s="185">
        <f>(D36-E37)/((1+$D$29)^C36)</f>
        <v>-329.66278244545691</v>
      </c>
      <c r="G36" s="109"/>
      <c r="H36" s="112" t="s">
        <v>206</v>
      </c>
      <c r="I36" s="113">
        <v>2</v>
      </c>
      <c r="J36" s="193">
        <v>0</v>
      </c>
      <c r="K36" s="111">
        <f t="shared" si="0"/>
        <v>320</v>
      </c>
      <c r="L36" s="114">
        <f>(J36-K36)/((1+$D$29)^I36)</f>
        <v>-293.03358439596167</v>
      </c>
      <c r="N36" s="112"/>
      <c r="O36" s="109"/>
      <c r="P36" s="191"/>
      <c r="Q36" s="109"/>
      <c r="R36" s="123"/>
      <c r="S36" s="35"/>
      <c r="T36" s="112"/>
      <c r="U36" s="109"/>
      <c r="V36" s="191"/>
      <c r="W36" s="109"/>
      <c r="X36" s="123"/>
    </row>
    <row r="37" spans="1:24" s="17" customFormat="1" x14ac:dyDescent="0.25">
      <c r="A37" s="35"/>
      <c r="B37" s="112" t="s">
        <v>207</v>
      </c>
      <c r="C37" s="182">
        <v>3</v>
      </c>
      <c r="D37" s="183">
        <v>0</v>
      </c>
      <c r="E37" s="184">
        <v>360</v>
      </c>
      <c r="F37" s="185">
        <f>(D37-E38)/((1+$D$29)^C37)</f>
        <v>-350.51864162196375</v>
      </c>
      <c r="G37" s="109"/>
      <c r="H37" s="112" t="s">
        <v>207</v>
      </c>
      <c r="I37" s="113">
        <v>3</v>
      </c>
      <c r="J37" s="193">
        <v>0</v>
      </c>
      <c r="K37" s="111">
        <f t="shared" si="0"/>
        <v>360</v>
      </c>
      <c r="L37" s="114">
        <f t="shared" ref="L37:L40" si="1">(J37-K37)/((1+$D$29)^I37)</f>
        <v>-315.46677745976734</v>
      </c>
      <c r="N37" s="112"/>
      <c r="O37" s="109"/>
      <c r="P37" s="191"/>
      <c r="Q37" s="109"/>
      <c r="R37" s="123"/>
      <c r="S37" s="35"/>
      <c r="T37" s="112"/>
      <c r="U37" s="109"/>
      <c r="V37" s="191"/>
      <c r="W37" s="109"/>
      <c r="X37" s="123"/>
    </row>
    <row r="38" spans="1:24" s="17" customFormat="1" x14ac:dyDescent="0.25">
      <c r="A38" s="35"/>
      <c r="B38" s="112" t="s">
        <v>208</v>
      </c>
      <c r="C38" s="182">
        <v>4</v>
      </c>
      <c r="D38" s="186">
        <v>0</v>
      </c>
      <c r="E38" s="184">
        <v>400</v>
      </c>
      <c r="F38" s="185">
        <f>(D38-E39)/((1+$D$29)^C38)</f>
        <v>-368.96699118101458</v>
      </c>
      <c r="G38" s="109"/>
      <c r="H38" s="112" t="s">
        <v>208</v>
      </c>
      <c r="I38" s="113">
        <v>4</v>
      </c>
      <c r="J38" s="194">
        <v>0</v>
      </c>
      <c r="K38" s="111">
        <f t="shared" si="0"/>
        <v>400</v>
      </c>
      <c r="L38" s="114">
        <f t="shared" si="1"/>
        <v>-335.42453743728595</v>
      </c>
      <c r="N38" s="112"/>
      <c r="O38" s="109"/>
      <c r="P38" s="191"/>
      <c r="Q38" s="109"/>
      <c r="R38" s="123"/>
      <c r="S38" s="35"/>
      <c r="T38" s="112"/>
      <c r="U38" s="109"/>
      <c r="V38" s="191"/>
      <c r="W38" s="109"/>
      <c r="X38" s="123"/>
    </row>
    <row r="39" spans="1:24" s="17" customFormat="1" x14ac:dyDescent="0.25">
      <c r="A39" s="35"/>
      <c r="B39" s="112" t="s">
        <v>513</v>
      </c>
      <c r="C39" s="182">
        <v>5</v>
      </c>
      <c r="D39" s="186">
        <v>0</v>
      </c>
      <c r="E39" s="184">
        <v>440</v>
      </c>
      <c r="F39" s="185">
        <f>(D39-E40)/((1+$D$29)^C39)</f>
        <v>-1091.3334232409304</v>
      </c>
      <c r="G39" s="109"/>
      <c r="H39" s="112" t="s">
        <v>513</v>
      </c>
      <c r="I39" s="113">
        <v>5</v>
      </c>
      <c r="J39" s="194">
        <v>0</v>
      </c>
      <c r="K39" s="111">
        <f t="shared" si="0"/>
        <v>440</v>
      </c>
      <c r="L39" s="114">
        <f t="shared" si="1"/>
        <v>-353.07846046030102</v>
      </c>
      <c r="N39" s="112"/>
      <c r="O39" s="109"/>
      <c r="P39" s="191"/>
      <c r="Q39" s="109"/>
      <c r="R39" s="123"/>
      <c r="S39" s="35"/>
      <c r="T39" s="112"/>
      <c r="U39" s="109"/>
      <c r="V39" s="191"/>
      <c r="W39" s="109"/>
      <c r="X39" s="123"/>
    </row>
    <row r="40" spans="1:24" s="17" customFormat="1" x14ac:dyDescent="0.25">
      <c r="A40" s="35"/>
      <c r="B40" s="112" t="s">
        <v>514</v>
      </c>
      <c r="C40" s="182">
        <v>5</v>
      </c>
      <c r="D40" s="186">
        <v>0</v>
      </c>
      <c r="E40" s="184">
        <f>0.85*1600</f>
        <v>1360</v>
      </c>
      <c r="F40" s="185">
        <f>(D40-E41)/((1+$D$29)^C40)</f>
        <v>-120.36765697510262</v>
      </c>
      <c r="G40" s="109"/>
      <c r="H40" s="112" t="s">
        <v>514</v>
      </c>
      <c r="I40" s="113"/>
      <c r="J40" s="194">
        <v>0</v>
      </c>
      <c r="K40" s="111">
        <f t="shared" si="0"/>
        <v>1360</v>
      </c>
      <c r="L40" s="114">
        <f t="shared" si="1"/>
        <v>-1360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25">
      <c r="A41" s="35"/>
      <c r="B41" s="112" t="s">
        <v>209</v>
      </c>
      <c r="C41" s="187">
        <v>36</v>
      </c>
      <c r="D41" s="186">
        <v>0</v>
      </c>
      <c r="E41" s="184">
        <v>150</v>
      </c>
      <c r="F41" s="185">
        <f>(D41-E41)/((1+$D$29)^C41)</f>
        <v>-30.754226104204811</v>
      </c>
      <c r="G41" s="109"/>
      <c r="H41" s="112" t="s">
        <v>209</v>
      </c>
      <c r="I41" s="50">
        <v>15</v>
      </c>
      <c r="J41" s="194">
        <v>80</v>
      </c>
      <c r="K41" s="111">
        <v>150</v>
      </c>
      <c r="L41" s="114">
        <f>(J41-K41)/((1+$D$29)^I41)</f>
        <v>-36.170430962103758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25">
      <c r="A42" s="35"/>
      <c r="B42" s="112" t="s">
        <v>2</v>
      </c>
      <c r="C42" s="187">
        <v>44</v>
      </c>
      <c r="D42" s="186">
        <v>0</v>
      </c>
      <c r="E42" s="184">
        <v>150</v>
      </c>
      <c r="F42" s="185">
        <f>(D42-E42)/((1+$D$29)^C42)</f>
        <v>-21.625914387914221</v>
      </c>
      <c r="G42" s="109"/>
      <c r="H42" s="112" t="s">
        <v>2</v>
      </c>
      <c r="I42" s="50">
        <v>20</v>
      </c>
      <c r="J42" s="194">
        <v>123.8826</v>
      </c>
      <c r="K42" s="111">
        <v>150</v>
      </c>
      <c r="L42" s="114">
        <f>(J42-K42)/((1+$D$29)^I42)</f>
        <v>-10.82939342352617</v>
      </c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25">
      <c r="A43" s="35"/>
      <c r="B43" s="112" t="s">
        <v>3</v>
      </c>
      <c r="C43" s="187">
        <v>52</v>
      </c>
      <c r="D43" s="186">
        <v>580</v>
      </c>
      <c r="E43" s="184">
        <v>150</v>
      </c>
      <c r="F43" s="185">
        <f>(D43-E43)/((1+$D$29)^C43)</f>
        <v>43.593461216758257</v>
      </c>
      <c r="G43"/>
      <c r="H43" s="112" t="s">
        <v>3</v>
      </c>
      <c r="I43" s="50">
        <v>25</v>
      </c>
      <c r="J43" s="194">
        <v>204.85213333333337</v>
      </c>
      <c r="K43" s="111">
        <v>150</v>
      </c>
      <c r="L43" s="114">
        <f>(J43-K43)/((1+$D$29)^I43)</f>
        <v>18.25098305305745</v>
      </c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25">
      <c r="A44" s="35"/>
      <c r="B44" s="112" t="s">
        <v>91</v>
      </c>
      <c r="C44" s="187">
        <v>60</v>
      </c>
      <c r="D44" s="186">
        <v>1200</v>
      </c>
      <c r="E44" s="184">
        <v>150</v>
      </c>
      <c r="F44" s="185">
        <f>(D44-E44)/((1+$D$29)^C44)</f>
        <v>74.853458694776847</v>
      </c>
      <c r="G44" s="109"/>
      <c r="H44" s="112" t="s">
        <v>91</v>
      </c>
      <c r="I44" s="50">
        <v>30</v>
      </c>
      <c r="J44" s="194">
        <v>615.38727777777785</v>
      </c>
      <c r="K44" s="111">
        <v>150</v>
      </c>
      <c r="L44" s="114">
        <f>(J44-K44)/((1+$D$29)^I44)</f>
        <v>124.2584103834286</v>
      </c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25">
      <c r="A45" s="35"/>
      <c r="B45" s="112" t="s">
        <v>92</v>
      </c>
      <c r="C45" s="187">
        <v>68</v>
      </c>
      <c r="D45" s="186">
        <v>1240</v>
      </c>
      <c r="E45" s="184">
        <v>150</v>
      </c>
      <c r="F45" s="185">
        <f>(D45-E45)/((1+$D$29)^C45)</f>
        <v>54.641013669919857</v>
      </c>
      <c r="G45" s="109"/>
      <c r="H45" s="112" t="s">
        <v>92</v>
      </c>
      <c r="I45" s="50">
        <v>35</v>
      </c>
      <c r="J45" s="194">
        <v>1083.0520972222223</v>
      </c>
      <c r="K45" s="111">
        <v>150</v>
      </c>
      <c r="L45" s="114">
        <f>(J45-K45)/((1+$D$29)^I45)</f>
        <v>199.91055631599048</v>
      </c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x14ac:dyDescent="0.25">
      <c r="A46" s="35"/>
      <c r="B46" s="112" t="s">
        <v>93</v>
      </c>
      <c r="C46" s="187">
        <v>78</v>
      </c>
      <c r="D46" s="186">
        <v>1920</v>
      </c>
      <c r="E46" s="184">
        <v>150</v>
      </c>
      <c r="F46" s="185">
        <f>(D46-E46)/((1+$D$29)^C46)</f>
        <v>57.135049962340204</v>
      </c>
      <c r="G46" s="109"/>
      <c r="H46" s="112" t="s">
        <v>93</v>
      </c>
      <c r="I46" s="50">
        <v>40</v>
      </c>
      <c r="J46" s="194">
        <v>1663.0152191358022</v>
      </c>
      <c r="K46" s="111">
        <v>150</v>
      </c>
      <c r="L46" s="114">
        <f>(J46-K46)/((1+$D$29)^I46)</f>
        <v>260.13074135150157</v>
      </c>
      <c r="N46" s="112"/>
      <c r="O46" s="35"/>
      <c r="P46" s="190"/>
      <c r="Q46" s="109"/>
      <c r="R46" s="123"/>
      <c r="S46" s="35"/>
      <c r="T46" s="112"/>
      <c r="U46" s="35"/>
      <c r="V46" s="190"/>
      <c r="W46" s="109"/>
      <c r="X46" s="123"/>
    </row>
    <row r="47" spans="1:24" s="17" customFormat="1" x14ac:dyDescent="0.25">
      <c r="A47" s="35"/>
      <c r="B47" s="112" t="s">
        <v>94</v>
      </c>
      <c r="C47" s="187">
        <v>88</v>
      </c>
      <c r="D47" s="186">
        <v>4200</v>
      </c>
      <c r="E47" s="184">
        <v>150</v>
      </c>
      <c r="F47" s="185">
        <f>(D47-E47)/((1+$D$29)^C47)</f>
        <v>84.18243116041117</v>
      </c>
      <c r="G47" s="109"/>
      <c r="H47" s="112" t="s">
        <v>94</v>
      </c>
      <c r="I47" s="50">
        <v>45</v>
      </c>
      <c r="J47" s="194">
        <v>2358.3375199331285</v>
      </c>
      <c r="K47" s="111">
        <v>150</v>
      </c>
      <c r="L47" s="114">
        <f>(J47-K47)/((1+$D$29)^I47)</f>
        <v>304.67188609692283</v>
      </c>
      <c r="N47" s="112"/>
      <c r="O47" s="35"/>
      <c r="P47" s="190"/>
      <c r="Q47" s="109"/>
      <c r="R47" s="123"/>
      <c r="S47" s="35"/>
      <c r="T47" s="112"/>
      <c r="U47" s="35"/>
      <c r="V47" s="190"/>
      <c r="W47" s="109"/>
      <c r="X47" s="123"/>
    </row>
    <row r="48" spans="1:24" s="17" customFormat="1" ht="16.5" x14ac:dyDescent="0.3">
      <c r="A48" s="35"/>
      <c r="B48" s="112" t="s">
        <v>95</v>
      </c>
      <c r="C48" s="187">
        <v>98</v>
      </c>
      <c r="D48" s="186">
        <v>4080</v>
      </c>
      <c r="E48" s="184">
        <v>150</v>
      </c>
      <c r="F48" s="185">
        <f>(D48-E48)/((1+$D$29)^C48)</f>
        <v>52.601252645820907</v>
      </c>
      <c r="G48" s="109"/>
      <c r="H48" s="112" t="s">
        <v>95</v>
      </c>
      <c r="I48" s="50">
        <v>50</v>
      </c>
      <c r="J48" s="194">
        <v>3171.3735199331277</v>
      </c>
      <c r="K48" s="111">
        <v>150</v>
      </c>
      <c r="L48" s="114">
        <f>(J48-K48)/((1+$D$29)^I48)</f>
        <v>334.49520480728688</v>
      </c>
      <c r="N48" s="112"/>
      <c r="O48" s="115"/>
      <c r="P48" s="192"/>
      <c r="Q48" s="109"/>
      <c r="R48" s="123"/>
      <c r="S48" s="35"/>
      <c r="T48" s="112"/>
      <c r="U48" s="115"/>
      <c r="V48" s="192"/>
      <c r="W48" s="109"/>
      <c r="X48" s="123"/>
    </row>
    <row r="49" spans="1:24" s="17" customFormat="1" ht="16.5" x14ac:dyDescent="0.3">
      <c r="A49" s="115"/>
      <c r="B49" s="112" t="s">
        <v>96</v>
      </c>
      <c r="C49" s="187">
        <v>108</v>
      </c>
      <c r="D49" s="186">
        <v>4680</v>
      </c>
      <c r="E49" s="184">
        <v>150</v>
      </c>
      <c r="F49" s="185">
        <f>(D49-E49)/((1+$D$29)^C49)</f>
        <v>39.042609205367327</v>
      </c>
      <c r="G49" s="109"/>
      <c r="H49" s="112" t="s">
        <v>96</v>
      </c>
      <c r="I49" s="50">
        <v>55</v>
      </c>
      <c r="J49" s="194">
        <v>4103.9218110460961</v>
      </c>
      <c r="K49" s="111">
        <v>150</v>
      </c>
      <c r="L49" s="114">
        <f>(J49-K49)/((1+$D$29)^I49)</f>
        <v>351.26275423060673</v>
      </c>
      <c r="N49" s="112"/>
      <c r="O49" s="115"/>
      <c r="P49" s="192"/>
      <c r="Q49" s="109"/>
      <c r="R49" s="123"/>
      <c r="S49" s="35"/>
      <c r="T49" s="112"/>
      <c r="U49" s="115"/>
      <c r="V49" s="192"/>
      <c r="W49" s="109"/>
      <c r="X49" s="123"/>
    </row>
    <row r="50" spans="1:24" s="17" customFormat="1" ht="16.5" x14ac:dyDescent="0.3">
      <c r="A50" s="115"/>
      <c r="B50" s="112" t="s">
        <v>97</v>
      </c>
      <c r="C50" s="187">
        <v>118</v>
      </c>
      <c r="D50" s="186">
        <v>4800</v>
      </c>
      <c r="E50" s="184">
        <v>150</v>
      </c>
      <c r="F50" s="185">
        <f>(D50-E50)/((1+$D$29)^C50)</f>
        <v>25.806593451209523</v>
      </c>
      <c r="G50" s="109"/>
      <c r="H50" s="112" t="s">
        <v>97</v>
      </c>
      <c r="I50" s="50">
        <v>60</v>
      </c>
      <c r="J50" s="194">
        <v>4512.6768425384143</v>
      </c>
      <c r="K50" s="111">
        <v>150</v>
      </c>
      <c r="L50" s="114">
        <f>(J50-K50)/((1+$D$29)^I50)</f>
        <v>311.01090555391301</v>
      </c>
      <c r="N50" s="112"/>
      <c r="O50" s="115"/>
      <c r="P50" s="192"/>
      <c r="Q50" s="109"/>
      <c r="R50" s="123"/>
      <c r="S50" s="35"/>
      <c r="T50" s="112"/>
      <c r="U50" s="115"/>
      <c r="V50" s="192"/>
      <c r="W50" s="109"/>
      <c r="X50" s="123"/>
    </row>
    <row r="51" spans="1:24" s="17" customFormat="1" ht="16.5" x14ac:dyDescent="0.3">
      <c r="A51" s="116"/>
      <c r="B51" s="112" t="s">
        <v>98</v>
      </c>
      <c r="C51" s="187">
        <v>128</v>
      </c>
      <c r="D51" s="188">
        <v>4680</v>
      </c>
      <c r="E51" s="184">
        <v>150</v>
      </c>
      <c r="F51" s="185">
        <f>(D51-E51)/((1+$D$29)^C51)</f>
        <v>16.188739130461197</v>
      </c>
      <c r="G51" s="35"/>
      <c r="H51" s="112" t="s">
        <v>98</v>
      </c>
      <c r="I51" s="50">
        <v>65</v>
      </c>
      <c r="J51" s="193">
        <v>4925.4060354486774</v>
      </c>
      <c r="K51" s="111">
        <v>150</v>
      </c>
      <c r="L51" s="114">
        <f>(J51-K51)/((1+$D$29)^I51)</f>
        <v>273.18158779136144</v>
      </c>
      <c r="N51" s="112"/>
      <c r="O51" s="115"/>
      <c r="P51" s="192"/>
      <c r="Q51" s="109"/>
      <c r="R51" s="123"/>
      <c r="S51" s="35"/>
      <c r="T51" s="112"/>
      <c r="U51" s="115"/>
      <c r="V51" s="192"/>
      <c r="W51" s="109"/>
      <c r="X51" s="123"/>
    </row>
    <row r="52" spans="1:24" s="17" customFormat="1" ht="16.5" x14ac:dyDescent="0.3">
      <c r="A52" s="116"/>
      <c r="B52" s="112" t="s">
        <v>99</v>
      </c>
      <c r="C52" s="187">
        <v>138</v>
      </c>
      <c r="D52" s="188">
        <v>4680</v>
      </c>
      <c r="E52" s="184">
        <v>150</v>
      </c>
      <c r="F52" s="185">
        <f>(D52-E52)/((1+$D$29)^C52)</f>
        <v>10.424377263266937</v>
      </c>
      <c r="G52" s="35"/>
      <c r="H52" s="112" t="s">
        <v>103</v>
      </c>
      <c r="I52" s="50">
        <v>70</v>
      </c>
      <c r="J52" s="193">
        <v>32048.682177243372</v>
      </c>
      <c r="K52" s="111">
        <v>150</v>
      </c>
      <c r="L52" s="114">
        <f>(J52-K52)/((1+$D$29)^I52)</f>
        <v>1464.3079162117047</v>
      </c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ht="16.5" x14ac:dyDescent="0.3">
      <c r="B53" s="112" t="s">
        <v>100</v>
      </c>
      <c r="C53" s="187">
        <v>148</v>
      </c>
      <c r="D53" s="189">
        <v>6560</v>
      </c>
      <c r="E53" s="184">
        <v>150</v>
      </c>
      <c r="F53" s="185">
        <f>(D53-E53)/((1+$D$29)^C53)</f>
        <v>9.4983253890567934</v>
      </c>
      <c r="G53" s="115"/>
      <c r="H53" s="112"/>
      <c r="I53" s="115"/>
      <c r="J53" s="192"/>
      <c r="K53" s="109"/>
      <c r="L53" s="123">
        <f>SUM(L34:L51)</f>
        <v>-3036.9834092801452</v>
      </c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ht="16.5" x14ac:dyDescent="0.3">
      <c r="A54" s="115"/>
      <c r="B54" s="112" t="s">
        <v>101</v>
      </c>
      <c r="C54" s="187">
        <v>158</v>
      </c>
      <c r="D54" s="189">
        <v>6560</v>
      </c>
      <c r="E54" s="184">
        <v>150</v>
      </c>
      <c r="F54" s="185">
        <f>(D54-E54)/((1+$D$29)^C54)</f>
        <v>6.1162346509424506</v>
      </c>
      <c r="G54" s="115"/>
      <c r="H54" s="112"/>
      <c r="I54" s="115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ht="16.5" x14ac:dyDescent="0.3">
      <c r="A55" s="116"/>
      <c r="B55" s="112" t="s">
        <v>102</v>
      </c>
      <c r="C55" s="187">
        <v>168</v>
      </c>
      <c r="D55" s="189">
        <v>6560</v>
      </c>
      <c r="E55" s="184">
        <v>150</v>
      </c>
      <c r="F55" s="185">
        <f>(D55-E55)/((1+$D$29)^C55)</f>
        <v>3.9384128015332034</v>
      </c>
      <c r="G55" s="116"/>
      <c r="H55" s="112"/>
      <c r="I55" s="115"/>
      <c r="J55" s="116"/>
      <c r="K55" s="116"/>
      <c r="L55" s="116"/>
      <c r="N55" s="112"/>
      <c r="O55" s="116"/>
      <c r="P55" s="116"/>
      <c r="Q55" s="116"/>
      <c r="R55" s="116"/>
      <c r="S55" s="35"/>
      <c r="T55" s="112"/>
      <c r="U55" s="116"/>
      <c r="V55" s="116"/>
      <c r="W55" s="116"/>
      <c r="X55" s="116"/>
    </row>
    <row r="56" spans="1:24" s="17" customFormat="1" ht="16.5" x14ac:dyDescent="0.3">
      <c r="A56" s="116"/>
      <c r="B56" s="112" t="s">
        <v>103</v>
      </c>
      <c r="C56" s="187">
        <v>180</v>
      </c>
      <c r="D56" s="189">
        <v>58880</v>
      </c>
      <c r="E56" s="184">
        <v>150</v>
      </c>
      <c r="F56" s="185">
        <f>(D56-E56)/((1+$D$29)^C56)</f>
        <v>21.277848892756303</v>
      </c>
      <c r="G56" s="116"/>
      <c r="H56" s="112"/>
      <c r="I56" s="115"/>
      <c r="O56" s="35"/>
      <c r="P56" s="35"/>
      <c r="Q56" s="35"/>
      <c r="R56" s="35"/>
      <c r="S56" s="35"/>
      <c r="T56" s="35"/>
      <c r="U56" s="35"/>
      <c r="V56" s="35"/>
      <c r="W56" s="35"/>
      <c r="X56" s="35"/>
    </row>
    <row r="57" spans="1:24" s="17" customFormat="1" ht="16.5" x14ac:dyDescent="0.3">
      <c r="B57" s="177"/>
      <c r="C57" s="178"/>
      <c r="D57" s="179"/>
      <c r="E57" s="180"/>
      <c r="F57" s="181">
        <f>SUM(F34:F56)</f>
        <v>-4324.0830825472322</v>
      </c>
      <c r="H57" s="112"/>
      <c r="I57" s="115"/>
      <c r="O57" s="35"/>
      <c r="P57" s="35"/>
      <c r="Q57" s="35"/>
      <c r="R57" s="35"/>
      <c r="S57" s="35"/>
      <c r="T57" s="35"/>
      <c r="U57" s="35"/>
      <c r="V57" s="35"/>
      <c r="W57" s="35"/>
      <c r="X57" s="35"/>
    </row>
    <row r="58" spans="1:24" s="17" customFormat="1" ht="16.5" x14ac:dyDescent="0.3">
      <c r="B58" s="177"/>
      <c r="C58" s="178"/>
      <c r="D58" s="179"/>
      <c r="E58" s="180"/>
      <c r="F58" s="181"/>
      <c r="G58" s="115"/>
      <c r="H58" s="112"/>
      <c r="I58" s="11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s="17" customFormat="1" ht="16.5" x14ac:dyDescent="0.3">
      <c r="A59" s="153"/>
      <c r="B59" s="17" t="s">
        <v>515</v>
      </c>
      <c r="C59" s="196">
        <f>G17</f>
        <v>0.84375</v>
      </c>
      <c r="G59" s="116"/>
      <c r="H59" s="112"/>
      <c r="I59" s="381" t="s">
        <v>299</v>
      </c>
      <c r="J59" s="382">
        <f>C31*F57+I31*L53+F84*C59</f>
        <v>-33042.322618701408</v>
      </c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s="17" customFormat="1" ht="16.5" x14ac:dyDescent="0.3">
      <c r="G60" s="116"/>
      <c r="H60" s="112"/>
      <c r="I60" s="116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25">
      <c r="B61" s="90" t="s">
        <v>271</v>
      </c>
      <c r="C61" s="111" t="s">
        <v>202</v>
      </c>
      <c r="D61" s="111" t="s">
        <v>203</v>
      </c>
      <c r="E61" s="111" t="s">
        <v>204</v>
      </c>
      <c r="F61" s="111" t="s">
        <v>106</v>
      </c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25">
      <c r="B62" s="112" t="s">
        <v>296</v>
      </c>
      <c r="C62" s="182">
        <v>1</v>
      </c>
      <c r="D62" s="183">
        <v>0</v>
      </c>
      <c r="E62" s="184">
        <f>E34</f>
        <v>323.97408207343415</v>
      </c>
      <c r="F62" s="185">
        <f>(D62-E62)/((1+$D$29)^C62)</f>
        <v>-310.0230450463485</v>
      </c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25">
      <c r="B63" s="112" t="s">
        <v>205</v>
      </c>
      <c r="C63" s="182">
        <v>1</v>
      </c>
      <c r="D63" s="183">
        <v>0</v>
      </c>
      <c r="E63" s="184">
        <f t="shared" ref="E63:E67" si="2">E35</f>
        <v>2299.136069114471</v>
      </c>
      <c r="F63" s="185">
        <f t="shared" ref="F63:F68" si="3">(D63-E63)/((1+$D$29)^C63)</f>
        <v>-2200.1302096789195</v>
      </c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25">
      <c r="B64" s="112" t="s">
        <v>206</v>
      </c>
      <c r="C64" s="182">
        <v>2</v>
      </c>
      <c r="D64" s="183">
        <v>0</v>
      </c>
      <c r="E64" s="184">
        <f t="shared" si="2"/>
        <v>320</v>
      </c>
      <c r="F64" s="185">
        <f t="shared" si="3"/>
        <v>-293.03358439596167</v>
      </c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2:24" s="17" customFormat="1" x14ac:dyDescent="0.25">
      <c r="B65" s="112" t="s">
        <v>207</v>
      </c>
      <c r="C65" s="182">
        <v>3</v>
      </c>
      <c r="D65" s="183">
        <v>0</v>
      </c>
      <c r="E65" s="184">
        <f t="shared" si="2"/>
        <v>360</v>
      </c>
      <c r="F65" s="185">
        <f t="shared" si="3"/>
        <v>-315.46677745976734</v>
      </c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2:24" s="17" customFormat="1" x14ac:dyDescent="0.25">
      <c r="B66" s="112" t="s">
        <v>208</v>
      </c>
      <c r="C66" s="182">
        <v>4</v>
      </c>
      <c r="D66" s="186">
        <v>0</v>
      </c>
      <c r="E66" s="184">
        <f t="shared" si="2"/>
        <v>400</v>
      </c>
      <c r="F66" s="185">
        <f t="shared" si="3"/>
        <v>-335.42453743728595</v>
      </c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2:24" s="17" customFormat="1" x14ac:dyDescent="0.25">
      <c r="B67" s="112" t="s">
        <v>513</v>
      </c>
      <c r="C67" s="182">
        <v>5</v>
      </c>
      <c r="D67" s="186">
        <v>0</v>
      </c>
      <c r="E67" s="184">
        <f t="shared" si="2"/>
        <v>440</v>
      </c>
      <c r="F67" s="185">
        <f t="shared" si="3"/>
        <v>-353.07846046030102</v>
      </c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2:24" s="17" customFormat="1" x14ac:dyDescent="0.25">
      <c r="B68" s="112" t="s">
        <v>209</v>
      </c>
      <c r="C68" s="187">
        <v>36</v>
      </c>
      <c r="D68" s="186">
        <v>0</v>
      </c>
      <c r="E68" s="184">
        <f>E41</f>
        <v>150</v>
      </c>
      <c r="F68" s="185">
        <f t="shared" si="3"/>
        <v>-30.754226104204811</v>
      </c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2:24" s="17" customFormat="1" x14ac:dyDescent="0.25">
      <c r="B69" s="112" t="s">
        <v>2</v>
      </c>
      <c r="C69" s="187">
        <v>44</v>
      </c>
      <c r="D69" s="186">
        <v>0</v>
      </c>
      <c r="E69" s="184">
        <v>150</v>
      </c>
      <c r="F69" s="185">
        <f>(D69-E69)/((1+$D$29)^C69)</f>
        <v>-21.625914387914221</v>
      </c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2:24" s="17" customFormat="1" x14ac:dyDescent="0.25">
      <c r="B70" s="112" t="s">
        <v>3</v>
      </c>
      <c r="C70" s="187">
        <v>52</v>
      </c>
      <c r="D70" s="186">
        <v>580</v>
      </c>
      <c r="E70" s="184">
        <v>150</v>
      </c>
      <c r="F70" s="185">
        <f>(D70-E70)/((1+$D$29)^C70)</f>
        <v>43.593461216758257</v>
      </c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2:24" s="17" customFormat="1" x14ac:dyDescent="0.25">
      <c r="B71" s="112" t="s">
        <v>91</v>
      </c>
      <c r="C71" s="187">
        <v>60</v>
      </c>
      <c r="D71" s="186">
        <v>1200</v>
      </c>
      <c r="E71" s="184">
        <v>150</v>
      </c>
      <c r="F71" s="185">
        <f>(D71-E71)/((1+$D$29)^C71)</f>
        <v>74.853458694776847</v>
      </c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2:24" s="17" customFormat="1" x14ac:dyDescent="0.25">
      <c r="B72" s="112" t="s">
        <v>92</v>
      </c>
      <c r="C72" s="187">
        <v>68</v>
      </c>
      <c r="D72" s="186">
        <v>1240</v>
      </c>
      <c r="E72" s="184">
        <v>150</v>
      </c>
      <c r="F72" s="185">
        <f>(D72-E72)/((1+$D$29)^C72)</f>
        <v>54.641013669919857</v>
      </c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2:24" s="17" customFormat="1" x14ac:dyDescent="0.25">
      <c r="B73" s="112" t="s">
        <v>93</v>
      </c>
      <c r="C73" s="187">
        <v>78</v>
      </c>
      <c r="D73" s="186">
        <v>1920</v>
      </c>
      <c r="E73" s="184">
        <v>150</v>
      </c>
      <c r="F73" s="185">
        <f>(D73-E73)/((1+$D$29)^C73)</f>
        <v>57.135049962340204</v>
      </c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2:24" s="17" customFormat="1" x14ac:dyDescent="0.25">
      <c r="B74" s="112" t="s">
        <v>94</v>
      </c>
      <c r="C74" s="187">
        <v>88</v>
      </c>
      <c r="D74" s="186">
        <v>4200</v>
      </c>
      <c r="E74" s="184">
        <v>150</v>
      </c>
      <c r="F74" s="185">
        <f>(D74-E74)/((1+$D$29)^C74)</f>
        <v>84.18243116041117</v>
      </c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2:24" s="17" customFormat="1" x14ac:dyDescent="0.25">
      <c r="B75" s="112" t="s">
        <v>95</v>
      </c>
      <c r="C75" s="187">
        <v>98</v>
      </c>
      <c r="D75" s="186">
        <v>4080</v>
      </c>
      <c r="E75" s="184">
        <v>150</v>
      </c>
      <c r="F75" s="185">
        <f>(D75-E75)/((1+$D$29)^C75)</f>
        <v>52.601252645820907</v>
      </c>
      <c r="G75" s="317"/>
      <c r="H75" s="317"/>
      <c r="I75" s="317"/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2:24" s="17" customFormat="1" x14ac:dyDescent="0.25">
      <c r="B76" s="112" t="s">
        <v>96</v>
      </c>
      <c r="C76" s="187">
        <v>108</v>
      </c>
      <c r="D76" s="186">
        <v>4680</v>
      </c>
      <c r="E76" s="184">
        <v>150</v>
      </c>
      <c r="F76" s="185">
        <f>(D76-E76)/((1+$D$29)^C76)</f>
        <v>39.042609205367327</v>
      </c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2:24" s="17" customFormat="1" x14ac:dyDescent="0.25">
      <c r="B77" s="112" t="s">
        <v>97</v>
      </c>
      <c r="C77" s="187">
        <v>118</v>
      </c>
      <c r="D77" s="186">
        <v>4800</v>
      </c>
      <c r="E77" s="184">
        <v>150</v>
      </c>
      <c r="F77" s="185">
        <f>(D77-E77)/((1+$D$29)^C77)</f>
        <v>25.806593451209523</v>
      </c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2:24" s="17" customFormat="1" x14ac:dyDescent="0.25">
      <c r="B78" s="112" t="s">
        <v>98</v>
      </c>
      <c r="C78" s="187">
        <v>128</v>
      </c>
      <c r="D78" s="188">
        <v>4680</v>
      </c>
      <c r="E78" s="184">
        <v>150</v>
      </c>
      <c r="F78" s="185">
        <f>(D78-E78)/((1+$D$29)^C78)</f>
        <v>16.188739130461197</v>
      </c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2:24" s="17" customFormat="1" x14ac:dyDescent="0.25">
      <c r="B79" s="112" t="s">
        <v>99</v>
      </c>
      <c r="C79" s="187">
        <v>138</v>
      </c>
      <c r="D79" s="188">
        <v>4680</v>
      </c>
      <c r="E79" s="184">
        <v>150</v>
      </c>
      <c r="F79" s="185">
        <f>(D79-E79)/((1+$D$29)^C79)</f>
        <v>10.424377263266937</v>
      </c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2:24" s="17" customFormat="1" ht="16.5" x14ac:dyDescent="0.3">
      <c r="B80" s="112" t="s">
        <v>100</v>
      </c>
      <c r="C80" s="187">
        <v>148</v>
      </c>
      <c r="D80" s="189">
        <v>6560</v>
      </c>
      <c r="E80" s="184">
        <v>150</v>
      </c>
      <c r="F80" s="185">
        <f>(D80-E80)/((1+$D$29)^C80)</f>
        <v>9.4983253890567934</v>
      </c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2:24" s="17" customFormat="1" ht="16.5" x14ac:dyDescent="0.3">
      <c r="B81" s="112" t="s">
        <v>101</v>
      </c>
      <c r="C81" s="187">
        <v>158</v>
      </c>
      <c r="D81" s="189">
        <v>6560</v>
      </c>
      <c r="E81" s="184">
        <v>150</v>
      </c>
      <c r="F81" s="185">
        <f>(D81-E81)/((1+$D$29)^C81)</f>
        <v>6.1162346509424506</v>
      </c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2:24" s="17" customFormat="1" ht="16.5" x14ac:dyDescent="0.3">
      <c r="B82" s="112" t="s">
        <v>102</v>
      </c>
      <c r="C82" s="187">
        <v>168</v>
      </c>
      <c r="D82" s="189">
        <v>6560</v>
      </c>
      <c r="E82" s="184">
        <v>150</v>
      </c>
      <c r="F82" s="185">
        <f>(D82-E82)/((1+$D$29)^C82)</f>
        <v>3.9384128015332034</v>
      </c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2:24" s="17" customFormat="1" ht="16.5" x14ac:dyDescent="0.3">
      <c r="B83" s="112" t="s">
        <v>103</v>
      </c>
      <c r="C83" s="187">
        <v>180</v>
      </c>
      <c r="D83" s="189">
        <v>58880</v>
      </c>
      <c r="E83" s="184">
        <v>150</v>
      </c>
      <c r="F83" s="185">
        <f>(D83-E83)/((1+$D$29)^C83)</f>
        <v>21.277848892756303</v>
      </c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2:24" s="17" customFormat="1" ht="16.5" x14ac:dyDescent="0.3">
      <c r="B84" s="177"/>
      <c r="C84" s="178"/>
      <c r="D84" s="179"/>
      <c r="E84" s="180"/>
      <c r="F84" s="181">
        <f>SUM(F62:F83)</f>
        <v>-3360.2369468360821</v>
      </c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2:24" s="17" customFormat="1" x14ac:dyDescent="0.2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2:24" s="17" customFormat="1" x14ac:dyDescent="0.2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2:24" s="17" customFormat="1" x14ac:dyDescent="0.2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2:24" s="17" customFormat="1" x14ac:dyDescent="0.2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2:24" s="17" customFormat="1" x14ac:dyDescent="0.25"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2:24" s="17" customFormat="1" x14ac:dyDescent="0.2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2:24" s="17" customFormat="1" x14ac:dyDescent="0.25">
      <c r="C91" s="61"/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2:24" s="17" customFormat="1" x14ac:dyDescent="0.2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2:24" s="17" customFormat="1" x14ac:dyDescent="0.2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2:24" s="17" customFormat="1" x14ac:dyDescent="0.25"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2:24" s="17" customFormat="1" x14ac:dyDescent="0.2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2:24" s="17" customFormat="1" x14ac:dyDescent="0.25">
      <c r="C96" s="62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25"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25">
      <c r="C98" s="62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25">
      <c r="B99" s="63"/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2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2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2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2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2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2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2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2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2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2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2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2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2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2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2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2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2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2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2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2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2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2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2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x14ac:dyDescent="0.25">
      <c r="A123" s="17"/>
      <c r="B123" s="17"/>
      <c r="C123" s="17"/>
      <c r="D123" s="17"/>
      <c r="E123" s="17"/>
      <c r="F123" s="17"/>
      <c r="G123" s="17"/>
      <c r="H123" s="17"/>
      <c r="I123" s="17"/>
    </row>
    <row r="124" spans="1:24" x14ac:dyDescent="0.25">
      <c r="A124" s="17"/>
      <c r="B124" s="17"/>
      <c r="C124" s="17"/>
      <c r="D124" s="17"/>
      <c r="E124" s="17"/>
      <c r="F124" s="17"/>
      <c r="G124" s="17"/>
      <c r="H124" s="17"/>
      <c r="I124" s="17"/>
    </row>
    <row r="125" spans="1:24" x14ac:dyDescent="0.25">
      <c r="A125" s="17"/>
      <c r="B125" s="17"/>
      <c r="C125" s="17"/>
      <c r="D125" s="17"/>
      <c r="E125" s="17"/>
      <c r="F125" s="17"/>
      <c r="G125" s="17"/>
      <c r="H125" s="17"/>
      <c r="I125" s="17"/>
    </row>
    <row r="126" spans="1:24" x14ac:dyDescent="0.25">
      <c r="A126" s="17"/>
      <c r="B126" s="17"/>
      <c r="C126" s="17"/>
      <c r="D126" s="17"/>
      <c r="E126" s="17"/>
      <c r="F126" s="17"/>
      <c r="G126" s="17"/>
      <c r="H126" s="17"/>
      <c r="I126" s="17"/>
    </row>
    <row r="127" spans="1:24" x14ac:dyDescent="0.2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24" x14ac:dyDescent="0.2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2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2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2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2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2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2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2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2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2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2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2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2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2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2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2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2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2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2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25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x14ac:dyDescent="0.25">
      <c r="B148" s="17"/>
    </row>
  </sheetData>
  <mergeCells count="32">
    <mergeCell ref="A23:G23"/>
    <mergeCell ref="A25:G25"/>
    <mergeCell ref="A24:G24"/>
    <mergeCell ref="E17:E18"/>
    <mergeCell ref="G17:G19"/>
    <mergeCell ref="C17:D17"/>
    <mergeCell ref="C18:D18"/>
    <mergeCell ref="C19:E19"/>
    <mergeCell ref="G75:I75"/>
    <mergeCell ref="A20:G20"/>
    <mergeCell ref="H20:I20"/>
    <mergeCell ref="A14:B15"/>
    <mergeCell ref="E14:E15"/>
    <mergeCell ref="G14:G16"/>
    <mergeCell ref="C14:D14"/>
    <mergeCell ref="A27:I27"/>
    <mergeCell ref="C15:D15"/>
    <mergeCell ref="C16:E16"/>
    <mergeCell ref="A22:G22"/>
    <mergeCell ref="A21:G21"/>
    <mergeCell ref="H21:I21"/>
    <mergeCell ref="A17:B18"/>
    <mergeCell ref="A1:I1"/>
    <mergeCell ref="A8:I8"/>
    <mergeCell ref="A10:B10"/>
    <mergeCell ref="C10:D10"/>
    <mergeCell ref="E11:E12"/>
    <mergeCell ref="G11:G13"/>
    <mergeCell ref="C13:E13"/>
    <mergeCell ref="C11:D11"/>
    <mergeCell ref="C12:D12"/>
    <mergeCell ref="A11:B12"/>
  </mergeCells>
  <pageMargins left="0.7" right="0.7" top="0.75" bottom="0.75" header="0.3" footer="0.3"/>
  <pageSetup paperSize="9" scale="4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47"/>
  <sheetViews>
    <sheetView showGridLines="0" view="pageBreakPreview" topLeftCell="A46" zoomScaleNormal="100" zoomScaleSheetLayoutView="100" workbookViewId="0">
      <selection activeCell="C77" sqref="C77:D77"/>
    </sheetView>
  </sheetViews>
  <sheetFormatPr baseColWidth="10" defaultRowHeight="15" x14ac:dyDescent="0.25"/>
  <cols>
    <col min="1" max="1" width="5" customWidth="1"/>
    <col min="2" max="2" width="41.28515625" bestFit="1" customWidth="1"/>
    <col min="3" max="3" width="18" bestFit="1" customWidth="1"/>
    <col min="4" max="4" width="19.140625" bestFit="1" customWidth="1"/>
    <col min="5" max="5" width="17.5703125" bestFit="1" customWidth="1"/>
    <col min="6" max="8" width="13.28515625" bestFit="1" customWidth="1"/>
    <col min="9" max="9" width="15.85546875" customWidth="1"/>
    <col min="11" max="11" width="28" customWidth="1"/>
    <col min="12" max="12" width="11.85546875" bestFit="1" customWidth="1"/>
    <col min="15" max="24" width="11.42578125" style="35"/>
  </cols>
  <sheetData>
    <row r="1" spans="1:24" ht="16.5" x14ac:dyDescent="0.3">
      <c r="A1" s="340" t="s">
        <v>154</v>
      </c>
      <c r="B1" s="340"/>
      <c r="C1" s="340"/>
      <c r="D1" s="340"/>
      <c r="E1" s="340"/>
      <c r="F1" s="340"/>
      <c r="G1" s="340"/>
      <c r="H1" s="340"/>
      <c r="I1" s="340"/>
      <c r="O1"/>
      <c r="P1"/>
      <c r="Q1"/>
      <c r="R1"/>
      <c r="S1"/>
      <c r="T1"/>
      <c r="U1"/>
      <c r="V1"/>
      <c r="W1"/>
      <c r="X1"/>
    </row>
    <row r="2" spans="1:24" x14ac:dyDescent="0.25">
      <c r="O2"/>
      <c r="P2"/>
      <c r="Q2"/>
      <c r="R2"/>
      <c r="S2"/>
      <c r="T2"/>
      <c r="U2"/>
      <c r="V2"/>
      <c r="W2"/>
      <c r="X2"/>
    </row>
    <row r="3" spans="1:24" x14ac:dyDescent="0.25">
      <c r="A3" t="s">
        <v>44</v>
      </c>
      <c r="B3" s="2" t="s">
        <v>14</v>
      </c>
      <c r="C3" s="2">
        <v>2</v>
      </c>
      <c r="D3" s="7" t="s">
        <v>18</v>
      </c>
      <c r="G3" s="6"/>
      <c r="H3" s="6"/>
      <c r="I3" s="6"/>
      <c r="O3"/>
      <c r="P3"/>
      <c r="Q3"/>
      <c r="R3"/>
      <c r="S3"/>
      <c r="T3"/>
      <c r="U3"/>
      <c r="V3"/>
      <c r="W3"/>
      <c r="X3"/>
    </row>
    <row r="4" spans="1:24" x14ac:dyDescent="0.25">
      <c r="A4" t="s">
        <v>45</v>
      </c>
      <c r="B4" s="2" t="s">
        <v>15</v>
      </c>
      <c r="C4" s="2">
        <v>0</v>
      </c>
      <c r="D4" s="106">
        <f>(C6*C4)/((1+C5)^(C6/C3))</f>
        <v>0</v>
      </c>
      <c r="G4" s="6"/>
      <c r="H4" s="6"/>
      <c r="I4" s="6"/>
      <c r="O4"/>
      <c r="P4"/>
      <c r="Q4"/>
      <c r="R4"/>
      <c r="S4"/>
      <c r="T4"/>
      <c r="U4"/>
      <c r="V4"/>
      <c r="W4"/>
      <c r="X4"/>
    </row>
    <row r="5" spans="1:24" x14ac:dyDescent="0.25">
      <c r="A5" t="s">
        <v>46</v>
      </c>
      <c r="B5" s="2" t="s">
        <v>16</v>
      </c>
      <c r="C5" s="3">
        <v>4.4999999999999998E-2</v>
      </c>
      <c r="G5" s="6"/>
      <c r="H5" s="6"/>
      <c r="I5" s="6"/>
      <c r="O5"/>
      <c r="P5"/>
      <c r="Q5"/>
      <c r="R5"/>
      <c r="S5"/>
      <c r="T5"/>
      <c r="U5"/>
      <c r="V5"/>
      <c r="W5"/>
      <c r="X5"/>
    </row>
    <row r="6" spans="1:24" x14ac:dyDescent="0.25">
      <c r="A6" t="s">
        <v>47</v>
      </c>
      <c r="B6" s="2" t="s">
        <v>17</v>
      </c>
      <c r="C6" s="2">
        <f>100*C3</f>
        <v>200</v>
      </c>
      <c r="O6"/>
      <c r="P6"/>
      <c r="Q6"/>
      <c r="R6"/>
      <c r="S6"/>
      <c r="T6"/>
      <c r="U6"/>
      <c r="V6"/>
      <c r="W6"/>
      <c r="X6"/>
    </row>
    <row r="7" spans="1:24" x14ac:dyDescent="0.25">
      <c r="O7"/>
      <c r="P7"/>
      <c r="Q7"/>
      <c r="R7"/>
      <c r="S7"/>
      <c r="T7"/>
      <c r="U7"/>
      <c r="V7"/>
      <c r="W7"/>
      <c r="X7"/>
    </row>
    <row r="8" spans="1:24" ht="16.5" x14ac:dyDescent="0.3">
      <c r="A8" s="340" t="s">
        <v>273</v>
      </c>
      <c r="B8" s="340"/>
      <c r="C8" s="340"/>
      <c r="D8" s="340"/>
      <c r="E8" s="340"/>
      <c r="F8" s="340"/>
      <c r="G8" s="340"/>
      <c r="H8" s="340"/>
      <c r="I8" s="340"/>
      <c r="O8"/>
      <c r="P8"/>
      <c r="Q8"/>
      <c r="R8"/>
      <c r="S8"/>
      <c r="T8"/>
      <c r="U8"/>
      <c r="V8"/>
      <c r="W8"/>
      <c r="X8"/>
    </row>
    <row r="9" spans="1:24" ht="15.75" thickBot="1" x14ac:dyDescent="0.3">
      <c r="O9"/>
      <c r="P9"/>
      <c r="Q9"/>
      <c r="R9"/>
      <c r="S9"/>
      <c r="T9"/>
      <c r="U9"/>
      <c r="V9"/>
      <c r="W9"/>
      <c r="X9"/>
    </row>
    <row r="10" spans="1:24" ht="66.75" thickBot="1" x14ac:dyDescent="0.3">
      <c r="A10" s="341" t="s">
        <v>274</v>
      </c>
      <c r="B10" s="342"/>
      <c r="C10" s="342" t="s">
        <v>259</v>
      </c>
      <c r="D10" s="342"/>
      <c r="E10" s="199" t="s">
        <v>260</v>
      </c>
      <c r="F10" s="199" t="s">
        <v>261</v>
      </c>
      <c r="G10" s="199" t="s">
        <v>262</v>
      </c>
      <c r="H10" s="199" t="s">
        <v>263</v>
      </c>
      <c r="I10" s="199" t="s">
        <v>264</v>
      </c>
      <c r="O10"/>
      <c r="P10"/>
      <c r="Q10"/>
      <c r="R10"/>
      <c r="S10"/>
      <c r="T10"/>
      <c r="U10"/>
      <c r="V10"/>
      <c r="W10"/>
      <c r="X10"/>
    </row>
    <row r="11" spans="1:24" ht="16.5" customHeight="1" x14ac:dyDescent="0.25">
      <c r="A11" s="348" t="s">
        <v>274</v>
      </c>
      <c r="B11" s="349"/>
      <c r="C11" s="324" t="s">
        <v>522</v>
      </c>
      <c r="D11" s="324"/>
      <c r="E11" s="325" t="s">
        <v>364</v>
      </c>
      <c r="F11" s="156">
        <f>200+220</f>
        <v>420</v>
      </c>
      <c r="G11" s="343">
        <f>Répartition!O7</f>
        <v>7.2833333333333332</v>
      </c>
      <c r="H11" s="157">
        <f>F11*G11</f>
        <v>3059</v>
      </c>
      <c r="I11" s="200"/>
      <c r="J11" s="154"/>
      <c r="K11" s="368"/>
      <c r="L11" s="369"/>
      <c r="O11"/>
      <c r="P11"/>
      <c r="Q11"/>
      <c r="R11"/>
      <c r="S11"/>
      <c r="T11"/>
      <c r="U11"/>
      <c r="V11"/>
      <c r="W11"/>
      <c r="X11"/>
    </row>
    <row r="12" spans="1:24" ht="16.5" x14ac:dyDescent="0.25">
      <c r="A12" s="350"/>
      <c r="B12" s="321"/>
      <c r="C12" s="330" t="s">
        <v>291</v>
      </c>
      <c r="D12" s="331"/>
      <c r="E12" s="326"/>
      <c r="F12" s="156">
        <f>H12/G11</f>
        <v>737.99999999999989</v>
      </c>
      <c r="G12" s="344"/>
      <c r="H12" s="157">
        <f>0.41*B14</f>
        <v>5375.0999999999995</v>
      </c>
      <c r="I12" s="200"/>
      <c r="J12" s="154"/>
      <c r="K12" s="368"/>
      <c r="L12" s="369"/>
      <c r="O12"/>
      <c r="P12"/>
      <c r="Q12"/>
      <c r="R12"/>
      <c r="S12"/>
      <c r="T12"/>
      <c r="U12"/>
      <c r="V12"/>
      <c r="W12"/>
      <c r="X12"/>
    </row>
    <row r="13" spans="1:24" ht="17.25" thickBot="1" x14ac:dyDescent="0.3">
      <c r="A13" s="350"/>
      <c r="B13" s="321"/>
      <c r="C13" s="324" t="s">
        <v>292</v>
      </c>
      <c r="D13" s="324"/>
      <c r="E13" s="326"/>
      <c r="F13" s="156">
        <f>H13/G11</f>
        <v>2160</v>
      </c>
      <c r="G13" s="344"/>
      <c r="H13" s="157">
        <f>1.2*B14</f>
        <v>15732</v>
      </c>
      <c r="I13" s="200"/>
      <c r="K13" s="368"/>
      <c r="L13" s="369"/>
      <c r="O13"/>
      <c r="P13"/>
      <c r="Q13"/>
      <c r="R13"/>
      <c r="S13"/>
      <c r="T13"/>
      <c r="U13"/>
      <c r="V13"/>
      <c r="W13"/>
      <c r="X13"/>
    </row>
    <row r="14" spans="1:24" ht="50.25" thickBot="1" x14ac:dyDescent="0.3">
      <c r="A14" s="159" t="s">
        <v>265</v>
      </c>
      <c r="B14" s="160">
        <f>Répartition!K7</f>
        <v>13110</v>
      </c>
      <c r="C14" s="346" t="s">
        <v>266</v>
      </c>
      <c r="D14" s="346"/>
      <c r="E14" s="347"/>
      <c r="F14" s="161">
        <f>H14/G11</f>
        <v>3318</v>
      </c>
      <c r="G14" s="345"/>
      <c r="H14" s="162">
        <f>SUM(H11:H13)</f>
        <v>24166.1</v>
      </c>
      <c r="I14" s="170"/>
      <c r="O14"/>
      <c r="P14"/>
      <c r="Q14"/>
      <c r="R14"/>
      <c r="S14"/>
      <c r="T14"/>
      <c r="U14"/>
      <c r="V14"/>
      <c r="W14"/>
      <c r="X14"/>
    </row>
    <row r="15" spans="1:24" ht="17.25" customHeight="1" thickBot="1" x14ac:dyDescent="0.3">
      <c r="A15" s="320" t="s">
        <v>270</v>
      </c>
      <c r="B15" s="321"/>
      <c r="C15" s="324" t="s">
        <v>522</v>
      </c>
      <c r="D15" s="324"/>
      <c r="E15" s="325" t="s">
        <v>521</v>
      </c>
      <c r="F15" s="163">
        <v>420</v>
      </c>
      <c r="G15" s="328">
        <f>Répartition!O8+Répartition!O10+Répartition!O11</f>
        <v>1.8166666666666667</v>
      </c>
      <c r="H15" s="157">
        <f>F15*G15</f>
        <v>763</v>
      </c>
      <c r="I15" s="171"/>
      <c r="O15"/>
      <c r="P15"/>
      <c r="Q15"/>
      <c r="R15"/>
      <c r="S15"/>
      <c r="T15"/>
      <c r="U15"/>
      <c r="V15"/>
      <c r="W15"/>
      <c r="X15"/>
    </row>
    <row r="16" spans="1:24" ht="17.25" customHeight="1" thickBot="1" x14ac:dyDescent="0.3">
      <c r="A16" s="320"/>
      <c r="B16" s="321"/>
      <c r="C16" s="330" t="s">
        <v>291</v>
      </c>
      <c r="D16" s="331"/>
      <c r="E16" s="326"/>
      <c r="F16" s="156">
        <f>H16/G15</f>
        <v>737.99999999999989</v>
      </c>
      <c r="G16" s="329"/>
      <c r="H16" s="163">
        <f>0.41*B18</f>
        <v>1340.6999999999998</v>
      </c>
      <c r="I16" s="171"/>
      <c r="O16"/>
      <c r="P16"/>
      <c r="Q16"/>
      <c r="R16"/>
      <c r="S16"/>
      <c r="T16"/>
      <c r="U16"/>
      <c r="V16"/>
      <c r="W16"/>
      <c r="X16"/>
    </row>
    <row r="17" spans="1:24" ht="17.25" customHeight="1" thickBot="1" x14ac:dyDescent="0.3">
      <c r="A17" s="320"/>
      <c r="B17" s="321"/>
      <c r="C17" s="324" t="s">
        <v>292</v>
      </c>
      <c r="D17" s="324"/>
      <c r="E17" s="326"/>
      <c r="F17" s="156">
        <f>H17/G15</f>
        <v>2154.8807339449545</v>
      </c>
      <c r="G17" s="329"/>
      <c r="H17" s="157">
        <f>168+679+183.6+168+423+250.2+349.5+203.4+1490</f>
        <v>3914.7000000000003</v>
      </c>
      <c r="I17" s="171"/>
      <c r="K17" s="364"/>
      <c r="O17"/>
      <c r="P17"/>
      <c r="Q17"/>
      <c r="R17"/>
      <c r="S17"/>
      <c r="T17"/>
      <c r="U17"/>
      <c r="V17"/>
      <c r="W17"/>
      <c r="X17"/>
    </row>
    <row r="18" spans="1:24" ht="50.25" thickBot="1" x14ac:dyDescent="0.3">
      <c r="A18" s="164" t="s">
        <v>265</v>
      </c>
      <c r="B18" s="165">
        <f>SUM(Répartition!K8:K16)</f>
        <v>3270</v>
      </c>
      <c r="C18" s="333" t="s">
        <v>266</v>
      </c>
      <c r="D18" s="334"/>
      <c r="E18" s="335"/>
      <c r="F18" s="161">
        <f>H18/G15</f>
        <v>3312.880733944954</v>
      </c>
      <c r="G18" s="329"/>
      <c r="H18" s="167">
        <f>SUM(H15:H17)</f>
        <v>6018.4</v>
      </c>
      <c r="I18" s="170"/>
      <c r="O18"/>
      <c r="P18"/>
      <c r="Q18"/>
      <c r="R18"/>
      <c r="S18"/>
      <c r="T18"/>
      <c r="U18"/>
      <c r="V18"/>
      <c r="W18"/>
      <c r="X18"/>
    </row>
    <row r="19" spans="1:24" ht="16.5" x14ac:dyDescent="0.25">
      <c r="A19" s="318" t="s">
        <v>267</v>
      </c>
      <c r="B19" s="318"/>
      <c r="C19" s="318"/>
      <c r="D19" s="318"/>
      <c r="E19" s="318"/>
      <c r="F19" s="318"/>
      <c r="G19" s="318"/>
      <c r="H19" s="319">
        <f>H14+H18</f>
        <v>30184.5</v>
      </c>
      <c r="I19" s="319"/>
      <c r="K19" s="378"/>
      <c r="O19"/>
      <c r="P19"/>
      <c r="Q19"/>
      <c r="R19"/>
      <c r="S19"/>
      <c r="T19"/>
      <c r="U19"/>
      <c r="V19"/>
      <c r="W19"/>
      <c r="X19"/>
    </row>
    <row r="20" spans="1:24" ht="17.25" thickBot="1" x14ac:dyDescent="0.3">
      <c r="A20" s="336" t="s">
        <v>520</v>
      </c>
      <c r="B20" s="336"/>
      <c r="C20" s="336"/>
      <c r="D20" s="336"/>
      <c r="E20" s="336"/>
      <c r="F20" s="336"/>
      <c r="G20" s="336"/>
      <c r="H20" s="337">
        <f>600+2500</f>
        <v>3100</v>
      </c>
      <c r="I20" s="338"/>
      <c r="J20" s="19"/>
      <c r="K20" s="376"/>
      <c r="L20" s="19"/>
      <c r="O20"/>
      <c r="P20"/>
      <c r="Q20"/>
      <c r="R20"/>
      <c r="S20"/>
      <c r="T20"/>
      <c r="U20"/>
      <c r="V20"/>
      <c r="W20"/>
      <c r="X20"/>
    </row>
    <row r="21" spans="1:24" ht="17.25" thickBot="1" x14ac:dyDescent="0.3">
      <c r="A21" s="336" t="s">
        <v>523</v>
      </c>
      <c r="B21" s="336"/>
      <c r="C21" s="336"/>
      <c r="D21" s="336"/>
      <c r="E21" s="336"/>
      <c r="F21" s="336"/>
      <c r="G21" s="336"/>
      <c r="H21" s="337">
        <f>17850</f>
        <v>17850</v>
      </c>
      <c r="I21" s="338"/>
      <c r="J21" s="19"/>
      <c r="K21" s="377"/>
      <c r="L21" s="19"/>
      <c r="O21"/>
      <c r="P21"/>
      <c r="Q21"/>
      <c r="R21"/>
      <c r="S21"/>
      <c r="T21"/>
      <c r="U21"/>
      <c r="V21"/>
      <c r="W21"/>
      <c r="X21"/>
    </row>
    <row r="22" spans="1:24" ht="14.45" customHeight="1" thickBot="1" x14ac:dyDescent="0.3">
      <c r="A22" s="316" t="s">
        <v>507</v>
      </c>
      <c r="B22" s="316"/>
      <c r="C22" s="316"/>
      <c r="D22" s="316"/>
      <c r="E22" s="316"/>
      <c r="F22" s="316"/>
      <c r="G22" s="316"/>
      <c r="H22" s="235">
        <f>H19+H20+H21</f>
        <v>51134.5</v>
      </c>
      <c r="I22" s="236"/>
      <c r="M22" s="52"/>
      <c r="O22"/>
      <c r="P22"/>
      <c r="Q22"/>
      <c r="R22"/>
      <c r="S22"/>
      <c r="T22"/>
      <c r="U22"/>
      <c r="V22"/>
      <c r="W22"/>
      <c r="X22"/>
    </row>
    <row r="23" spans="1:24" ht="14.45" customHeight="1" thickBot="1" x14ac:dyDescent="0.3">
      <c r="A23" s="316" t="s">
        <v>524</v>
      </c>
      <c r="B23" s="316"/>
      <c r="C23" s="316"/>
      <c r="D23" s="316"/>
      <c r="E23" s="316"/>
      <c r="F23" s="316"/>
      <c r="G23" s="316"/>
      <c r="H23" s="235">
        <f>29120</f>
        <v>29120</v>
      </c>
      <c r="I23" s="236"/>
      <c r="M23" s="52"/>
      <c r="O23"/>
      <c r="P23"/>
      <c r="Q23"/>
      <c r="R23"/>
      <c r="S23"/>
      <c r="T23"/>
      <c r="U23"/>
      <c r="V23"/>
      <c r="W23"/>
      <c r="X23"/>
    </row>
    <row r="24" spans="1:24" ht="14.45" customHeight="1" thickBot="1" x14ac:dyDescent="0.3">
      <c r="A24" s="316" t="s">
        <v>525</v>
      </c>
      <c r="B24" s="316"/>
      <c r="C24" s="316"/>
      <c r="D24" s="316"/>
      <c r="E24" s="316"/>
      <c r="F24" s="316"/>
      <c r="G24" s="316"/>
      <c r="H24" s="235">
        <f>H22+H23</f>
        <v>80254.5</v>
      </c>
      <c r="I24" s="236"/>
      <c r="M24" s="52"/>
      <c r="O24"/>
      <c r="P24"/>
      <c r="Q24"/>
      <c r="R24"/>
      <c r="S24"/>
      <c r="T24"/>
      <c r="U24"/>
      <c r="V24"/>
      <c r="W24"/>
      <c r="X24"/>
    </row>
    <row r="25" spans="1:24" x14ac:dyDescent="0.25">
      <c r="A25" s="35"/>
      <c r="C25" s="107"/>
      <c r="D25" s="35"/>
      <c r="E25" s="35"/>
      <c r="F25" s="35"/>
      <c r="G25" s="35"/>
      <c r="H25" s="35"/>
      <c r="I25" s="35"/>
      <c r="M25" s="52"/>
      <c r="O25"/>
      <c r="P25"/>
      <c r="Q25"/>
      <c r="R25"/>
      <c r="S25"/>
      <c r="T25"/>
      <c r="U25"/>
      <c r="V25"/>
      <c r="W25"/>
      <c r="X25"/>
    </row>
    <row r="26" spans="1:24" ht="16.5" x14ac:dyDescent="0.3">
      <c r="A26" s="339" t="s">
        <v>107</v>
      </c>
      <c r="B26" s="339" t="s">
        <v>272</v>
      </c>
      <c r="C26" s="339"/>
      <c r="D26" s="339"/>
      <c r="E26" s="339"/>
      <c r="F26" s="339"/>
      <c r="G26" s="339"/>
      <c r="H26" s="339"/>
      <c r="I26" s="339"/>
      <c r="O26"/>
      <c r="P26"/>
      <c r="Q26"/>
      <c r="R26"/>
      <c r="S26"/>
      <c r="T26"/>
      <c r="U26"/>
      <c r="V26"/>
      <c r="W26"/>
      <c r="X26"/>
    </row>
    <row r="27" spans="1:24" s="17" customFormat="1" x14ac:dyDescent="0.25">
      <c r="A27" s="35"/>
      <c r="B27" s="108"/>
      <c r="E27" s="109"/>
      <c r="F27" s="109"/>
      <c r="G27" s="109"/>
      <c r="H27" s="109"/>
      <c r="I27" s="35"/>
    </row>
    <row r="28" spans="1:24" s="17" customFormat="1" x14ac:dyDescent="0.25">
      <c r="A28" s="35"/>
      <c r="C28" s="110" t="s">
        <v>16</v>
      </c>
      <c r="D28" s="172">
        <f>0.045</f>
        <v>4.4999999999999998E-2</v>
      </c>
      <c r="H28"/>
      <c r="I28"/>
    </row>
    <row r="29" spans="1:24" s="17" customFormat="1" x14ac:dyDescent="0.25">
      <c r="A29" s="35"/>
      <c r="H29"/>
      <c r="I29"/>
    </row>
    <row r="30" spans="1:24" s="17" customFormat="1" x14ac:dyDescent="0.25">
      <c r="A30" s="35"/>
      <c r="C30" s="196">
        <f>G11</f>
        <v>7.2833333333333332</v>
      </c>
      <c r="D30" s="17" t="s">
        <v>38</v>
      </c>
      <c r="H30" t="s">
        <v>510</v>
      </c>
      <c r="I30" s="380">
        <f>Répartition!O11</f>
        <v>0.77222222222222214</v>
      </c>
      <c r="J30" s="17" t="s">
        <v>38</v>
      </c>
    </row>
    <row r="31" spans="1:24" s="17" customFormat="1" x14ac:dyDescent="0.25">
      <c r="A31" s="35"/>
      <c r="B31" s="17" t="s">
        <v>54</v>
      </c>
      <c r="H31"/>
      <c r="I31"/>
    </row>
    <row r="32" spans="1:24" s="17" customFormat="1" x14ac:dyDescent="0.25">
      <c r="A32" s="35"/>
      <c r="B32" s="90"/>
      <c r="C32" s="111" t="s">
        <v>202</v>
      </c>
      <c r="D32" s="111" t="s">
        <v>203</v>
      </c>
      <c r="E32" s="111" t="s">
        <v>204</v>
      </c>
      <c r="F32" s="111" t="s">
        <v>106</v>
      </c>
      <c r="G32" s="109"/>
      <c r="H32" s="90" t="s">
        <v>297</v>
      </c>
      <c r="I32" s="111" t="s">
        <v>202</v>
      </c>
      <c r="J32" s="111" t="s">
        <v>203</v>
      </c>
      <c r="K32" s="111" t="s">
        <v>204</v>
      </c>
      <c r="L32" s="111" t="s">
        <v>106</v>
      </c>
      <c r="N32" s="90"/>
      <c r="O32" s="109"/>
      <c r="P32" s="109"/>
      <c r="Q32" s="109"/>
      <c r="R32" s="109"/>
      <c r="S32" s="35"/>
      <c r="T32" s="90"/>
      <c r="U32" s="109"/>
      <c r="V32" s="109"/>
      <c r="W32" s="109"/>
      <c r="X32" s="109"/>
    </row>
    <row r="33" spans="1:24" s="17" customFormat="1" x14ac:dyDescent="0.25">
      <c r="A33" s="35"/>
      <c r="B33" s="112" t="s">
        <v>205</v>
      </c>
      <c r="C33" s="182">
        <v>1</v>
      </c>
      <c r="D33" s="183">
        <v>0</v>
      </c>
      <c r="E33" s="184">
        <f>$H$22/($G$11+$G$15)</f>
        <v>5619.1758241758243</v>
      </c>
      <c r="F33" s="185">
        <f t="shared" ref="F33:F53" si="0">(D33-E33)/((1+$D$28)^C33)</f>
        <v>-5377.2017456227986</v>
      </c>
      <c r="G33" s="109"/>
      <c r="H33" s="112" t="s">
        <v>205</v>
      </c>
      <c r="I33" s="113">
        <v>1</v>
      </c>
      <c r="J33" s="193">
        <v>0</v>
      </c>
      <c r="K33" s="184">
        <f>$H$22/($G$11+$G$15)</f>
        <v>5619.1758241758243</v>
      </c>
      <c r="L33" s="114">
        <f t="shared" ref="L33:L49" si="1">(J33-K33)/((1+$D$28)^I33)</f>
        <v>-5377.2017456227986</v>
      </c>
      <c r="N33" s="112"/>
      <c r="O33" s="90"/>
      <c r="P33" s="190"/>
      <c r="Q33" s="109"/>
      <c r="R33" s="123"/>
      <c r="S33" s="35"/>
      <c r="T33" s="112"/>
      <c r="U33" s="90"/>
      <c r="V33" s="190"/>
      <c r="W33" s="109"/>
      <c r="X33" s="123"/>
    </row>
    <row r="34" spans="1:24" s="17" customFormat="1" x14ac:dyDescent="0.25">
      <c r="A34" s="35"/>
      <c r="B34" s="112" t="s">
        <v>206</v>
      </c>
      <c r="C34" s="182">
        <v>2</v>
      </c>
      <c r="D34" s="183">
        <v>0</v>
      </c>
      <c r="E34" s="184">
        <f>$H$23/(4*($G$11+$G$15))</f>
        <v>800</v>
      </c>
      <c r="F34" s="185">
        <f t="shared" si="0"/>
        <v>-732.5839609899042</v>
      </c>
      <c r="G34" s="109"/>
      <c r="H34" s="112" t="s">
        <v>206</v>
      </c>
      <c r="I34" s="113">
        <v>2</v>
      </c>
      <c r="J34" s="193">
        <v>0</v>
      </c>
      <c r="K34" s="184">
        <f>$H$23/(4*($G$11+$G$15))</f>
        <v>800</v>
      </c>
      <c r="L34" s="114">
        <f t="shared" si="1"/>
        <v>-732.5839609899042</v>
      </c>
      <c r="N34" s="112"/>
      <c r="O34" s="90"/>
      <c r="P34" s="190"/>
      <c r="Q34" s="109"/>
      <c r="R34" s="123"/>
      <c r="S34" s="35"/>
      <c r="T34" s="112"/>
      <c r="U34" s="90"/>
      <c r="V34" s="190"/>
      <c r="W34" s="109"/>
      <c r="X34" s="123"/>
    </row>
    <row r="35" spans="1:24" s="17" customFormat="1" ht="15" customHeight="1" x14ac:dyDescent="0.25">
      <c r="A35" s="35"/>
      <c r="B35" s="112" t="s">
        <v>207</v>
      </c>
      <c r="C35" s="182">
        <v>3</v>
      </c>
      <c r="D35" s="183">
        <v>0</v>
      </c>
      <c r="E35" s="184">
        <f t="shared" ref="E35:E37" si="2">$H$23/(4*($G$11+$G$15))</f>
        <v>800</v>
      </c>
      <c r="F35" s="185">
        <f t="shared" si="0"/>
        <v>-701.0372832439275</v>
      </c>
      <c r="G35" s="109"/>
      <c r="H35" s="112" t="s">
        <v>207</v>
      </c>
      <c r="I35" s="113">
        <v>3</v>
      </c>
      <c r="J35" s="193">
        <v>0</v>
      </c>
      <c r="K35" s="184">
        <f t="shared" ref="K35:K37" si="3">$H$23/(4*($G$11+$G$15))</f>
        <v>800</v>
      </c>
      <c r="L35" s="114">
        <f t="shared" si="1"/>
        <v>-701.0372832439275</v>
      </c>
      <c r="N35" s="112"/>
      <c r="O35" s="90"/>
      <c r="P35" s="190"/>
      <c r="Q35" s="109"/>
      <c r="R35" s="123"/>
      <c r="S35" s="35"/>
      <c r="T35" s="112"/>
      <c r="U35" s="90"/>
      <c r="V35" s="190"/>
      <c r="W35" s="109"/>
      <c r="X35" s="123"/>
    </row>
    <row r="36" spans="1:24" s="17" customFormat="1" x14ac:dyDescent="0.25">
      <c r="A36" s="35"/>
      <c r="B36" s="112" t="s">
        <v>208</v>
      </c>
      <c r="C36" s="182">
        <v>4</v>
      </c>
      <c r="D36" s="186">
        <v>0</v>
      </c>
      <c r="E36" s="184">
        <f t="shared" si="2"/>
        <v>800</v>
      </c>
      <c r="F36" s="185">
        <f t="shared" si="0"/>
        <v>-670.8490748745719</v>
      </c>
      <c r="G36" s="109"/>
      <c r="H36" s="112" t="s">
        <v>208</v>
      </c>
      <c r="I36" s="113">
        <v>4</v>
      </c>
      <c r="J36" s="194">
        <v>0</v>
      </c>
      <c r="K36" s="184">
        <f t="shared" si="3"/>
        <v>800</v>
      </c>
      <c r="L36" s="114">
        <f t="shared" si="1"/>
        <v>-670.8490748745719</v>
      </c>
      <c r="N36" s="112"/>
      <c r="O36" s="90"/>
      <c r="P36" s="191"/>
      <c r="Q36" s="109"/>
      <c r="R36" s="123"/>
      <c r="S36" s="35"/>
      <c r="T36" s="112"/>
      <c r="U36" s="90"/>
      <c r="V36" s="191"/>
      <c r="W36" s="109"/>
      <c r="X36" s="123"/>
    </row>
    <row r="37" spans="1:24" s="17" customFormat="1" x14ac:dyDescent="0.25">
      <c r="A37" s="35"/>
      <c r="B37" s="112" t="s">
        <v>513</v>
      </c>
      <c r="C37" s="182">
        <v>5</v>
      </c>
      <c r="D37" s="186">
        <v>0</v>
      </c>
      <c r="E37" s="184">
        <f t="shared" si="2"/>
        <v>800</v>
      </c>
      <c r="F37" s="185">
        <f t="shared" si="0"/>
        <v>-641.9608372005473</v>
      </c>
      <c r="G37" s="109"/>
      <c r="H37" s="112" t="s">
        <v>513</v>
      </c>
      <c r="I37" s="113">
        <v>5</v>
      </c>
      <c r="J37" s="194">
        <v>0</v>
      </c>
      <c r="K37" s="184">
        <f t="shared" si="3"/>
        <v>800</v>
      </c>
      <c r="L37" s="114">
        <f t="shared" si="1"/>
        <v>-641.9608372005473</v>
      </c>
      <c r="N37" s="112"/>
      <c r="O37" s="90"/>
      <c r="P37" s="191"/>
      <c r="Q37" s="109"/>
      <c r="R37" s="123"/>
      <c r="S37" s="35"/>
      <c r="T37" s="112"/>
      <c r="U37" s="90"/>
      <c r="V37" s="191"/>
      <c r="W37" s="109"/>
      <c r="X37" s="123"/>
    </row>
    <row r="38" spans="1:24" s="17" customFormat="1" x14ac:dyDescent="0.25">
      <c r="A38" s="35"/>
      <c r="B38" s="112" t="s">
        <v>209</v>
      </c>
      <c r="C38" s="187">
        <v>36</v>
      </c>
      <c r="D38" s="186">
        <v>0</v>
      </c>
      <c r="E38" s="184">
        <v>150</v>
      </c>
      <c r="F38" s="185">
        <f t="shared" si="0"/>
        <v>-30.754226104204811</v>
      </c>
      <c r="G38" s="109"/>
      <c r="H38" s="112" t="s">
        <v>209</v>
      </c>
      <c r="I38" s="50">
        <v>15</v>
      </c>
      <c r="J38" s="194">
        <v>80</v>
      </c>
      <c r="K38" s="111">
        <v>150</v>
      </c>
      <c r="L38" s="114">
        <f t="shared" si="1"/>
        <v>-36.170430962103758</v>
      </c>
      <c r="N38" s="112"/>
      <c r="O38" s="109"/>
      <c r="P38" s="191"/>
      <c r="Q38" s="109"/>
      <c r="R38" s="123"/>
      <c r="S38" s="35"/>
      <c r="T38" s="112"/>
      <c r="U38" s="109"/>
      <c r="V38" s="191"/>
      <c r="W38" s="109"/>
      <c r="X38" s="123"/>
    </row>
    <row r="39" spans="1:24" s="17" customFormat="1" x14ac:dyDescent="0.25">
      <c r="A39" s="35"/>
      <c r="B39" s="112" t="s">
        <v>2</v>
      </c>
      <c r="C39" s="187">
        <v>44</v>
      </c>
      <c r="D39" s="186">
        <v>0</v>
      </c>
      <c r="E39" s="184">
        <v>150</v>
      </c>
      <c r="F39" s="185">
        <f t="shared" si="0"/>
        <v>-21.625914387914221</v>
      </c>
      <c r="G39" s="109"/>
      <c r="H39" s="112" t="s">
        <v>2</v>
      </c>
      <c r="I39" s="50">
        <v>20</v>
      </c>
      <c r="J39" s="194">
        <v>123.8826</v>
      </c>
      <c r="K39" s="111">
        <v>150</v>
      </c>
      <c r="L39" s="114">
        <f t="shared" si="1"/>
        <v>-10.82939342352617</v>
      </c>
      <c r="N39" s="112"/>
      <c r="O39" s="109"/>
      <c r="P39" s="191"/>
      <c r="Q39" s="109"/>
      <c r="R39" s="123"/>
      <c r="S39" s="35"/>
      <c r="T39" s="112"/>
      <c r="U39" s="109"/>
      <c r="V39" s="191"/>
      <c r="W39" s="109"/>
      <c r="X39" s="123"/>
    </row>
    <row r="40" spans="1:24" s="17" customFormat="1" x14ac:dyDescent="0.25">
      <c r="A40" s="35"/>
      <c r="B40" s="112" t="s">
        <v>3</v>
      </c>
      <c r="C40" s="187">
        <v>52</v>
      </c>
      <c r="D40" s="186">
        <v>580</v>
      </c>
      <c r="E40" s="184">
        <v>150</v>
      </c>
      <c r="F40" s="185">
        <f t="shared" si="0"/>
        <v>43.593461216758257</v>
      </c>
      <c r="G40"/>
      <c r="H40" s="112" t="s">
        <v>3</v>
      </c>
      <c r="I40" s="50">
        <v>25</v>
      </c>
      <c r="J40" s="194">
        <v>204.85213333333337</v>
      </c>
      <c r="K40" s="111">
        <v>150</v>
      </c>
      <c r="L40" s="114">
        <f t="shared" si="1"/>
        <v>18.25098305305745</v>
      </c>
      <c r="N40" s="112"/>
      <c r="O40" s="109"/>
      <c r="P40" s="191"/>
      <c r="Q40" s="109"/>
      <c r="R40" s="123"/>
      <c r="S40" s="35"/>
      <c r="T40" s="112"/>
      <c r="U40" s="109"/>
      <c r="V40" s="191"/>
      <c r="W40" s="109"/>
      <c r="X40" s="123"/>
    </row>
    <row r="41" spans="1:24" s="17" customFormat="1" x14ac:dyDescent="0.25">
      <c r="A41" s="35"/>
      <c r="B41" s="112" t="s">
        <v>91</v>
      </c>
      <c r="C41" s="187">
        <v>60</v>
      </c>
      <c r="D41" s="186">
        <v>1200</v>
      </c>
      <c r="E41" s="184">
        <v>150</v>
      </c>
      <c r="F41" s="185">
        <f t="shared" si="0"/>
        <v>74.853458694776847</v>
      </c>
      <c r="G41" s="109"/>
      <c r="H41" s="112" t="s">
        <v>91</v>
      </c>
      <c r="I41" s="50">
        <v>30</v>
      </c>
      <c r="J41" s="194">
        <v>615.38727777777785</v>
      </c>
      <c r="K41" s="111">
        <v>150</v>
      </c>
      <c r="L41" s="114">
        <f t="shared" si="1"/>
        <v>124.2584103834286</v>
      </c>
      <c r="N41" s="112"/>
      <c r="O41" s="109"/>
      <c r="P41" s="191"/>
      <c r="Q41" s="109"/>
      <c r="R41" s="123"/>
      <c r="S41" s="35"/>
      <c r="T41" s="112"/>
      <c r="U41" s="109"/>
      <c r="V41" s="191"/>
      <c r="W41" s="109"/>
      <c r="X41" s="123"/>
    </row>
    <row r="42" spans="1:24" s="17" customFormat="1" x14ac:dyDescent="0.25">
      <c r="A42" s="35"/>
      <c r="B42" s="112" t="s">
        <v>92</v>
      </c>
      <c r="C42" s="187">
        <v>68</v>
      </c>
      <c r="D42" s="186">
        <v>1240</v>
      </c>
      <c r="E42" s="184">
        <v>150</v>
      </c>
      <c r="F42" s="185">
        <f t="shared" si="0"/>
        <v>54.641013669919857</v>
      </c>
      <c r="G42" s="109"/>
      <c r="H42" s="112" t="s">
        <v>92</v>
      </c>
      <c r="I42" s="50">
        <v>35</v>
      </c>
      <c r="J42" s="194">
        <v>1083.0520972222223</v>
      </c>
      <c r="K42" s="111">
        <v>150</v>
      </c>
      <c r="L42" s="114">
        <f t="shared" si="1"/>
        <v>199.91055631599048</v>
      </c>
      <c r="N42" s="112"/>
      <c r="O42" s="109"/>
      <c r="P42" s="191"/>
      <c r="Q42" s="109"/>
      <c r="R42" s="123"/>
      <c r="S42" s="35"/>
      <c r="T42" s="112"/>
      <c r="U42" s="109"/>
      <c r="V42" s="191"/>
      <c r="W42" s="109"/>
      <c r="X42" s="123"/>
    </row>
    <row r="43" spans="1:24" s="17" customFormat="1" x14ac:dyDescent="0.25">
      <c r="A43" s="35"/>
      <c r="B43" s="112" t="s">
        <v>93</v>
      </c>
      <c r="C43" s="187">
        <v>78</v>
      </c>
      <c r="D43" s="186">
        <v>1920</v>
      </c>
      <c r="E43" s="184">
        <v>150</v>
      </c>
      <c r="F43" s="185">
        <f t="shared" si="0"/>
        <v>57.135049962340204</v>
      </c>
      <c r="G43" s="109"/>
      <c r="H43" s="112" t="s">
        <v>93</v>
      </c>
      <c r="I43" s="50">
        <v>40</v>
      </c>
      <c r="J43" s="194">
        <v>1663.0152191358022</v>
      </c>
      <c r="K43" s="111">
        <v>150</v>
      </c>
      <c r="L43" s="114">
        <f t="shared" si="1"/>
        <v>260.13074135150157</v>
      </c>
      <c r="N43" s="112"/>
      <c r="O43" s="109"/>
      <c r="P43" s="191"/>
      <c r="Q43" s="109"/>
      <c r="R43" s="123"/>
      <c r="S43" s="35"/>
      <c r="T43" s="112"/>
      <c r="U43" s="109"/>
      <c r="V43" s="191"/>
      <c r="W43" s="109"/>
      <c r="X43" s="123"/>
    </row>
    <row r="44" spans="1:24" s="17" customFormat="1" x14ac:dyDescent="0.25">
      <c r="A44" s="35"/>
      <c r="B44" s="112" t="s">
        <v>94</v>
      </c>
      <c r="C44" s="187">
        <v>88</v>
      </c>
      <c r="D44" s="186">
        <v>4200</v>
      </c>
      <c r="E44" s="184">
        <v>150</v>
      </c>
      <c r="F44" s="185">
        <f t="shared" si="0"/>
        <v>84.18243116041117</v>
      </c>
      <c r="G44" s="109"/>
      <c r="H44" s="112" t="s">
        <v>94</v>
      </c>
      <c r="I44" s="50">
        <v>45</v>
      </c>
      <c r="J44" s="194">
        <v>2358.3375199331285</v>
      </c>
      <c r="K44" s="111">
        <v>150</v>
      </c>
      <c r="L44" s="114">
        <f t="shared" si="1"/>
        <v>304.67188609692283</v>
      </c>
      <c r="N44" s="112"/>
      <c r="O44" s="109"/>
      <c r="P44" s="191"/>
      <c r="Q44" s="109"/>
      <c r="R44" s="123"/>
      <c r="S44" s="35"/>
      <c r="T44" s="112"/>
      <c r="U44" s="109"/>
      <c r="V44" s="191"/>
      <c r="W44" s="109"/>
      <c r="X44" s="123"/>
    </row>
    <row r="45" spans="1:24" s="17" customFormat="1" x14ac:dyDescent="0.25">
      <c r="A45" s="35"/>
      <c r="B45" s="112" t="s">
        <v>95</v>
      </c>
      <c r="C45" s="187">
        <v>98</v>
      </c>
      <c r="D45" s="186">
        <v>4080</v>
      </c>
      <c r="E45" s="184">
        <v>150</v>
      </c>
      <c r="F45" s="185">
        <f t="shared" si="0"/>
        <v>52.601252645820907</v>
      </c>
      <c r="G45" s="109"/>
      <c r="H45" s="112" t="s">
        <v>95</v>
      </c>
      <c r="I45" s="50">
        <v>50</v>
      </c>
      <c r="J45" s="194">
        <v>3171.3735199331277</v>
      </c>
      <c r="K45" s="111">
        <v>150</v>
      </c>
      <c r="L45" s="114">
        <f t="shared" si="1"/>
        <v>334.49520480728688</v>
      </c>
      <c r="N45" s="112"/>
      <c r="O45" s="109"/>
      <c r="P45" s="191"/>
      <c r="Q45" s="109"/>
      <c r="R45" s="123"/>
      <c r="S45" s="35"/>
      <c r="T45" s="112"/>
      <c r="U45" s="109"/>
      <c r="V45" s="191"/>
      <c r="W45" s="109"/>
      <c r="X45" s="123"/>
    </row>
    <row r="46" spans="1:24" s="17" customFormat="1" ht="16.5" x14ac:dyDescent="0.3">
      <c r="A46" s="115"/>
      <c r="B46" s="112" t="s">
        <v>96</v>
      </c>
      <c r="C46" s="187">
        <v>108</v>
      </c>
      <c r="D46" s="186">
        <v>4680</v>
      </c>
      <c r="E46" s="184">
        <v>150</v>
      </c>
      <c r="F46" s="185">
        <f t="shared" si="0"/>
        <v>39.042609205367327</v>
      </c>
      <c r="G46" s="109"/>
      <c r="H46" s="112" t="s">
        <v>96</v>
      </c>
      <c r="I46" s="50">
        <v>55</v>
      </c>
      <c r="J46" s="194">
        <v>4103.9218110460961</v>
      </c>
      <c r="K46" s="111">
        <v>150</v>
      </c>
      <c r="L46" s="114">
        <f t="shared" si="1"/>
        <v>351.26275423060673</v>
      </c>
      <c r="N46" s="112"/>
      <c r="O46" s="109"/>
      <c r="P46" s="191"/>
      <c r="Q46" s="109"/>
      <c r="R46" s="123"/>
      <c r="S46" s="35"/>
      <c r="T46" s="112"/>
      <c r="U46" s="109"/>
      <c r="V46" s="191"/>
      <c r="W46" s="109"/>
      <c r="X46" s="123"/>
    </row>
    <row r="47" spans="1:24" s="17" customFormat="1" ht="16.5" x14ac:dyDescent="0.3">
      <c r="A47" s="115"/>
      <c r="B47" s="112" t="s">
        <v>97</v>
      </c>
      <c r="C47" s="187">
        <v>118</v>
      </c>
      <c r="D47" s="186">
        <v>4800</v>
      </c>
      <c r="E47" s="184">
        <v>150</v>
      </c>
      <c r="F47" s="185">
        <f t="shared" si="0"/>
        <v>25.806593451209523</v>
      </c>
      <c r="G47" s="109"/>
      <c r="H47" s="112" t="s">
        <v>97</v>
      </c>
      <c r="I47" s="50">
        <v>60</v>
      </c>
      <c r="J47" s="194">
        <v>4512.6768425384143</v>
      </c>
      <c r="K47" s="111">
        <v>150</v>
      </c>
      <c r="L47" s="114">
        <f t="shared" si="1"/>
        <v>311.01090555391301</v>
      </c>
      <c r="N47" s="112"/>
      <c r="O47" s="109"/>
      <c r="P47" s="191"/>
      <c r="Q47" s="109"/>
      <c r="R47" s="123"/>
      <c r="S47" s="35"/>
      <c r="T47" s="112"/>
      <c r="U47" s="109"/>
      <c r="V47" s="191"/>
      <c r="W47" s="109"/>
      <c r="X47" s="123"/>
    </row>
    <row r="48" spans="1:24" s="17" customFormat="1" ht="16.5" x14ac:dyDescent="0.3">
      <c r="A48" s="116"/>
      <c r="B48" s="112" t="s">
        <v>98</v>
      </c>
      <c r="C48" s="187">
        <v>128</v>
      </c>
      <c r="D48" s="188">
        <v>4680</v>
      </c>
      <c r="E48" s="184">
        <v>150</v>
      </c>
      <c r="F48" s="185">
        <f t="shared" si="0"/>
        <v>16.188739130461197</v>
      </c>
      <c r="G48" s="35"/>
      <c r="H48" s="112" t="s">
        <v>98</v>
      </c>
      <c r="I48" s="50">
        <v>65</v>
      </c>
      <c r="J48" s="193">
        <v>4925.4060354486774</v>
      </c>
      <c r="K48" s="111">
        <v>150</v>
      </c>
      <c r="L48" s="114">
        <f t="shared" si="1"/>
        <v>273.18158779136144</v>
      </c>
      <c r="N48" s="112"/>
      <c r="O48" s="35"/>
      <c r="P48" s="190"/>
      <c r="Q48" s="109"/>
      <c r="R48" s="123"/>
      <c r="S48" s="35"/>
      <c r="T48" s="112"/>
      <c r="U48" s="35"/>
      <c r="V48" s="190"/>
      <c r="W48" s="109"/>
      <c r="X48" s="123"/>
    </row>
    <row r="49" spans="1:24" s="17" customFormat="1" ht="16.5" x14ac:dyDescent="0.3">
      <c r="A49" s="116"/>
      <c r="B49" s="112" t="s">
        <v>99</v>
      </c>
      <c r="C49" s="187">
        <v>138</v>
      </c>
      <c r="D49" s="188">
        <v>4680</v>
      </c>
      <c r="E49" s="184">
        <v>150</v>
      </c>
      <c r="F49" s="185">
        <f t="shared" si="0"/>
        <v>10.424377263266937</v>
      </c>
      <c r="G49" s="35"/>
      <c r="H49" s="112" t="s">
        <v>103</v>
      </c>
      <c r="I49" s="50">
        <v>70</v>
      </c>
      <c r="J49" s="193">
        <v>32048.682177243372</v>
      </c>
      <c r="K49" s="111">
        <v>150</v>
      </c>
      <c r="L49" s="114">
        <f t="shared" si="1"/>
        <v>1464.3079162117047</v>
      </c>
      <c r="N49" s="112"/>
      <c r="O49" s="35"/>
      <c r="P49" s="190"/>
      <c r="Q49" s="109"/>
      <c r="R49" s="123"/>
      <c r="S49" s="35"/>
      <c r="T49" s="112"/>
      <c r="U49" s="35"/>
      <c r="V49" s="190"/>
      <c r="W49" s="109"/>
      <c r="X49" s="123"/>
    </row>
    <row r="50" spans="1:24" s="17" customFormat="1" ht="16.5" x14ac:dyDescent="0.3">
      <c r="B50" s="112" t="s">
        <v>100</v>
      </c>
      <c r="C50" s="187">
        <v>148</v>
      </c>
      <c r="D50" s="189">
        <v>6560</v>
      </c>
      <c r="E50" s="184">
        <v>150</v>
      </c>
      <c r="F50" s="185">
        <f t="shared" si="0"/>
        <v>9.4983253890567934</v>
      </c>
      <c r="G50" s="115"/>
      <c r="H50" s="112"/>
      <c r="I50" s="115"/>
      <c r="J50" s="192"/>
      <c r="K50" s="109"/>
      <c r="L50" s="123">
        <f>SUM(L33:L48)</f>
        <v>-5993.4596967333109</v>
      </c>
      <c r="N50" s="112"/>
      <c r="O50" s="115"/>
      <c r="P50" s="192"/>
      <c r="Q50" s="109"/>
      <c r="R50" s="123"/>
      <c r="S50" s="35"/>
      <c r="T50" s="112"/>
      <c r="U50" s="115"/>
      <c r="V50" s="192"/>
      <c r="W50" s="109"/>
      <c r="X50" s="123"/>
    </row>
    <row r="51" spans="1:24" s="17" customFormat="1" ht="16.5" x14ac:dyDescent="0.3">
      <c r="A51" s="115"/>
      <c r="B51" s="112" t="s">
        <v>101</v>
      </c>
      <c r="C51" s="187">
        <v>158</v>
      </c>
      <c r="D51" s="189">
        <v>6560</v>
      </c>
      <c r="E51" s="184">
        <v>150</v>
      </c>
      <c r="F51" s="185">
        <f t="shared" si="0"/>
        <v>6.1162346509424506</v>
      </c>
      <c r="G51" s="115"/>
      <c r="H51" s="112"/>
      <c r="I51" s="115"/>
      <c r="J51" s="192"/>
      <c r="K51" s="109"/>
      <c r="L51" s="123"/>
      <c r="N51" s="112"/>
      <c r="O51" s="115"/>
      <c r="P51" s="192"/>
      <c r="Q51" s="109"/>
      <c r="R51" s="123"/>
      <c r="S51" s="35"/>
      <c r="T51" s="112"/>
      <c r="U51" s="115"/>
      <c r="V51" s="192"/>
      <c r="W51" s="109"/>
      <c r="X51" s="123"/>
    </row>
    <row r="52" spans="1:24" s="17" customFormat="1" ht="16.5" x14ac:dyDescent="0.3">
      <c r="A52" s="116"/>
      <c r="B52" s="112" t="s">
        <v>102</v>
      </c>
      <c r="C52" s="187">
        <v>168</v>
      </c>
      <c r="D52" s="189">
        <v>6560</v>
      </c>
      <c r="E52" s="184">
        <v>150</v>
      </c>
      <c r="F52" s="185">
        <f t="shared" si="0"/>
        <v>3.9384128015332034</v>
      </c>
      <c r="G52" s="116"/>
      <c r="H52" s="112"/>
      <c r="I52" s="115"/>
      <c r="J52" s="192"/>
      <c r="K52" s="109"/>
      <c r="L52" s="123"/>
      <c r="N52" s="112"/>
      <c r="O52" s="115"/>
      <c r="P52" s="192"/>
      <c r="Q52" s="109"/>
      <c r="R52" s="123"/>
      <c r="S52" s="35"/>
      <c r="T52" s="112"/>
      <c r="U52" s="115"/>
      <c r="V52" s="192"/>
      <c r="W52" s="109"/>
      <c r="X52" s="123"/>
    </row>
    <row r="53" spans="1:24" s="17" customFormat="1" ht="16.5" x14ac:dyDescent="0.3">
      <c r="A53" s="116"/>
      <c r="B53" s="112" t="s">
        <v>103</v>
      </c>
      <c r="C53" s="187">
        <v>180</v>
      </c>
      <c r="D53" s="189">
        <v>58880</v>
      </c>
      <c r="E53" s="184">
        <v>150</v>
      </c>
      <c r="F53" s="185">
        <f t="shared" si="0"/>
        <v>21.277848892756303</v>
      </c>
      <c r="G53" s="116"/>
      <c r="H53" s="112"/>
      <c r="I53" s="115"/>
      <c r="J53" s="192"/>
      <c r="K53" s="109"/>
      <c r="L53" s="123"/>
      <c r="N53" s="112"/>
      <c r="O53" s="115"/>
      <c r="P53" s="192"/>
      <c r="Q53" s="109"/>
      <c r="R53" s="123"/>
      <c r="S53" s="35"/>
      <c r="T53" s="112"/>
      <c r="U53" s="115"/>
      <c r="V53" s="192"/>
      <c r="W53" s="109"/>
      <c r="X53" s="123"/>
    </row>
    <row r="54" spans="1:24" s="17" customFormat="1" ht="16.5" x14ac:dyDescent="0.3">
      <c r="B54" s="177"/>
      <c r="C54" s="178"/>
      <c r="D54" s="179"/>
      <c r="E54" s="180"/>
      <c r="F54" s="181">
        <f>SUM(F33:F53)</f>
        <v>-7676.7132342892455</v>
      </c>
      <c r="H54" s="112"/>
      <c r="I54" s="115"/>
      <c r="J54" s="192"/>
      <c r="K54" s="109"/>
      <c r="L54" s="123"/>
      <c r="N54" s="112"/>
      <c r="O54" s="115"/>
      <c r="P54" s="192"/>
      <c r="Q54" s="109"/>
      <c r="R54" s="123"/>
      <c r="S54" s="35"/>
      <c r="T54" s="112"/>
      <c r="U54" s="115"/>
      <c r="V54" s="192"/>
      <c r="W54" s="109"/>
      <c r="X54" s="123"/>
    </row>
    <row r="55" spans="1:24" s="17" customFormat="1" ht="16.5" x14ac:dyDescent="0.3">
      <c r="B55" s="177"/>
      <c r="C55" s="178"/>
      <c r="D55" s="179"/>
      <c r="E55" s="180"/>
      <c r="F55" s="181"/>
      <c r="G55" s="115"/>
      <c r="H55" s="112"/>
      <c r="I55" s="115"/>
      <c r="J55" s="192"/>
      <c r="K55" s="109"/>
      <c r="L55" s="123"/>
      <c r="N55" s="112"/>
      <c r="O55" s="115"/>
      <c r="P55" s="192"/>
      <c r="Q55" s="109"/>
      <c r="R55" s="123"/>
      <c r="S55" s="35"/>
      <c r="T55" s="112"/>
      <c r="U55" s="115"/>
      <c r="V55" s="192"/>
      <c r="W55" s="109"/>
      <c r="X55" s="123"/>
    </row>
    <row r="56" spans="1:24" s="17" customFormat="1" ht="16.5" x14ac:dyDescent="0.3">
      <c r="A56" s="153"/>
      <c r="B56" s="121" t="s">
        <v>529</v>
      </c>
      <c r="C56" s="196">
        <f>Répartition!O8</f>
        <v>0.94444444444444442</v>
      </c>
      <c r="D56" s="17" t="s">
        <v>38</v>
      </c>
      <c r="E56" s="180"/>
      <c r="F56" s="181"/>
      <c r="G56" s="116"/>
      <c r="H56" s="121" t="s">
        <v>531</v>
      </c>
      <c r="I56" s="196">
        <f>Répartition!O10</f>
        <v>0.1</v>
      </c>
      <c r="J56" s="17" t="s">
        <v>38</v>
      </c>
      <c r="K56" s="109"/>
      <c r="L56" s="123"/>
      <c r="N56" s="112"/>
      <c r="O56" s="115"/>
      <c r="P56" s="192"/>
      <c r="Q56" s="109"/>
      <c r="R56" s="123"/>
      <c r="S56" s="35"/>
      <c r="T56" s="112"/>
      <c r="U56" s="115"/>
      <c r="V56" s="192"/>
      <c r="W56" s="109"/>
      <c r="X56" s="123"/>
    </row>
    <row r="57" spans="1:24" s="17" customFormat="1" ht="16.5" x14ac:dyDescent="0.3">
      <c r="D57" s="116"/>
      <c r="E57" s="116"/>
      <c r="F57" s="176"/>
      <c r="G57" s="116"/>
      <c r="H57" s="112"/>
      <c r="I57" s="116"/>
      <c r="J57" s="116"/>
      <c r="K57" s="116"/>
      <c r="L57" s="116"/>
      <c r="N57" s="112"/>
      <c r="O57" s="116"/>
      <c r="P57" s="116"/>
      <c r="Q57" s="116"/>
      <c r="R57" s="116"/>
      <c r="S57" s="35"/>
      <c r="T57" s="112"/>
      <c r="U57" s="116"/>
      <c r="V57" s="116"/>
      <c r="W57" s="116"/>
      <c r="X57" s="116"/>
    </row>
    <row r="58" spans="1:24" s="17" customFormat="1" x14ac:dyDescent="0.25">
      <c r="C58" s="111" t="s">
        <v>202</v>
      </c>
      <c r="D58" s="111" t="s">
        <v>203</v>
      </c>
      <c r="E58" s="111" t="s">
        <v>204</v>
      </c>
      <c r="F58" s="111" t="s">
        <v>106</v>
      </c>
      <c r="I58" s="111" t="s">
        <v>202</v>
      </c>
      <c r="J58" s="111" t="s">
        <v>203</v>
      </c>
      <c r="K58" s="111" t="s">
        <v>204</v>
      </c>
      <c r="L58" s="111" t="s">
        <v>106</v>
      </c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1:24" s="17" customFormat="1" x14ac:dyDescent="0.25">
      <c r="B59" s="379" t="s">
        <v>1</v>
      </c>
      <c r="C59" s="15">
        <v>1</v>
      </c>
      <c r="D59" s="15">
        <v>0</v>
      </c>
      <c r="E59" s="184">
        <f>$H$22/($G$11+$G$15)</f>
        <v>5619.1758241758243</v>
      </c>
      <c r="F59" s="185">
        <f>(D59-E59)/((1+$D$28)^C59)</f>
        <v>-5377.2017456227986</v>
      </c>
      <c r="H59" s="17" t="s">
        <v>1</v>
      </c>
      <c r="I59" s="15">
        <v>1</v>
      </c>
      <c r="J59" s="15">
        <v>0</v>
      </c>
      <c r="K59" s="184">
        <f>$H$22/($G$11+$G$15)</f>
        <v>5619.1758241758243</v>
      </c>
      <c r="L59" s="185">
        <f>(J59-K59)/((1+$D$28)^I59)</f>
        <v>-5377.2017456227986</v>
      </c>
      <c r="O59" s="35"/>
      <c r="P59" s="35"/>
      <c r="Q59" s="35"/>
      <c r="R59" s="35"/>
      <c r="S59" s="35"/>
      <c r="T59" s="35"/>
      <c r="U59" s="35"/>
      <c r="V59" s="35"/>
      <c r="W59" s="35"/>
      <c r="X59" s="35"/>
    </row>
    <row r="60" spans="1:24" s="17" customFormat="1" x14ac:dyDescent="0.25">
      <c r="B60" s="112" t="s">
        <v>206</v>
      </c>
      <c r="C60" s="15">
        <v>2</v>
      </c>
      <c r="D60" s="15">
        <v>0</v>
      </c>
      <c r="E60" s="184">
        <f>$H$23/(4*($G$11+$G$15))</f>
        <v>800</v>
      </c>
      <c r="F60" s="185">
        <f t="shared" ref="F60:F74" si="4">(D60-E60)/((1+$D$28)^C60)</f>
        <v>-732.5839609899042</v>
      </c>
      <c r="H60" s="112" t="s">
        <v>206</v>
      </c>
      <c r="I60" s="15">
        <v>2</v>
      </c>
      <c r="J60" s="15">
        <v>0</v>
      </c>
      <c r="K60" s="184">
        <f>$H$23/(4*($G$11+$G$15))</f>
        <v>800</v>
      </c>
      <c r="L60" s="185">
        <f t="shared" ref="L60:L72" si="5">(J60-K60)/((1+$D$28)^I60)</f>
        <v>-732.5839609899042</v>
      </c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1" spans="1:24" s="17" customFormat="1" x14ac:dyDescent="0.25">
      <c r="B61" s="112" t="s">
        <v>207</v>
      </c>
      <c r="C61" s="15">
        <v>3</v>
      </c>
      <c r="D61" s="15">
        <v>0</v>
      </c>
      <c r="E61" s="184">
        <f t="shared" ref="E61:E63" si="6">$H$23/(4*($G$11+$G$15))</f>
        <v>800</v>
      </c>
      <c r="F61" s="185">
        <f t="shared" si="4"/>
        <v>-701.0372832439275</v>
      </c>
      <c r="H61" s="112" t="s">
        <v>207</v>
      </c>
      <c r="I61" s="15">
        <v>3</v>
      </c>
      <c r="J61" s="15">
        <v>0</v>
      </c>
      <c r="K61" s="184">
        <f t="shared" ref="K61:K63" si="7">$H$23/(4*($G$11+$G$15))</f>
        <v>800</v>
      </c>
      <c r="L61" s="185">
        <f t="shared" si="5"/>
        <v>-701.0372832439275</v>
      </c>
      <c r="O61" s="35"/>
      <c r="P61" s="35"/>
      <c r="Q61" s="35"/>
      <c r="R61" s="35"/>
      <c r="S61" s="35"/>
      <c r="T61" s="35"/>
      <c r="U61" s="35"/>
      <c r="V61" s="35"/>
      <c r="W61" s="35"/>
      <c r="X61" s="35"/>
    </row>
    <row r="62" spans="1:24" s="17" customFormat="1" x14ac:dyDescent="0.25">
      <c r="B62" s="112" t="s">
        <v>208</v>
      </c>
      <c r="C62" s="15">
        <v>4</v>
      </c>
      <c r="D62" s="15">
        <v>0</v>
      </c>
      <c r="E62" s="184">
        <f t="shared" si="6"/>
        <v>800</v>
      </c>
      <c r="F62" s="185">
        <f t="shared" si="4"/>
        <v>-670.8490748745719</v>
      </c>
      <c r="H62" s="112" t="s">
        <v>208</v>
      </c>
      <c r="I62" s="15">
        <v>4</v>
      </c>
      <c r="J62" s="15">
        <v>0</v>
      </c>
      <c r="K62" s="184">
        <f t="shared" si="7"/>
        <v>800</v>
      </c>
      <c r="L62" s="185">
        <f t="shared" si="5"/>
        <v>-670.8490748745719</v>
      </c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3" spans="1:24" s="17" customFormat="1" x14ac:dyDescent="0.25">
      <c r="B63" s="112" t="s">
        <v>513</v>
      </c>
      <c r="C63" s="50">
        <v>5</v>
      </c>
      <c r="D63" s="50">
        <v>0</v>
      </c>
      <c r="E63" s="184">
        <f t="shared" si="6"/>
        <v>800</v>
      </c>
      <c r="F63" s="185">
        <f t="shared" si="4"/>
        <v>-641.9608372005473</v>
      </c>
      <c r="H63" s="112" t="s">
        <v>513</v>
      </c>
      <c r="I63" s="50">
        <v>5</v>
      </c>
      <c r="J63" s="50">
        <v>0</v>
      </c>
      <c r="K63" s="184">
        <f t="shared" si="7"/>
        <v>800</v>
      </c>
      <c r="L63" s="185">
        <f t="shared" si="5"/>
        <v>-641.9608372005473</v>
      </c>
      <c r="O63" s="35"/>
      <c r="P63" s="35"/>
      <c r="Q63" s="35"/>
      <c r="R63" s="35"/>
      <c r="S63" s="35"/>
      <c r="T63" s="35"/>
      <c r="U63" s="35"/>
      <c r="V63" s="35"/>
      <c r="W63" s="35"/>
      <c r="X63" s="35"/>
    </row>
    <row r="64" spans="1:24" s="17" customFormat="1" x14ac:dyDescent="0.25">
      <c r="B64" s="379" t="s">
        <v>527</v>
      </c>
      <c r="C64" s="15">
        <v>15</v>
      </c>
      <c r="D64" s="15">
        <v>0</v>
      </c>
      <c r="E64" s="15">
        <v>60</v>
      </c>
      <c r="F64" s="185">
        <f t="shared" si="4"/>
        <v>-31.003226538946077</v>
      </c>
      <c r="H64" s="17" t="s">
        <v>527</v>
      </c>
      <c r="I64" s="15">
        <v>20</v>
      </c>
      <c r="J64" s="15">
        <v>153.33333333333334</v>
      </c>
      <c r="K64" s="15">
        <v>60</v>
      </c>
      <c r="L64" s="185">
        <f t="shared" si="5"/>
        <v>38.700000237227897</v>
      </c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2:24" s="17" customFormat="1" x14ac:dyDescent="0.25">
      <c r="B65" s="379" t="s">
        <v>527</v>
      </c>
      <c r="C65" s="15">
        <v>20</v>
      </c>
      <c r="D65" s="15">
        <v>0</v>
      </c>
      <c r="E65" s="15">
        <v>60</v>
      </c>
      <c r="F65" s="185">
        <f t="shared" si="4"/>
        <v>-24.878571581075072</v>
      </c>
      <c r="H65" s="17" t="s">
        <v>527</v>
      </c>
      <c r="I65" s="15">
        <v>30</v>
      </c>
      <c r="J65" s="15">
        <v>386.00000000000006</v>
      </c>
      <c r="K65" s="15">
        <v>60</v>
      </c>
      <c r="L65" s="185">
        <f t="shared" si="5"/>
        <v>87.042005055282999</v>
      </c>
      <c r="O65" s="35"/>
      <c r="P65" s="35"/>
      <c r="Q65" s="35"/>
      <c r="R65" s="35"/>
      <c r="S65" s="35"/>
      <c r="T65" s="35"/>
      <c r="U65" s="35"/>
      <c r="V65" s="35"/>
      <c r="W65" s="35"/>
      <c r="X65" s="35"/>
    </row>
    <row r="66" spans="2:24" s="17" customFormat="1" x14ac:dyDescent="0.25">
      <c r="B66" s="379" t="s">
        <v>527</v>
      </c>
      <c r="C66" s="15">
        <v>25</v>
      </c>
      <c r="D66" s="15">
        <v>168</v>
      </c>
      <c r="E66" s="15">
        <v>60</v>
      </c>
      <c r="F66" s="185">
        <f t="shared" si="4"/>
        <v>35.934904441216567</v>
      </c>
      <c r="H66" s="17" t="s">
        <v>527</v>
      </c>
      <c r="I66" s="15">
        <v>40</v>
      </c>
      <c r="J66" s="15">
        <v>743.98148148148141</v>
      </c>
      <c r="K66" s="15">
        <v>60</v>
      </c>
      <c r="L66" s="185">
        <f t="shared" si="5"/>
        <v>117.59604767895352</v>
      </c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2:24" s="17" customFormat="1" x14ac:dyDescent="0.25">
      <c r="B67" s="379" t="s">
        <v>527</v>
      </c>
      <c r="C67" s="15">
        <v>30</v>
      </c>
      <c r="D67" s="15">
        <v>691.2</v>
      </c>
      <c r="E67" s="15">
        <v>60</v>
      </c>
      <c r="F67" s="185">
        <f t="shared" si="4"/>
        <v>168.53040978802031</v>
      </c>
      <c r="H67" s="17" t="s">
        <v>527</v>
      </c>
      <c r="I67" s="15">
        <v>50</v>
      </c>
      <c r="J67" s="15">
        <v>1319.7376543209875</v>
      </c>
      <c r="K67" s="15">
        <v>60</v>
      </c>
      <c r="L67" s="185">
        <f t="shared" si="5"/>
        <v>139.46511475842823</v>
      </c>
      <c r="O67" s="35"/>
      <c r="P67" s="35"/>
      <c r="Q67" s="35"/>
      <c r="R67" s="35"/>
      <c r="S67" s="35"/>
      <c r="T67" s="35"/>
      <c r="U67" s="35"/>
      <c r="V67" s="35"/>
      <c r="W67" s="35"/>
      <c r="X67" s="35"/>
    </row>
    <row r="68" spans="2:24" s="17" customFormat="1" x14ac:dyDescent="0.25">
      <c r="B68" s="379" t="s">
        <v>527</v>
      </c>
      <c r="C68" s="15">
        <v>35</v>
      </c>
      <c r="D68" s="15">
        <v>1220</v>
      </c>
      <c r="E68" s="15">
        <v>60</v>
      </c>
      <c r="F68" s="185">
        <f t="shared" si="4"/>
        <v>248.53515255678045</v>
      </c>
      <c r="H68" s="17" t="s">
        <v>527</v>
      </c>
      <c r="I68" s="15">
        <v>60</v>
      </c>
      <c r="J68" s="15">
        <v>1881.9547325102883</v>
      </c>
      <c r="K68" s="15">
        <v>60</v>
      </c>
      <c r="L68" s="185">
        <f t="shared" si="5"/>
        <v>129.88534601305909</v>
      </c>
      <c r="O68" s="35"/>
      <c r="P68" s="35"/>
      <c r="Q68" s="35"/>
      <c r="R68" s="35"/>
      <c r="S68" s="35"/>
      <c r="T68" s="35"/>
      <c r="U68" s="35"/>
      <c r="V68" s="35"/>
      <c r="W68" s="35"/>
      <c r="X68" s="35"/>
    </row>
    <row r="69" spans="2:24" s="17" customFormat="1" x14ac:dyDescent="0.25">
      <c r="B69" s="379" t="s">
        <v>527</v>
      </c>
      <c r="C69" s="15">
        <v>40</v>
      </c>
      <c r="D69" s="15">
        <v>1300</v>
      </c>
      <c r="E69" s="15">
        <v>60</v>
      </c>
      <c r="F69" s="185">
        <f t="shared" si="4"/>
        <v>213.1915893483885</v>
      </c>
      <c r="H69" s="17" t="s">
        <v>527</v>
      </c>
      <c r="I69" s="15">
        <v>70</v>
      </c>
      <c r="J69" s="15">
        <v>2497.1334876543215</v>
      </c>
      <c r="K69" s="15">
        <v>60</v>
      </c>
      <c r="L69" s="185">
        <f t="shared" si="5"/>
        <v>111.87652953835178</v>
      </c>
      <c r="O69" s="35"/>
      <c r="P69" s="35"/>
      <c r="Q69" s="35"/>
      <c r="R69" s="35"/>
      <c r="S69" s="35"/>
      <c r="T69" s="35"/>
      <c r="U69" s="35"/>
      <c r="V69" s="35"/>
      <c r="W69" s="35"/>
      <c r="X69" s="35"/>
    </row>
    <row r="70" spans="2:24" s="17" customFormat="1" x14ac:dyDescent="0.25">
      <c r="B70" s="379" t="s">
        <v>527</v>
      </c>
      <c r="C70" s="15">
        <v>45</v>
      </c>
      <c r="D70" s="15">
        <v>1932</v>
      </c>
      <c r="E70" s="15">
        <v>60</v>
      </c>
      <c r="F70" s="185">
        <f t="shared" si="4"/>
        <v>258.26929335997079</v>
      </c>
      <c r="H70" s="17" t="s">
        <v>527</v>
      </c>
      <c r="I70" s="15">
        <v>80</v>
      </c>
      <c r="J70" s="15">
        <v>2895.8110853909466</v>
      </c>
      <c r="K70" s="15">
        <v>60</v>
      </c>
      <c r="L70" s="185">
        <f t="shared" si="5"/>
        <v>83.825096121286094</v>
      </c>
      <c r="O70" s="35"/>
      <c r="P70" s="35"/>
      <c r="Q70" s="35"/>
      <c r="R70" s="35"/>
      <c r="S70" s="35"/>
      <c r="T70" s="35"/>
      <c r="U70" s="35"/>
      <c r="V70" s="35"/>
      <c r="W70" s="35"/>
      <c r="X70" s="35"/>
    </row>
    <row r="71" spans="2:24" s="17" customFormat="1" x14ac:dyDescent="0.25">
      <c r="B71" s="379" t="s">
        <v>527</v>
      </c>
      <c r="C71" s="15">
        <v>50</v>
      </c>
      <c r="D71" s="15">
        <v>2336</v>
      </c>
      <c r="E71" s="15">
        <v>60</v>
      </c>
      <c r="F71" s="185">
        <f t="shared" si="4"/>
        <v>251.97516332182428</v>
      </c>
      <c r="H71" s="17" t="s">
        <v>527</v>
      </c>
      <c r="I71" s="15">
        <v>90</v>
      </c>
      <c r="J71" s="15">
        <v>4140.7206637707668</v>
      </c>
      <c r="K71" s="15">
        <v>60</v>
      </c>
      <c r="L71" s="185">
        <f t="shared" si="5"/>
        <v>77.673115805131559</v>
      </c>
      <c r="O71" s="35"/>
      <c r="P71" s="35"/>
      <c r="Q71" s="35"/>
      <c r="R71" s="35"/>
      <c r="S71" s="35"/>
      <c r="T71" s="35"/>
      <c r="U71" s="35"/>
      <c r="V71" s="35"/>
      <c r="W71" s="35"/>
      <c r="X71" s="35"/>
    </row>
    <row r="72" spans="2:24" s="17" customFormat="1" x14ac:dyDescent="0.25">
      <c r="B72" s="379" t="s">
        <v>527</v>
      </c>
      <c r="C72" s="15">
        <v>55</v>
      </c>
      <c r="D72" s="15">
        <v>2448</v>
      </c>
      <c r="E72" s="15">
        <v>60</v>
      </c>
      <c r="F72" s="185">
        <f t="shared" si="4"/>
        <v>212.14770984071683</v>
      </c>
      <c r="H72" s="17" t="s">
        <v>103</v>
      </c>
      <c r="I72" s="15">
        <v>100</v>
      </c>
      <c r="J72" s="15">
        <v>36837.34655603821</v>
      </c>
      <c r="K72" s="15">
        <v>60</v>
      </c>
      <c r="L72" s="185">
        <f t="shared" si="5"/>
        <v>450.76620391129177</v>
      </c>
      <c r="O72" s="35"/>
      <c r="P72" s="35"/>
      <c r="Q72" s="35"/>
      <c r="R72" s="35"/>
      <c r="S72" s="35"/>
      <c r="T72" s="35"/>
      <c r="U72" s="35"/>
      <c r="V72" s="35"/>
      <c r="W72" s="35"/>
      <c r="X72" s="35"/>
    </row>
    <row r="73" spans="2:24" s="17" customFormat="1" x14ac:dyDescent="0.25">
      <c r="B73" s="379" t="s">
        <v>527</v>
      </c>
      <c r="C73" s="15">
        <v>60</v>
      </c>
      <c r="D73" s="15">
        <v>2684</v>
      </c>
      <c r="E73" s="15">
        <v>60</v>
      </c>
      <c r="F73" s="185">
        <f t="shared" si="4"/>
        <v>187.06235772866137</v>
      </c>
      <c r="L73" s="18">
        <f>SUM(L59:L72)</f>
        <v>-6886.8034428127357</v>
      </c>
      <c r="O73" s="35"/>
      <c r="P73" s="35"/>
      <c r="Q73" s="35"/>
      <c r="R73" s="35"/>
      <c r="S73" s="35"/>
      <c r="T73" s="35"/>
      <c r="U73" s="35"/>
      <c r="V73" s="35"/>
      <c r="W73" s="35"/>
      <c r="X73" s="35"/>
    </row>
    <row r="74" spans="2:24" s="17" customFormat="1" x14ac:dyDescent="0.25">
      <c r="B74" s="379" t="s">
        <v>103</v>
      </c>
      <c r="C74" s="15">
        <v>65</v>
      </c>
      <c r="D74" s="15">
        <v>30800</v>
      </c>
      <c r="E74" s="15">
        <v>60</v>
      </c>
      <c r="F74" s="185">
        <f t="shared" si="4"/>
        <v>1758.5105740474371</v>
      </c>
      <c r="G74" s="317"/>
      <c r="H74" s="317"/>
      <c r="I74" s="317"/>
      <c r="O74" s="35"/>
      <c r="P74" s="35"/>
      <c r="Q74" s="35"/>
      <c r="R74" s="35"/>
      <c r="S74" s="35"/>
      <c r="T74" s="35"/>
      <c r="U74" s="35"/>
      <c r="V74" s="35"/>
      <c r="W74" s="35"/>
      <c r="X74" s="35"/>
    </row>
    <row r="75" spans="2:24" s="17" customFormat="1" x14ac:dyDescent="0.25">
      <c r="B75" s="17" t="s">
        <v>528</v>
      </c>
      <c r="F75" s="18">
        <f>SUM(F59:F74)</f>
        <v>-4845.3575456187546</v>
      </c>
      <c r="O75" s="35"/>
      <c r="P75" s="35"/>
      <c r="Q75" s="35"/>
      <c r="R75" s="35"/>
      <c r="S75" s="35"/>
      <c r="T75" s="35"/>
      <c r="U75" s="35"/>
      <c r="V75" s="35"/>
      <c r="W75" s="35"/>
      <c r="X75" s="35"/>
    </row>
    <row r="76" spans="2:24" s="17" customFormat="1" x14ac:dyDescent="0.25">
      <c r="O76" s="35"/>
      <c r="P76" s="35"/>
      <c r="Q76" s="35"/>
      <c r="R76" s="35"/>
      <c r="S76" s="35"/>
      <c r="T76" s="35"/>
      <c r="U76" s="35"/>
      <c r="V76" s="35"/>
      <c r="W76" s="35"/>
      <c r="X76" s="35"/>
    </row>
    <row r="77" spans="2:24" s="17" customFormat="1" ht="16.5" x14ac:dyDescent="0.3">
      <c r="C77" s="381" t="s">
        <v>530</v>
      </c>
      <c r="D77" s="382">
        <f>C30*F54+I30*L50+F75*C56+I56*L73</f>
        <v>-65805.195515138592</v>
      </c>
      <c r="O77" s="35"/>
      <c r="P77" s="35"/>
      <c r="Q77" s="35"/>
      <c r="R77" s="35"/>
      <c r="S77" s="35"/>
      <c r="T77" s="35"/>
      <c r="U77" s="35"/>
      <c r="V77" s="35"/>
      <c r="W77" s="35"/>
      <c r="X77" s="35"/>
    </row>
    <row r="78" spans="2:24" s="17" customFormat="1" x14ac:dyDescent="0.25">
      <c r="O78" s="35"/>
      <c r="P78" s="35"/>
      <c r="Q78" s="35"/>
      <c r="R78" s="35"/>
      <c r="S78" s="35"/>
      <c r="T78" s="35"/>
      <c r="U78" s="35"/>
      <c r="V78" s="35"/>
      <c r="W78" s="35"/>
      <c r="X78" s="35"/>
    </row>
    <row r="79" spans="2:24" s="17" customFormat="1" x14ac:dyDescent="0.25">
      <c r="O79" s="35"/>
      <c r="P79" s="35"/>
      <c r="Q79" s="35"/>
      <c r="R79" s="35"/>
      <c r="S79" s="35"/>
      <c r="T79" s="35"/>
      <c r="U79" s="35"/>
      <c r="V79" s="35"/>
      <c r="W79" s="35"/>
      <c r="X79" s="35"/>
    </row>
    <row r="80" spans="2:24" s="17" customFormat="1" x14ac:dyDescent="0.25">
      <c r="O80" s="35"/>
      <c r="P80" s="35"/>
      <c r="Q80" s="35"/>
      <c r="R80" s="35"/>
      <c r="S80" s="35"/>
      <c r="T80" s="35"/>
      <c r="U80" s="35"/>
      <c r="V80" s="35"/>
      <c r="W80" s="35"/>
      <c r="X80" s="35"/>
    </row>
    <row r="81" spans="3:24" s="17" customFormat="1" x14ac:dyDescent="0.25">
      <c r="O81" s="35"/>
      <c r="P81" s="35"/>
      <c r="Q81" s="35"/>
      <c r="R81" s="35"/>
      <c r="S81" s="35"/>
      <c r="T81" s="35"/>
      <c r="U81" s="35"/>
      <c r="V81" s="35"/>
      <c r="W81" s="35"/>
      <c r="X81" s="35"/>
    </row>
    <row r="82" spans="3:24" s="17" customFormat="1" x14ac:dyDescent="0.25"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3:24" s="17" customFormat="1" x14ac:dyDescent="0.25">
      <c r="O83" s="35"/>
      <c r="P83" s="35"/>
      <c r="Q83" s="35"/>
      <c r="R83" s="35"/>
      <c r="S83" s="35"/>
      <c r="T83" s="35"/>
      <c r="U83" s="35"/>
      <c r="V83" s="35"/>
      <c r="W83" s="35"/>
      <c r="X83" s="35"/>
    </row>
    <row r="84" spans="3:24" s="17" customFormat="1" x14ac:dyDescent="0.25"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3:24" s="17" customFormat="1" x14ac:dyDescent="0.25"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3:24" s="17" customFormat="1" x14ac:dyDescent="0.25"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3:24" s="17" customFormat="1" x14ac:dyDescent="0.25"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3:24" s="17" customFormat="1" x14ac:dyDescent="0.25"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3:24" s="17" customFormat="1" x14ac:dyDescent="0.25">
      <c r="C89" s="61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3:24" s="17" customFormat="1" x14ac:dyDescent="0.25">
      <c r="C90" s="61"/>
      <c r="O90" s="35"/>
      <c r="P90" s="35"/>
      <c r="Q90" s="35"/>
      <c r="R90" s="35"/>
      <c r="S90" s="35"/>
      <c r="T90" s="35"/>
      <c r="U90" s="35"/>
      <c r="V90" s="35"/>
      <c r="W90" s="35"/>
      <c r="X90" s="35"/>
    </row>
    <row r="91" spans="3:24" s="17" customFormat="1" x14ac:dyDescent="0.25">
      <c r="O91" s="35"/>
      <c r="P91" s="35"/>
      <c r="Q91" s="35"/>
      <c r="R91" s="35"/>
      <c r="S91" s="35"/>
      <c r="T91" s="35"/>
      <c r="U91" s="35"/>
      <c r="V91" s="35"/>
      <c r="W91" s="35"/>
      <c r="X91" s="35"/>
    </row>
    <row r="92" spans="3:24" s="17" customFormat="1" x14ac:dyDescent="0.25">
      <c r="O92" s="35"/>
      <c r="P92" s="35"/>
      <c r="Q92" s="35"/>
      <c r="R92" s="35"/>
      <c r="S92" s="35"/>
      <c r="T92" s="35"/>
      <c r="U92" s="35"/>
      <c r="V92" s="35"/>
      <c r="W92" s="35"/>
      <c r="X92" s="35"/>
    </row>
    <row r="93" spans="3:24" s="17" customFormat="1" x14ac:dyDescent="0.25">
      <c r="O93" s="35"/>
      <c r="P93" s="35"/>
      <c r="Q93" s="35"/>
      <c r="R93" s="35"/>
      <c r="S93" s="35"/>
      <c r="T93" s="35"/>
      <c r="U93" s="35"/>
      <c r="V93" s="35"/>
      <c r="W93" s="35"/>
      <c r="X93" s="35"/>
    </row>
    <row r="94" spans="3:24" s="17" customFormat="1" x14ac:dyDescent="0.25">
      <c r="C94" s="62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3:24" s="17" customFormat="1" x14ac:dyDescent="0.25">
      <c r="C95" s="62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3:24" s="17" customFormat="1" x14ac:dyDescent="0.25"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7" spans="2:24" s="17" customFormat="1" x14ac:dyDescent="0.25">
      <c r="C97" s="62"/>
      <c r="O97" s="35"/>
      <c r="P97" s="35"/>
      <c r="Q97" s="35"/>
      <c r="R97" s="35"/>
      <c r="S97" s="35"/>
      <c r="T97" s="35"/>
      <c r="U97" s="35"/>
      <c r="V97" s="35"/>
      <c r="W97" s="35"/>
      <c r="X97" s="35"/>
    </row>
    <row r="98" spans="2:24" s="17" customFormat="1" x14ac:dyDescent="0.25">
      <c r="B98" s="63"/>
      <c r="O98" s="35"/>
      <c r="P98" s="35"/>
      <c r="Q98" s="35"/>
      <c r="R98" s="35"/>
      <c r="S98" s="35"/>
      <c r="T98" s="35"/>
      <c r="U98" s="35"/>
      <c r="V98" s="35"/>
      <c r="W98" s="35"/>
      <c r="X98" s="35"/>
    </row>
    <row r="99" spans="2:24" s="17" customFormat="1" x14ac:dyDescent="0.25">
      <c r="O99" s="35"/>
      <c r="P99" s="35"/>
      <c r="Q99" s="35"/>
      <c r="R99" s="35"/>
      <c r="S99" s="35"/>
      <c r="T99" s="35"/>
      <c r="U99" s="35"/>
      <c r="V99" s="35"/>
      <c r="W99" s="35"/>
      <c r="X99" s="35"/>
    </row>
    <row r="100" spans="2:24" s="17" customFormat="1" x14ac:dyDescent="0.25">
      <c r="O100" s="35"/>
      <c r="P100" s="35"/>
      <c r="Q100" s="35"/>
      <c r="R100" s="35"/>
      <c r="S100" s="35"/>
      <c r="T100" s="35"/>
      <c r="U100" s="35"/>
      <c r="V100" s="35"/>
      <c r="W100" s="35"/>
      <c r="X100" s="35"/>
    </row>
    <row r="101" spans="2:24" s="17" customFormat="1" x14ac:dyDescent="0.25">
      <c r="O101" s="35"/>
      <c r="P101" s="35"/>
      <c r="Q101" s="35"/>
      <c r="R101" s="35"/>
      <c r="S101" s="35"/>
      <c r="T101" s="35"/>
      <c r="U101" s="35"/>
      <c r="V101" s="35"/>
      <c r="W101" s="35"/>
      <c r="X101" s="35"/>
    </row>
    <row r="102" spans="2:24" s="17" customFormat="1" x14ac:dyDescent="0.25">
      <c r="O102" s="35"/>
      <c r="P102" s="35"/>
      <c r="Q102" s="35"/>
      <c r="R102" s="35"/>
      <c r="S102" s="35"/>
      <c r="T102" s="35"/>
      <c r="U102" s="35"/>
      <c r="V102" s="35"/>
      <c r="W102" s="35"/>
      <c r="X102" s="35"/>
    </row>
    <row r="103" spans="2:24" s="17" customFormat="1" x14ac:dyDescent="0.25"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s="17" customFormat="1" x14ac:dyDescent="0.25">
      <c r="O104" s="35"/>
      <c r="P104" s="35"/>
      <c r="Q104" s="35"/>
      <c r="R104" s="35"/>
      <c r="S104" s="35"/>
      <c r="T104" s="35"/>
      <c r="U104" s="35"/>
      <c r="V104" s="35"/>
      <c r="W104" s="35"/>
      <c r="X104" s="35"/>
    </row>
    <row r="105" spans="2:24" s="17" customFormat="1" x14ac:dyDescent="0.25">
      <c r="O105" s="35"/>
      <c r="P105" s="35"/>
      <c r="Q105" s="35"/>
      <c r="R105" s="35"/>
      <c r="S105" s="35"/>
      <c r="T105" s="35"/>
      <c r="U105" s="35"/>
      <c r="V105" s="35"/>
      <c r="W105" s="35"/>
      <c r="X105" s="35"/>
    </row>
    <row r="106" spans="2:24" s="17" customFormat="1" x14ac:dyDescent="0.25">
      <c r="O106" s="35"/>
      <c r="P106" s="35"/>
      <c r="Q106" s="35"/>
      <c r="R106" s="35"/>
      <c r="S106" s="35"/>
      <c r="T106" s="35"/>
      <c r="U106" s="35"/>
      <c r="V106" s="35"/>
      <c r="W106" s="35"/>
      <c r="X106" s="35"/>
    </row>
    <row r="107" spans="2:24" s="17" customFormat="1" x14ac:dyDescent="0.25">
      <c r="O107" s="35"/>
      <c r="P107" s="35"/>
      <c r="Q107" s="35"/>
      <c r="R107" s="35"/>
      <c r="S107" s="35"/>
      <c r="T107" s="35"/>
      <c r="U107" s="35"/>
      <c r="V107" s="35"/>
      <c r="W107" s="35"/>
      <c r="X107" s="35"/>
    </row>
    <row r="108" spans="2:24" s="17" customFormat="1" x14ac:dyDescent="0.25">
      <c r="O108" s="35"/>
      <c r="P108" s="35"/>
      <c r="Q108" s="35"/>
      <c r="R108" s="35"/>
      <c r="S108" s="35"/>
      <c r="T108" s="35"/>
      <c r="U108" s="35"/>
      <c r="V108" s="35"/>
      <c r="W108" s="35"/>
      <c r="X108" s="35"/>
    </row>
    <row r="109" spans="2:24" s="17" customFormat="1" x14ac:dyDescent="0.25"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s="17" customFormat="1" x14ac:dyDescent="0.25"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s="17" customFormat="1" x14ac:dyDescent="0.25"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s="17" customFormat="1" x14ac:dyDescent="0.25"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1:24" s="17" customFormat="1" x14ac:dyDescent="0.25"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1:24" s="17" customFormat="1" x14ac:dyDescent="0.25"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15" spans="1:24" s="17" customFormat="1" x14ac:dyDescent="0.25">
      <c r="O115" s="35"/>
      <c r="P115" s="35"/>
      <c r="Q115" s="35"/>
      <c r="R115" s="35"/>
      <c r="S115" s="35"/>
      <c r="T115" s="35"/>
      <c r="U115" s="35"/>
      <c r="V115" s="35"/>
      <c r="W115" s="35"/>
      <c r="X115" s="35"/>
    </row>
    <row r="116" spans="1:24" s="17" customFormat="1" x14ac:dyDescent="0.25">
      <c r="O116" s="35"/>
      <c r="P116" s="35"/>
      <c r="Q116" s="35"/>
      <c r="R116" s="35"/>
      <c r="S116" s="35"/>
      <c r="T116" s="35"/>
      <c r="U116" s="35"/>
      <c r="V116" s="35"/>
      <c r="W116" s="35"/>
      <c r="X116" s="35"/>
    </row>
    <row r="117" spans="1:24" s="17" customFormat="1" x14ac:dyDescent="0.25">
      <c r="O117" s="35"/>
      <c r="P117" s="35"/>
      <c r="Q117" s="35"/>
      <c r="R117" s="35"/>
      <c r="S117" s="35"/>
      <c r="T117" s="35"/>
      <c r="U117" s="35"/>
      <c r="V117" s="35"/>
      <c r="W117" s="35"/>
      <c r="X117" s="35"/>
    </row>
    <row r="118" spans="1:24" s="17" customFormat="1" x14ac:dyDescent="0.25">
      <c r="O118" s="35"/>
      <c r="P118" s="35"/>
      <c r="Q118" s="35"/>
      <c r="R118" s="35"/>
      <c r="S118" s="35"/>
      <c r="T118" s="35"/>
      <c r="U118" s="35"/>
      <c r="V118" s="35"/>
      <c r="W118" s="35"/>
      <c r="X118" s="35"/>
    </row>
    <row r="119" spans="1:24" s="17" customFormat="1" x14ac:dyDescent="0.25">
      <c r="O119" s="35"/>
      <c r="P119" s="35"/>
      <c r="Q119" s="35"/>
      <c r="R119" s="35"/>
      <c r="S119" s="35"/>
      <c r="T119" s="35"/>
      <c r="U119" s="35"/>
      <c r="V119" s="35"/>
      <c r="W119" s="35"/>
      <c r="X119" s="35"/>
    </row>
    <row r="120" spans="1:24" s="17" customFormat="1" x14ac:dyDescent="0.25">
      <c r="O120" s="35"/>
      <c r="P120" s="35"/>
      <c r="Q120" s="35"/>
      <c r="R120" s="35"/>
      <c r="S120" s="35"/>
      <c r="T120" s="35"/>
      <c r="U120" s="35"/>
      <c r="V120" s="35"/>
      <c r="W120" s="35"/>
      <c r="X120" s="35"/>
    </row>
    <row r="121" spans="1:24" s="17" customFormat="1" x14ac:dyDescent="0.25">
      <c r="O121" s="35"/>
      <c r="P121" s="35"/>
      <c r="Q121" s="35"/>
      <c r="R121" s="35"/>
      <c r="S121" s="35"/>
      <c r="T121" s="35"/>
      <c r="U121" s="35"/>
      <c r="V121" s="35"/>
      <c r="W121" s="35"/>
      <c r="X121" s="35"/>
    </row>
    <row r="122" spans="1:24" s="17" customFormat="1" x14ac:dyDescent="0.25">
      <c r="O122" s="35"/>
      <c r="P122" s="35"/>
      <c r="Q122" s="35"/>
      <c r="R122" s="35"/>
      <c r="S122" s="35"/>
      <c r="T122" s="35"/>
      <c r="U122" s="35"/>
      <c r="V122" s="35"/>
      <c r="W122" s="35"/>
      <c r="X122" s="35"/>
    </row>
    <row r="123" spans="1:24" s="17" customFormat="1" x14ac:dyDescent="0.25">
      <c r="O123" s="35"/>
      <c r="P123" s="35"/>
      <c r="Q123" s="35"/>
      <c r="R123" s="35"/>
      <c r="S123" s="35"/>
      <c r="T123" s="35"/>
      <c r="U123" s="35"/>
      <c r="V123" s="35"/>
      <c r="W123" s="35"/>
      <c r="X123" s="35"/>
    </row>
    <row r="124" spans="1:24" s="17" customFormat="1" x14ac:dyDescent="0.25">
      <c r="O124" s="35"/>
      <c r="P124" s="35"/>
      <c r="Q124" s="35"/>
      <c r="R124" s="35"/>
      <c r="S124" s="35"/>
      <c r="T124" s="35"/>
      <c r="U124" s="35"/>
      <c r="V124" s="35"/>
      <c r="W124" s="35"/>
      <c r="X124" s="35"/>
    </row>
    <row r="125" spans="1:24" s="17" customFormat="1" x14ac:dyDescent="0.25">
      <c r="O125" s="35"/>
      <c r="P125" s="35"/>
      <c r="Q125" s="35"/>
      <c r="R125" s="35"/>
      <c r="S125" s="35"/>
      <c r="T125" s="35"/>
      <c r="U125" s="35"/>
      <c r="V125" s="35"/>
      <c r="W125" s="35"/>
      <c r="X125" s="35"/>
    </row>
    <row r="126" spans="1:24" s="17" customFormat="1" x14ac:dyDescent="0.25">
      <c r="O126" s="35"/>
      <c r="P126" s="35"/>
      <c r="Q126" s="35"/>
      <c r="R126" s="35"/>
      <c r="S126" s="35"/>
      <c r="T126" s="35"/>
      <c r="U126" s="35"/>
      <c r="V126" s="35"/>
      <c r="W126" s="35"/>
      <c r="X126" s="35"/>
    </row>
    <row r="127" spans="1:24" x14ac:dyDescent="0.2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24" x14ac:dyDescent="0.2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x14ac:dyDescent="0.2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x14ac:dyDescent="0.2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x14ac:dyDescent="0.2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x14ac:dyDescent="0.2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x14ac:dyDescent="0.2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x14ac:dyDescent="0.2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x14ac:dyDescent="0.2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x14ac:dyDescent="0.2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x14ac:dyDescent="0.2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x14ac:dyDescent="0.2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x14ac:dyDescent="0.2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x14ac:dyDescent="0.2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x14ac:dyDescent="0.2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x14ac:dyDescent="0.2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x14ac:dyDescent="0.2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x14ac:dyDescent="0.2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x14ac:dyDescent="0.2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x14ac:dyDescent="0.2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x14ac:dyDescent="0.25">
      <c r="B147" s="17"/>
    </row>
  </sheetData>
  <mergeCells count="29">
    <mergeCell ref="A21:G21"/>
    <mergeCell ref="H21:I21"/>
    <mergeCell ref="A23:G23"/>
    <mergeCell ref="A24:G24"/>
    <mergeCell ref="C13:D13"/>
    <mergeCell ref="A11:B13"/>
    <mergeCell ref="A1:I1"/>
    <mergeCell ref="A8:I8"/>
    <mergeCell ref="A10:B10"/>
    <mergeCell ref="C10:D10"/>
    <mergeCell ref="C11:D11"/>
    <mergeCell ref="E11:E13"/>
    <mergeCell ref="G11:G14"/>
    <mergeCell ref="C14:E14"/>
    <mergeCell ref="C12:D12"/>
    <mergeCell ref="A26:I26"/>
    <mergeCell ref="G74:I74"/>
    <mergeCell ref="A19:G19"/>
    <mergeCell ref="H19:I19"/>
    <mergeCell ref="A15:B17"/>
    <mergeCell ref="C15:D15"/>
    <mergeCell ref="E15:E17"/>
    <mergeCell ref="G15:G18"/>
    <mergeCell ref="C16:D16"/>
    <mergeCell ref="C17:D17"/>
    <mergeCell ref="C18:E18"/>
    <mergeCell ref="A22:G22"/>
    <mergeCell ref="A20:G20"/>
    <mergeCell ref="H20:I20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20</vt:i4>
      </vt:variant>
    </vt:vector>
  </HeadingPairs>
  <TitlesOfParts>
    <vt:vector size="35" baseType="lpstr">
      <vt:lpstr>DESCRIPTIF PROJET</vt:lpstr>
      <vt:lpstr>1. DE LA RIVIERE</vt:lpstr>
      <vt:lpstr>2. DE LANGLE</vt:lpstr>
      <vt:lpstr>3.LETOURNEUX</vt:lpstr>
      <vt:lpstr>4. CONUAU</vt:lpstr>
      <vt:lpstr>Répartition</vt:lpstr>
      <vt:lpstr>1. VAN DE LA RIVIERE</vt:lpstr>
      <vt:lpstr>2. VAN DE LANGLE</vt:lpstr>
      <vt:lpstr>3. VAN LETOURNEUX</vt:lpstr>
      <vt:lpstr>4. VAN CONUAU</vt:lpstr>
      <vt:lpstr>VAN TOTAL</vt:lpstr>
      <vt:lpstr>Inputs</vt:lpstr>
      <vt:lpstr>Inputs - Tables de production</vt:lpstr>
      <vt:lpstr>VERRA</vt:lpstr>
      <vt:lpstr>Lexique</vt:lpstr>
      <vt:lpstr>'2. DE LANGLE'!CF</vt:lpstr>
      <vt:lpstr>'4. CONUAU'!CF</vt:lpstr>
      <vt:lpstr>CF</vt:lpstr>
      <vt:lpstr>ESS</vt:lpstr>
      <vt:lpstr>Rab</vt:lpstr>
      <vt:lpstr>SMLT</vt:lpstr>
      <vt:lpstr>'2. DE LANGLE'!Tc</vt:lpstr>
      <vt:lpstr>'3. VAN LETOURNEUX'!Tc</vt:lpstr>
      <vt:lpstr>'3.LETOURNEUX'!Tc</vt:lpstr>
      <vt:lpstr>'4. CONUAU'!Tc</vt:lpstr>
      <vt:lpstr>'4. VAN CONUAU'!Tc</vt:lpstr>
      <vt:lpstr>Tc</vt:lpstr>
      <vt:lpstr>TPR</vt:lpstr>
      <vt:lpstr>Vbi</vt:lpstr>
      <vt:lpstr>Vt</vt:lpstr>
      <vt:lpstr>'1. DE LA RIVIERE'!Zone_d_impression</vt:lpstr>
      <vt:lpstr>'2. DE LANGLE'!Zone_d_impression</vt:lpstr>
      <vt:lpstr>'3.LETOURNEUX'!Zone_d_impression</vt:lpstr>
      <vt:lpstr>'4. CONUAU'!Zone_d_impression</vt:lpstr>
      <vt:lpstr>Inputs!Zone_d_impression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2020-10-04T16:33:52Z</cp:lastPrinted>
  <dcterms:created xsi:type="dcterms:W3CDTF">2019-10-04T15:03:08Z</dcterms:created>
  <dcterms:modified xsi:type="dcterms:W3CDTF">2021-09-07T10:02:53Z</dcterms:modified>
</cp:coreProperties>
</file>