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/Documents partages/Fransylva Services/LBC/Dossiers LBC/LOPEZ (G.)/Conuau/"/>
    </mc:Choice>
  </mc:AlternateContent>
  <xr:revisionPtr revIDLastSave="2" documentId="13_ncr:1_{69FC28FB-460D-4151-8D22-5BEB84FE49F6}" xr6:coauthVersionLast="47" xr6:coauthVersionMax="47" xr10:uidLastSave="{D42ECC45-1E3B-4543-A7E9-3075CE990845}"/>
  <bookViews>
    <workbookView xWindow="-735" yWindow="105" windowWidth="15390" windowHeight="1056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Q4" i="2"/>
  <c r="BR4" i="2"/>
  <c r="FR4" i="2"/>
  <c r="EC4" i="2"/>
  <c r="GL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B7" i="2"/>
  <c r="HI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V20" i="2"/>
  <c r="EW20" i="2"/>
  <c r="EC20" i="2"/>
  <c r="FS20" i="2"/>
  <c r="HH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W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EW33" i="2"/>
  <c r="HH33" i="2"/>
  <c r="EA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G43" i="2"/>
  <c r="HI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HH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H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EW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FS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G130" i="2"/>
  <c r="HI130" i="2"/>
  <c r="EW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 l="1"/>
  <c r="EX140" i="2"/>
  <c r="EB140" i="2"/>
  <c r="FR140" i="2"/>
  <c r="HH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X145" i="2"/>
  <c r="EA145" i="2"/>
  <c r="EB145" i="2"/>
  <c r="HH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G146" i="2"/>
  <c r="HI146" i="2"/>
  <c r="EA146" i="2"/>
  <c r="HH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AB156" i="2"/>
  <c r="EX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X157" i="2"/>
  <c r="HH157" i="2"/>
  <c r="HG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HG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DI163" i="2"/>
  <c r="EX164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I167" i="2"/>
  <c r="FR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H168" i="2" l="1"/>
  <c r="EW168" i="2"/>
  <c r="EV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FS175" i="2"/>
  <c r="HI175" i="2"/>
  <c r="EW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H178" i="2"/>
  <c r="EB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B179" i="2"/>
  <c r="DF179" i="2"/>
  <c r="EA179" i="2"/>
  <c r="HG179" i="2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V185" i="2"/>
  <c r="EW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B187" i="2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EA201" i="2" l="1"/>
  <c r="EB201" i="2"/>
  <c r="HH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EX202" i="2"/>
  <c r="HH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Y109" i="2" l="1" a="1"/>
  <c r="FY109" i="2" s="1"/>
  <c r="HG203" i="2"/>
  <c r="FR203" i="2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AN100" i="2" l="1"/>
  <c r="AN114" i="2"/>
  <c r="AN28" i="2"/>
  <c r="AN112" i="2"/>
  <c r="AN83" i="2"/>
  <c r="AN156" i="2"/>
  <c r="AN152" i="2"/>
  <c r="AN19" i="2"/>
  <c r="AN170" i="2"/>
  <c r="AN110" i="2"/>
  <c r="AN76" i="2"/>
  <c r="AN21" i="2"/>
  <c r="AN15" i="2"/>
  <c r="AN142" i="2"/>
  <c r="AN155" i="2"/>
  <c r="AN169" i="2"/>
  <c r="AN130" i="2"/>
  <c r="AN122" i="2"/>
  <c r="AN159" i="2"/>
  <c r="AN90" i="2"/>
  <c r="AN125" i="2"/>
  <c r="AN143" i="2"/>
  <c r="AN14" i="2"/>
  <c r="AN24" i="2"/>
  <c r="AN13" i="2"/>
  <c r="AN104" i="2"/>
  <c r="AN47" i="2"/>
  <c r="AN149" i="2"/>
  <c r="AN123" i="2"/>
  <c r="AN38" i="2"/>
  <c r="AN51" i="2"/>
  <c r="AN201" i="2"/>
  <c r="AN150" i="2"/>
  <c r="AN12" i="2"/>
  <c r="AN179" i="2"/>
  <c r="AN115" i="2"/>
  <c r="AN198" i="2"/>
  <c r="AN116" i="2"/>
  <c r="AN196" i="2"/>
  <c r="AN98" i="2"/>
  <c r="AN158" i="2"/>
  <c r="AN161" i="2"/>
  <c r="AN162" i="2"/>
  <c r="AN36" i="2"/>
  <c r="AN135" i="2"/>
  <c r="AN105" i="2"/>
  <c r="AN44" i="2"/>
  <c r="AN25" i="2"/>
  <c r="AN26" i="2"/>
  <c r="AN67" i="2"/>
  <c r="AN134" i="2"/>
  <c r="AN188" i="2"/>
  <c r="AN78" i="2"/>
  <c r="AN96" i="2"/>
  <c r="AN70" i="2"/>
  <c r="AN89" i="2"/>
  <c r="AN185" i="2"/>
  <c r="AN72" i="2"/>
  <c r="AN52" i="2"/>
  <c r="AN101" i="2"/>
  <c r="AN203" i="2"/>
  <c r="AN137" i="2"/>
  <c r="AN58" i="2"/>
  <c r="AN133" i="2"/>
  <c r="AN88" i="2"/>
  <c r="AN141" i="2"/>
  <c r="AN62" i="2"/>
  <c r="AN199" i="2"/>
  <c r="AN167" i="2"/>
  <c r="AN27" i="2"/>
  <c r="AN151" i="2"/>
  <c r="AN8" i="2"/>
  <c r="AN29" i="2"/>
  <c r="AN5" i="2"/>
  <c r="AN61" i="2"/>
  <c r="AN193" i="2"/>
  <c r="AN45" i="2"/>
  <c r="AN33" i="2"/>
  <c r="AN20" i="2"/>
  <c r="AN64" i="2"/>
  <c r="AN71" i="2"/>
  <c r="AN166" i="2"/>
  <c r="AN103" i="2"/>
  <c r="AN85" i="2"/>
  <c r="AN73" i="2"/>
  <c r="AN174" i="2"/>
  <c r="AN180" i="2"/>
  <c r="AN153" i="2"/>
  <c r="AN171" i="2"/>
  <c r="AN84" i="2"/>
  <c r="AN40" i="2"/>
  <c r="AN94" i="2"/>
  <c r="AN183" i="2"/>
  <c r="AN4" i="2"/>
  <c r="AN50" i="2"/>
  <c r="AN173" i="2"/>
  <c r="AN91" i="2"/>
  <c r="AN163" i="2"/>
  <c r="AN189" i="2"/>
  <c r="AN168" i="2"/>
  <c r="AN124" i="2"/>
  <c r="AN95" i="2"/>
  <c r="AN186" i="2"/>
  <c r="AN145" i="2"/>
  <c r="AN81" i="2"/>
  <c r="AN200" i="2"/>
  <c r="AN6" i="2"/>
  <c r="AN127" i="2"/>
  <c r="AN181" i="2"/>
  <c r="AN56" i="2"/>
  <c r="AN57" i="2"/>
  <c r="AN59" i="2"/>
  <c r="AN102" i="2"/>
  <c r="AN3" i="2"/>
  <c r="C7" i="4" s="1"/>
  <c r="E7" i="4" s="1"/>
  <c r="F7" i="4" s="1"/>
  <c r="G7" i="4" s="1"/>
  <c r="L7" i="4" s="1"/>
  <c r="AN136" i="2"/>
  <c r="AN148" i="2"/>
  <c r="AN9" i="2"/>
  <c r="AN108" i="2"/>
  <c r="AN41" i="2"/>
  <c r="AN121" i="2"/>
  <c r="AN113" i="2"/>
  <c r="AN35" i="2"/>
  <c r="AN23" i="2"/>
  <c r="AN139" i="2"/>
  <c r="AN49" i="2"/>
  <c r="AN32" i="2"/>
  <c r="AN111" i="2"/>
  <c r="AN16" i="2"/>
  <c r="AN79" i="2"/>
  <c r="AN147" i="2"/>
  <c r="AN187" i="2"/>
  <c r="AN74" i="2"/>
  <c r="AN107" i="2"/>
  <c r="AN126" i="2"/>
  <c r="AN178" i="2"/>
  <c r="AN86" i="2"/>
  <c r="AN65" i="2"/>
  <c r="AN75" i="2"/>
  <c r="AN17" i="2"/>
  <c r="AN63" i="2"/>
  <c r="AN109" i="2"/>
  <c r="AN18" i="2"/>
  <c r="AN117" i="2"/>
  <c r="AN129" i="2"/>
  <c r="AN202" i="2"/>
  <c r="AN11" i="2"/>
  <c r="AN66" i="2"/>
  <c r="AN154" i="2"/>
  <c r="AN131" i="2"/>
  <c r="AN197" i="2"/>
  <c r="AN97" i="2"/>
  <c r="AN42" i="2"/>
  <c r="AN92" i="2"/>
  <c r="AN182" i="2"/>
  <c r="AN160" i="2"/>
  <c r="AN93" i="2"/>
  <c r="AN99" i="2"/>
  <c r="AN191" i="2"/>
  <c r="AN22" i="2"/>
  <c r="AN37" i="2"/>
  <c r="AN119" i="2"/>
  <c r="AN60" i="2"/>
  <c r="AN120" i="2"/>
  <c r="AN118" i="2"/>
  <c r="AN82" i="2"/>
  <c r="AN77" i="2"/>
  <c r="AN172" i="2"/>
  <c r="AN165" i="2"/>
  <c r="AN87" i="2"/>
  <c r="AN138" i="2"/>
  <c r="AN140" i="2"/>
  <c r="AN184" i="2"/>
  <c r="AN157" i="2"/>
  <c r="AN177" i="2"/>
  <c r="AN43" i="2"/>
  <c r="AN175" i="2"/>
  <c r="AN7" i="2"/>
  <c r="AN46" i="2"/>
  <c r="AN10" i="2"/>
  <c r="AN53" i="2"/>
  <c r="AN190" i="2"/>
  <c r="AN195" i="2"/>
  <c r="AN80" i="2"/>
  <c r="AN55" i="2"/>
  <c r="AN34" i="2"/>
  <c r="AN176" i="2"/>
  <c r="AN31" i="2"/>
  <c r="AN69" i="2"/>
  <c r="AN68" i="2"/>
  <c r="AN164" i="2"/>
  <c r="AN146" i="2"/>
  <c r="AN144" i="2"/>
  <c r="AN48" i="2"/>
  <c r="AN39" i="2"/>
  <c r="AN132" i="2"/>
  <c r="AN192" i="2"/>
  <c r="AN194" i="2"/>
  <c r="AN30" i="2"/>
  <c r="AN54" i="2"/>
  <c r="AN128" i="2"/>
  <c r="AN106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<sst xmlns="http://schemas.openxmlformats.org/spreadsheetml/2006/main" count="1173" uniqueCount="325">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</sst>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14" borderId="1" xfId="0" applyFont="1" applyFill="1" applyBorder="1" applyAlignment="1" applyProtection="1">
      <alignment horizontal="center"/>
      <protection locked="0"/>
    </xf>
    <xf numFmtId="9" fontId="32" fillId="14" borderId="1" xfId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2.2095079902687447</c:v>
                </c:pt>
                <c:pt idx="2">
                  <c:v>3.6809762233156711</c:v>
                </c:pt>
                <c:pt idx="3">
                  <c:v>6.137350754902549</c:v>
                </c:pt>
                <c:pt idx="4">
                  <c:v>10.240963387596016</c:v>
                </c:pt>
                <c:pt idx="5">
                  <c:v>17.101481889832883</c:v>
                </c:pt>
                <c:pt idx="6">
                  <c:v>28.579234799999075</c:v>
                </c:pt>
                <c:pt idx="7">
                  <c:v>38.815564125517518</c:v>
                </c:pt>
                <c:pt idx="8">
                  <c:v>55.229225858917125</c:v>
                </c:pt>
                <c:pt idx="9">
                  <c:v>69.032328755371381</c:v>
                </c:pt>
                <c:pt idx="10">
                  <c:v>91.288698855380446</c:v>
                </c:pt>
                <c:pt idx="11">
                  <c:v>116.86138365235428</c:v>
                </c:pt>
                <c:pt idx="12">
                  <c:v>145.62025083018446</c:v>
                </c:pt>
                <c:pt idx="13">
                  <c:v>176.99941602939097</c:v>
                </c:pt>
                <c:pt idx="14">
                  <c:v>210.44401249897399</c:v>
                </c:pt>
                <c:pt idx="15">
                  <c:v>245.18831146023581</c:v>
                </c:pt>
                <c:pt idx="16">
                  <c:v>280.25697427513563</c:v>
                </c:pt>
                <c:pt idx="17">
                  <c:v>298.35268665137977</c:v>
                </c:pt>
                <c:pt idx="18">
                  <c:v>330.01665954588935</c:v>
                </c:pt>
                <c:pt idx="19">
                  <c:v>358.57606887093539</c:v>
                </c:pt>
                <c:pt idx="20">
                  <c:v>364.86748738883676</c:v>
                </c:pt>
                <c:pt idx="21">
                  <c:v>365.51818774743657</c:v>
                </c:pt>
                <c:pt idx="22">
                  <c:v>368.77131098941595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5.4660230907994141</c:v>
                </c:pt>
                <c:pt idx="2">
                  <c:v>10.681323473939329</c:v>
                </c:pt>
                <c:pt idx="3">
                  <c:v>15.815653007997854</c:v>
                </c:pt>
                <c:pt idx="4">
                  <c:v>20.900070226698777</c:v>
                </c:pt>
                <c:pt idx="5">
                  <c:v>25.94865187569178</c:v>
                </c:pt>
                <c:pt idx="6">
                  <c:v>30.969427918415988</c:v>
                </c:pt>
                <c:pt idx="7">
                  <c:v>35.967574961817526</c:v>
                </c:pt>
                <c:pt idx="8">
                  <c:v>40.946698717006726</c:v>
                </c:pt>
                <c:pt idx="9">
                  <c:v>45.909449427517977</c:v>
                </c:pt>
                <c:pt idx="10">
                  <c:v>50.857853843459729</c:v>
                </c:pt>
                <c:pt idx="11">
                  <c:v>55.793509908396324</c:v>
                </c:pt>
                <c:pt idx="12">
                  <c:v>60.717708366555691</c:v>
                </c:pt>
                <c:pt idx="13">
                  <c:v>65.63151257084742</c:v>
                </c:pt>
                <c:pt idx="14">
                  <c:v>70.535812988304585</c:v>
                </c:pt>
                <c:pt idx="15">
                  <c:v>75.431365668089654</c:v>
                </c:pt>
                <c:pt idx="16">
                  <c:v>80.318820149717823</c:v>
                </c:pt>
                <c:pt idx="17">
                  <c:v>85.198740191253449</c:v>
                </c:pt>
                <c:pt idx="18">
                  <c:v>90.071619479564632</c:v>
                </c:pt>
                <c:pt idx="19">
                  <c:v>94.937893749321418</c:v>
                </c:pt>
                <c:pt idx="20">
                  <c:v>99.797950277841281</c:v>
                </c:pt>
                <c:pt idx="21">
                  <c:v>104.652135427</c:v>
                </c:pt>
                <c:pt idx="22">
                  <c:v>109.50076070788542</c:v>
                </c:pt>
                <c:pt idx="23">
                  <c:v>114.34410771161743</c:v>
                </c:pt>
                <c:pt idx="24">
                  <c:v>119.18243215843677</c:v>
                </c:pt>
                <c:pt idx="25">
                  <c:v>124.01596725292983</c:v>
                </c:pt>
                <c:pt idx="26">
                  <c:v>128.8449264873062</c:v>
                </c:pt>
                <c:pt idx="27">
                  <c:v>133.66950600127205</c:v>
                </c:pt>
                <c:pt idx="28">
                  <c:v>138.48988658246478</c:v>
                </c:pt>
                <c:pt idx="29">
                  <c:v>143.30623537308037</c:v>
                </c:pt>
                <c:pt idx="30">
                  <c:v>148.11870733449055</c:v>
                </c:pt>
                <c:pt idx="31">
                  <c:v>152.92744651109214</c:v>
                </c:pt>
                <c:pt idx="32">
                  <c:v>157.7325871264978</c:v>
                </c:pt>
                <c:pt idx="33">
                  <c:v>162.53425453885362</c:v>
                </c:pt>
                <c:pt idx="34">
                  <c:v>167.33256607710749</c:v>
                </c:pt>
                <c:pt idx="35">
                  <c:v>172.12763177612814</c:v>
                </c:pt>
                <c:pt idx="36">
                  <c:v>176.91955502544894</c:v>
                </c:pt>
                <c:pt idx="37">
                  <c:v>181.70843314390311</c:v>
                </c:pt>
                <c:pt idx="38">
                  <c:v>186.49435789038873</c:v>
                </c:pt>
                <c:pt idx="39">
                  <c:v>191.27741591935674</c:v>
                </c:pt>
                <c:pt idx="40">
                  <c:v>196.05768918826797</c:v>
                </c:pt>
                <c:pt idx="41">
                  <c:v>200.83525532315684</c:v>
                </c:pt>
                <c:pt idx="42">
                  <c:v>205.61018794752695</c:v>
                </c:pt>
                <c:pt idx="43">
                  <c:v>210.38255697904034</c:v>
                </c:pt>
                <c:pt idx="44">
                  <c:v>215.15242889783022</c:v>
                </c:pt>
                <c:pt idx="45">
                  <c:v>219.91986698973434</c:v>
                </c:pt>
                <c:pt idx="46">
                  <c:v>224.68493156729764</c:v>
                </c:pt>
                <c:pt idx="47">
                  <c:v>229.44768017101543</c:v>
                </c:pt>
                <c:pt idx="48">
                  <c:v>234.20816775296598</c:v>
                </c:pt>
                <c:pt idx="49">
                  <c:v>238.96644684470857</c:v>
                </c:pt>
                <c:pt idx="50">
                  <c:v>243.72256771108889</c:v>
                </c:pt>
                <c:pt idx="51">
                  <c:v>248.47657849139151</c:v>
                </c:pt>
                <c:pt idx="52">
                  <c:v>253.22852532910977</c:v>
                </c:pt>
                <c:pt idx="53">
                  <c:v>208.6354867238299</c:v>
                </c:pt>
                <c:pt idx="54">
                  <c:v>220.59537347449944</c:v>
                </c:pt>
                <c:pt idx="55">
                  <c:v>232.54037687936662</c:v>
                </c:pt>
                <c:pt idx="56">
                  <c:v>244.47136960550881</c:v>
                </c:pt>
                <c:pt idx="57">
                  <c:v>256.38913212364326</c:v>
                </c:pt>
                <c:pt idx="58">
                  <c:v>268.29436637384839</c:v>
                </c:pt>
                <c:pt idx="59">
                  <c:v>280.1877068763726</c:v>
                </c:pt>
                <c:pt idx="60">
                  <c:v>292.06972985560316</c:v>
                </c:pt>
                <c:pt idx="61">
                  <c:v>245.68806155403334</c:v>
                </c:pt>
                <c:pt idx="62">
                  <c:v>257.60451473454003</c:v>
                </c:pt>
                <c:pt idx="63">
                  <c:v>269.50850731507103</c:v>
                </c:pt>
                <c:pt idx="64">
                  <c:v>281.40066747860004</c:v>
                </c:pt>
                <c:pt idx="65">
                  <c:v>293.28156594925059</c:v>
                </c:pt>
                <c:pt idx="66">
                  <c:v>305.15172341265009</c:v>
                </c:pt>
                <c:pt idx="67">
                  <c:v>317.01161672057395</c:v>
                </c:pt>
                <c:pt idx="68">
                  <c:v>328.86168411801799</c:v>
                </c:pt>
                <c:pt idx="69">
                  <c:v>280.23622755830678</c:v>
                </c:pt>
                <c:pt idx="70">
                  <c:v>291.68191860662404</c:v>
                </c:pt>
                <c:pt idx="71">
                  <c:v>303.11758094856515</c:v>
                </c:pt>
                <c:pt idx="72">
                  <c:v>314.54364642285998</c:v>
                </c:pt>
                <c:pt idx="73">
                  <c:v>325.9605129186765</c:v>
                </c:pt>
                <c:pt idx="74">
                  <c:v>337.3685481657111</c:v>
                </c:pt>
                <c:pt idx="75">
                  <c:v>348.76809298461347</c:v>
                </c:pt>
                <c:pt idx="76">
                  <c:v>360.15946409007773</c:v>
                </c:pt>
                <c:pt idx="77">
                  <c:v>371.5429565206544</c:v>
                </c:pt>
                <c:pt idx="78">
                  <c:v>382.91884575514445</c:v>
                </c:pt>
                <c:pt idx="79">
                  <c:v>332.14899550797418</c:v>
                </c:pt>
                <c:pt idx="80">
                  <c:v>343.16596745045581</c:v>
                </c:pt>
                <c:pt idx="81">
                  <c:v>354.17516791892012</c:v>
                </c:pt>
                <c:pt idx="82">
                  <c:v>365.17687261995815</c:v>
                </c:pt>
                <c:pt idx="83">
                  <c:v>376.17133928605472</c:v>
                </c:pt>
                <c:pt idx="84">
                  <c:v>387.15880934971273</c:v>
                </c:pt>
                <c:pt idx="85">
                  <c:v>398.13950941756428</c:v>
                </c:pt>
                <c:pt idx="86">
                  <c:v>409.11365257333472</c:v>
                </c:pt>
                <c:pt idx="87">
                  <c:v>420.08143953368364</c:v>
                </c:pt>
                <c:pt idx="88">
                  <c:v>431.04305967702004</c:v>
                </c:pt>
                <c:pt idx="89">
                  <c:v>374.62868369592616</c:v>
                </c:pt>
                <c:pt idx="90">
                  <c:v>385.61712174318728</c:v>
                </c:pt>
                <c:pt idx="91">
                  <c:v>396.59875883419824</c:v>
                </c:pt>
                <c:pt idx="92">
                  <c:v>407.57380987776543</c:v>
                </c:pt>
                <c:pt idx="93">
                  <c:v>418.54247726149282</c:v>
                </c:pt>
                <c:pt idx="94">
                  <c:v>429.50495189733937</c:v>
                </c:pt>
                <c:pt idx="95">
                  <c:v>440.46141415485243</c:v>
                </c:pt>
                <c:pt idx="96">
                  <c:v>451.41203469669296</c:v>
                </c:pt>
                <c:pt idx="97">
                  <c:v>462.35697522885613</c:v>
                </c:pt>
                <c:pt idx="98">
                  <c:v>473.29638917614921</c:v>
                </c:pt>
                <c:pt idx="99">
                  <c:v>418.92722924422122</c:v>
                </c:pt>
                <c:pt idx="100">
                  <c:v>429.88948992506386</c:v>
                </c:pt>
                <c:pt idx="101">
                  <c:v>440.8457443754441</c:v>
                </c:pt>
                <c:pt idx="102">
                  <c:v>451.79616293151918</c:v>
                </c:pt>
                <c:pt idx="103">
                  <c:v>462.74090699768914</c:v>
                </c:pt>
                <c:pt idx="104">
                  <c:v>473.68012971962617</c:v>
                </c:pt>
                <c:pt idx="105">
                  <c:v>484.61397659189061</c:v>
                </c:pt>
                <c:pt idx="106">
                  <c:v>495.54258600785471</c:v>
                </c:pt>
                <c:pt idx="107">
                  <c:v>506.46608975859249</c:v>
                </c:pt>
                <c:pt idx="108">
                  <c:v>517.38461348648923</c:v>
                </c:pt>
                <c:pt idx="109">
                  <c:v>453.33260608565246</c:v>
                </c:pt>
                <c:pt idx="110">
                  <c:v>464.08461470595802</c:v>
                </c:pt>
                <c:pt idx="111">
                  <c:v>474.83131166809085</c:v>
                </c:pt>
                <c:pt idx="112">
                  <c:v>485.5728341470313</c:v>
                </c:pt>
                <c:pt idx="113">
                  <c:v>496.30931275327663</c:v>
                </c:pt>
                <c:pt idx="114">
                  <c:v>507.04087198522149</c:v>
                </c:pt>
                <c:pt idx="115">
                  <c:v>517.76763064124964</c:v>
                </c:pt>
                <c:pt idx="116">
                  <c:v>528.48970219589671</c:v>
                </c:pt>
                <c:pt idx="117">
                  <c:v>539.20719514390601</c:v>
                </c:pt>
                <c:pt idx="118">
                  <c:v>549.92021331550563</c:v>
                </c:pt>
                <c:pt idx="119">
                  <c:v>484.03864272240298</c:v>
                </c:pt>
                <c:pt idx="120">
                  <c:v>494.77583412162261</c:v>
                </c:pt>
                <c:pt idx="121">
                  <c:v>505.50808871924067</c:v>
                </c:pt>
                <c:pt idx="122">
                  <c:v>516.23552610410309</c:v>
                </c:pt>
                <c:pt idx="123">
                  <c:v>526.95826048952051</c:v>
                </c:pt>
                <c:pt idx="124">
                  <c:v>537.67640106169449</c:v>
                </c:pt>
                <c:pt idx="125">
                  <c:v>548.39005229891859</c:v>
                </c:pt>
                <c:pt idx="126">
                  <c:v>559.09931426454011</c:v>
                </c:pt>
                <c:pt idx="127">
                  <c:v>569.80428287631287</c:v>
                </c:pt>
                <c:pt idx="128">
                  <c:v>580.50505015445833</c:v>
                </c:pt>
                <c:pt idx="129">
                  <c:v>516.81007653469214</c:v>
                </c:pt>
                <c:pt idx="130">
                  <c:v>527.72399304120324</c:v>
                </c:pt>
                <c:pt idx="131">
                  <c:v>538.63315807993115</c:v>
                </c:pt>
                <c:pt idx="132">
                  <c:v>549.53768144295771</c:v>
                </c:pt>
                <c:pt idx="133">
                  <c:v>560.4376682101705</c:v>
                </c:pt>
                <c:pt idx="134">
                  <c:v>571.33321904116895</c:v>
                </c:pt>
                <c:pt idx="135">
                  <c:v>582.22443044374438</c:v>
                </c:pt>
                <c:pt idx="136">
                  <c:v>593.11139502123308</c:v>
                </c:pt>
                <c:pt idx="137">
                  <c:v>603.99420170076939</c:v>
                </c:pt>
                <c:pt idx="138">
                  <c:v>614.87293594423477</c:v>
                </c:pt>
                <c:pt idx="139">
                  <c:v>551.45028504666311</c:v>
                </c:pt>
                <c:pt idx="140">
                  <c:v>562.54066075244293</c:v>
                </c:pt>
                <c:pt idx="141">
                  <c:v>573.62646310732623</c:v>
                </c:pt>
                <c:pt idx="142">
                  <c:v>584.70779293898988</c:v>
                </c:pt>
                <c:pt idx="143">
                  <c:v>595.7847469423931</c:v>
                </c:pt>
                <c:pt idx="144">
                  <c:v>606.85741792448357</c:v>
                </c:pt>
                <c:pt idx="145">
                  <c:v>617.92589503011789</c:v>
                </c:pt>
                <c:pt idx="146">
                  <c:v>628.99026395095905</c:v>
                </c:pt>
                <c:pt idx="147">
                  <c:v>640.05060711891667</c:v>
                </c:pt>
                <c:pt idx="148">
                  <c:v>651.10700388552539</c:v>
                </c:pt>
                <c:pt idx="149">
                  <c:v>566.22893530693568</c:v>
                </c:pt>
                <c:pt idx="150">
                  <c:v>559.59417563033344</c:v>
                </c:pt>
                <c:pt idx="151">
                  <c:v>552.95776867276652</c:v>
                </c:pt>
                <c:pt idx="152">
                  <c:v>546.31969183109879</c:v>
                </c:pt>
                <c:pt idx="153">
                  <c:v>539.67992190690325</c:v>
                </c:pt>
                <c:pt idx="154">
                  <c:v>533.03843508308489</c:v>
                </c:pt>
                <c:pt idx="155">
                  <c:v>526.39520689927519</c:v>
                </c:pt>
                <c:pt idx="156">
                  <c:v>519.75021222591761</c:v>
                </c:pt>
                <c:pt idx="157">
                  <c:v>513.10342523695556</c:v>
                </c:pt>
                <c:pt idx="158">
                  <c:v>506.45481938102847</c:v>
                </c:pt>
                <c:pt idx="159">
                  <c:v>499.80436735107361</c:v>
                </c:pt>
                <c:pt idx="160">
                  <c:v>493.15204105222142</c:v>
                </c:pt>
                <c:pt idx="161">
                  <c:v>486.49781156786486</c:v>
                </c:pt>
                <c:pt idx="162">
                  <c:v>479.84164912377219</c:v>
                </c:pt>
                <c:pt idx="163">
                  <c:v>473.18352305009688</c:v>
                </c:pt>
                <c:pt idx="164">
                  <c:v>466.52340174113743</c:v>
                </c:pt>
                <c:pt idx="165">
                  <c:v>459.86125261266892</c:v>
                </c:pt>
                <c:pt idx="166">
                  <c:v>453.19704205667063</c:v>
                </c:pt>
                <c:pt idx="167">
                  <c:v>446.53073539324333</c:v>
                </c:pt>
                <c:pt idx="168">
                  <c:v>439.86229681949789</c:v>
                </c:pt>
                <c:pt idx="169">
                  <c:v>367.34077868072421</c:v>
                </c:pt>
                <c:pt idx="170">
                  <c:v>373.77033257265776</c:v>
                </c:pt>
                <c:pt idx="171">
                  <c:v>380.19747642454655</c:v>
                </c:pt>
                <c:pt idx="172">
                  <c:v>386.62225676278376</c:v>
                </c:pt>
                <c:pt idx="173">
                  <c:v>393.0447184398742</c:v>
                </c:pt>
                <c:pt idx="174">
                  <c:v>399.4649047216335</c:v>
                </c:pt>
                <c:pt idx="175">
                  <c:v>405.88285736848405</c:v>
                </c:pt>
                <c:pt idx="176">
                  <c:v>412.29861671133852</c:v>
                </c:pt>
                <c:pt idx="177">
                  <c:v>418.71222172251049</c:v>
                </c:pt>
                <c:pt idx="178">
                  <c:v>425.12371008205287</c:v>
                </c:pt>
                <c:pt idx="179">
                  <c:v>431.53311823988116</c:v>
                </c:pt>
                <c:pt idx="180">
                  <c:v>437.9404814740148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25" x14ac:dyDescent="0.45"/>
  <cols>
    <col min="1" max="1" width="6.796875" customWidth="1"/>
    <col min="2" max="13" width="15.86328125" customWidth="1"/>
  </cols>
  <sheetData>
    <row r="12" spans="2:13" ht="15" customHeight="1" x14ac:dyDescent="0.45">
      <c r="B12" s="259" t="s">
        <v>291</v>
      </c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2:13" ht="15" customHeight="1" x14ac:dyDescent="0.45">
      <c r="B13" s="259"/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</row>
    <row r="14" spans="2:13" ht="15" customHeight="1" x14ac:dyDescent="0.45">
      <c r="B14" s="259"/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</row>
    <row r="15" spans="2:13" ht="18.75" customHeight="1" x14ac:dyDescent="0.45">
      <c r="B15" s="259"/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</row>
    <row r="16" spans="2:13" ht="18.75" customHeight="1" x14ac:dyDescent="0.45">
      <c r="B16" s="259"/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</row>
    <row r="18" spans="2:13" ht="12" customHeight="1" x14ac:dyDescent="0.45">
      <c r="B18" s="259" t="s">
        <v>292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</row>
    <row r="19" spans="2:13" ht="12" customHeight="1" x14ac:dyDescent="0.45">
      <c r="B19" s="259"/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</row>
    <row r="20" spans="2:13" ht="12" customHeight="1" x14ac:dyDescent="0.45">
      <c r="B20" s="259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2:13" ht="12" customHeight="1" x14ac:dyDescent="0.45">
      <c r="B21" s="259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</row>
    <row r="22" spans="2:13" ht="12" customHeight="1" x14ac:dyDescent="0.45">
      <c r="B22" s="259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</row>
    <row r="23" spans="2:13" ht="12" customHeight="1" x14ac:dyDescent="0.45"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</row>
    <row r="24" spans="2:13" ht="12" customHeight="1" x14ac:dyDescent="0.45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  <row r="25" spans="2:13" ht="12" customHeight="1" x14ac:dyDescent="0.45"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  <c r="M25" s="259"/>
    </row>
    <row r="26" spans="2:13" ht="12" customHeight="1" x14ac:dyDescent="0.45"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</row>
    <row r="27" spans="2:13" ht="12" customHeight="1" x14ac:dyDescent="0.45"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2:13" ht="12" customHeight="1" x14ac:dyDescent="0.45"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2:13" ht="12" customHeight="1" x14ac:dyDescent="0.45"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</row>
    <row r="30" spans="2:13" ht="12" customHeight="1" x14ac:dyDescent="0.45"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  <c r="M30" s="259"/>
    </row>
    <row r="31" spans="2:13" ht="12" customHeight="1" x14ac:dyDescent="0.45"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  <c r="M31" s="25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" zoomScale="55" zoomScaleNormal="55" workbookViewId="0">
      <selection activeCell="J41" sqref="J41"/>
    </sheetView>
  </sheetViews>
  <sheetFormatPr baseColWidth="10" defaultColWidth="11.46484375" defaultRowHeight="14.25" x14ac:dyDescent="0.45"/>
  <cols>
    <col min="1" max="1" width="13.796875" style="23" customWidth="1"/>
    <col min="2" max="2" width="36.1328125" style="23" customWidth="1"/>
    <col min="3" max="3" width="14.86328125" style="23" bestFit="1" customWidth="1"/>
    <col min="4" max="4" width="16.46484375" style="23" customWidth="1"/>
    <col min="5" max="5" width="23.19921875" style="23" customWidth="1"/>
    <col min="6" max="6" width="28.86328125" style="23" bestFit="1" customWidth="1"/>
    <col min="7" max="8" width="14.796875" style="23" customWidth="1"/>
    <col min="9" max="9" width="17" style="23" customWidth="1"/>
    <col min="10" max="10" width="13.86328125" style="23" customWidth="1"/>
    <col min="11" max="16384" width="11.46484375" style="23"/>
  </cols>
  <sheetData>
    <row r="1" spans="1:38" x14ac:dyDescent="0.45">
      <c r="A1" s="4"/>
      <c r="B1" s="4"/>
      <c r="C1" s="264" t="s">
        <v>190</v>
      </c>
      <c r="D1" s="264"/>
      <c r="E1" s="26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5" t="s">
        <v>192</v>
      </c>
      <c r="C3" s="266"/>
      <c r="D3" s="266"/>
      <c r="E3" s="266"/>
      <c r="F3" s="267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70" t="s">
        <v>231</v>
      </c>
      <c r="B5" s="270"/>
      <c r="C5" s="24">
        <v>1.62</v>
      </c>
      <c r="D5" s="271" t="s">
        <v>229</v>
      </c>
      <c r="E5" s="272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9" t="s">
        <v>226</v>
      </c>
      <c r="B7" s="269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112</v>
      </c>
      <c r="C9" s="32">
        <v>0.88</v>
      </c>
      <c r="D9" s="33">
        <f t="shared" ref="D9:D18" si="0">C9*$C$5</f>
        <v>1.4256000000000002</v>
      </c>
      <c r="E9" s="34">
        <v>22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14</v>
      </c>
      <c r="C10" s="32">
        <v>0.12</v>
      </c>
      <c r="D10" s="33">
        <f t="shared" si="0"/>
        <v>0.19440000000000002</v>
      </c>
      <c r="E10" s="34">
        <v>180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1</v>
      </c>
      <c r="D19" s="38">
        <f>SUM(D9:D18)</f>
        <v>1.62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8" t="s">
        <v>232</v>
      </c>
      <c r="B22" s="268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0.1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9" t="s">
        <v>227</v>
      </c>
      <c r="B30" s="269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6</v>
      </c>
      <c r="B36" s="50">
        <v>24</v>
      </c>
      <c r="C36" s="257"/>
      <c r="D36" s="257"/>
      <c r="E36" s="258"/>
      <c r="F36" s="258"/>
      <c r="G36" s="258"/>
      <c r="H36" s="51"/>
      <c r="I36" s="49">
        <f>IFERROR(B36/A36,"")</f>
        <v>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7</v>
      </c>
      <c r="B37" s="50">
        <v>32.9</v>
      </c>
      <c r="C37" s="257"/>
      <c r="D37" s="257"/>
      <c r="E37" s="258"/>
      <c r="F37" s="258"/>
      <c r="G37" s="258"/>
      <c r="H37" s="51"/>
      <c r="I37" s="53">
        <f t="shared" ref="I37:I53" si="1">IF(A37&lt;&gt;0,(B37-(B36-D36))/(A37-A36),"")</f>
        <v>8.8999999999999986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8</v>
      </c>
      <c r="B38" s="50">
        <v>47.3</v>
      </c>
      <c r="C38" s="257"/>
      <c r="D38" s="257"/>
      <c r="E38" s="258"/>
      <c r="F38" s="258"/>
      <c r="G38" s="258"/>
      <c r="H38" s="51"/>
      <c r="I38" s="53">
        <f t="shared" si="1"/>
        <v>14.399999999999999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9</v>
      </c>
      <c r="B39" s="50">
        <v>59.5</v>
      </c>
      <c r="C39" s="257"/>
      <c r="D39" s="257"/>
      <c r="E39" s="258"/>
      <c r="F39" s="258"/>
      <c r="G39" s="258"/>
      <c r="H39" s="51"/>
      <c r="I39" s="49">
        <f t="shared" si="1"/>
        <v>12.200000000000003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10</v>
      </c>
      <c r="B40" s="50">
        <v>79.3</v>
      </c>
      <c r="C40" s="257"/>
      <c r="D40" s="257"/>
      <c r="E40" s="258"/>
      <c r="F40" s="258"/>
      <c r="G40" s="258"/>
      <c r="H40" s="51"/>
      <c r="I40" s="49">
        <f t="shared" si="1"/>
        <v>19.799999999999997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11</v>
      </c>
      <c r="B41" s="50">
        <v>102.2</v>
      </c>
      <c r="C41" s="257"/>
      <c r="D41" s="257"/>
      <c r="E41" s="258"/>
      <c r="F41" s="258"/>
      <c r="G41" s="258"/>
      <c r="H41" s="51"/>
      <c r="I41" s="53">
        <f t="shared" si="1"/>
        <v>22.900000000000006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12</v>
      </c>
      <c r="B42" s="50">
        <v>128.1</v>
      </c>
      <c r="C42" s="257"/>
      <c r="D42" s="60"/>
      <c r="E42" s="258"/>
      <c r="F42" s="258"/>
      <c r="G42" s="258"/>
      <c r="H42" s="51"/>
      <c r="I42" s="53">
        <f t="shared" si="1"/>
        <v>25.899999999999991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13</v>
      </c>
      <c r="B43" s="50">
        <v>156.5</v>
      </c>
      <c r="C43" s="257"/>
      <c r="D43" s="60"/>
      <c r="E43" s="258"/>
      <c r="F43" s="258"/>
      <c r="G43" s="258"/>
      <c r="H43" s="51"/>
      <c r="I43" s="49">
        <f t="shared" si="1"/>
        <v>28.400000000000006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14</v>
      </c>
      <c r="B44" s="50">
        <v>186.9</v>
      </c>
      <c r="C44" s="257"/>
      <c r="D44" s="60"/>
      <c r="E44" s="258"/>
      <c r="F44" s="258"/>
      <c r="G44" s="258"/>
      <c r="H44" s="51"/>
      <c r="I44" s="49">
        <f t="shared" si="1"/>
        <v>30.400000000000006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>
        <v>15</v>
      </c>
      <c r="B45" s="50">
        <v>218.6</v>
      </c>
      <c r="C45" s="50"/>
      <c r="D45" s="50"/>
      <c r="E45" s="51"/>
      <c r="F45" s="51"/>
      <c r="G45" s="51"/>
      <c r="H45" s="51"/>
      <c r="I45" s="49">
        <f t="shared" si="1"/>
        <v>31.699999999999989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>
        <v>16</v>
      </c>
      <c r="B46" s="50">
        <v>250.7</v>
      </c>
      <c r="C46" s="50"/>
      <c r="D46" s="50"/>
      <c r="E46" s="51"/>
      <c r="F46" s="51"/>
      <c r="G46" s="51"/>
      <c r="H46" s="51"/>
      <c r="I46" s="49">
        <f t="shared" si="1"/>
        <v>32.099999999999994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>
        <v>17</v>
      </c>
      <c r="B47" s="50">
        <v>267.3</v>
      </c>
      <c r="C47" s="50"/>
      <c r="D47" s="50"/>
      <c r="E47" s="51"/>
      <c r="F47" s="51"/>
      <c r="G47" s="51"/>
      <c r="H47" s="51"/>
      <c r="I47" s="49">
        <f t="shared" si="1"/>
        <v>16.600000000000023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>
        <v>18</v>
      </c>
      <c r="B48" s="50">
        <v>296.39999999999998</v>
      </c>
      <c r="C48" s="50"/>
      <c r="D48" s="50"/>
      <c r="E48" s="51"/>
      <c r="F48" s="51"/>
      <c r="G48" s="51"/>
      <c r="H48" s="51"/>
      <c r="I48" s="49">
        <f t="shared" si="1"/>
        <v>29.099999999999966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>
        <v>19</v>
      </c>
      <c r="B49" s="50">
        <v>322.7</v>
      </c>
      <c r="C49" s="257"/>
      <c r="D49" s="60"/>
      <c r="E49" s="258"/>
      <c r="F49" s="258"/>
      <c r="G49" s="258"/>
      <c r="H49" s="51"/>
      <c r="I49" s="49">
        <f t="shared" si="1"/>
        <v>26.300000000000011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>
        <v>20</v>
      </c>
      <c r="B50" s="50">
        <v>328.5</v>
      </c>
      <c r="C50" s="257"/>
      <c r="D50" s="60"/>
      <c r="E50" s="258"/>
      <c r="F50" s="258"/>
      <c r="G50" s="258"/>
      <c r="H50" s="51"/>
      <c r="I50" s="49">
        <f t="shared" si="1"/>
        <v>5.8000000000000114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>
        <v>21</v>
      </c>
      <c r="B51" s="50">
        <v>329.1</v>
      </c>
      <c r="C51" s="50"/>
      <c r="D51" s="50"/>
      <c r="E51" s="51"/>
      <c r="F51" s="51"/>
      <c r="G51" s="51"/>
      <c r="H51" s="51"/>
      <c r="I51" s="49">
        <f t="shared" si="1"/>
        <v>0.60000000000002274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>
        <v>22</v>
      </c>
      <c r="B52" s="50">
        <v>332.1</v>
      </c>
      <c r="C52" s="50" t="s">
        <v>324</v>
      </c>
      <c r="D52" s="50">
        <v>332.1</v>
      </c>
      <c r="E52" s="51">
        <v>0.77</v>
      </c>
      <c r="F52" s="51">
        <v>0.21</v>
      </c>
      <c r="G52" s="51">
        <v>0.02</v>
      </c>
      <c r="H52" s="51"/>
      <c r="I52" s="49">
        <f t="shared" si="1"/>
        <v>3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ref="I54:I55" si="2">IF(A54&lt;&gt;0,(B54-(B53-D53))/(A54-A53),"")</f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2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52</v>
      </c>
      <c r="B62" s="60">
        <v>127</v>
      </c>
      <c r="C62" s="60">
        <v>1</v>
      </c>
      <c r="D62" s="60">
        <v>29</v>
      </c>
      <c r="E62" s="51"/>
      <c r="F62" s="51"/>
      <c r="G62" s="51"/>
      <c r="H62" s="51">
        <v>1</v>
      </c>
      <c r="I62" s="53">
        <f>IFERROR(B62/A62,"")</f>
        <v>2.4423076923076925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60</v>
      </c>
      <c r="B63" s="60">
        <v>147</v>
      </c>
      <c r="C63" s="60">
        <v>2</v>
      </c>
      <c r="D63" s="60">
        <v>30</v>
      </c>
      <c r="E63" s="51"/>
      <c r="F63" s="51"/>
      <c r="G63" s="51"/>
      <c r="H63" s="51">
        <v>1</v>
      </c>
      <c r="I63" s="49">
        <f>IF(A63&lt;&gt;0,(B63-(B62-D62))/(A63-A62),"")</f>
        <v>6.125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68</v>
      </c>
      <c r="B64" s="60">
        <v>166</v>
      </c>
      <c r="C64" s="60">
        <v>3</v>
      </c>
      <c r="D64" s="60">
        <v>31</v>
      </c>
      <c r="E64" s="51">
        <v>0.5</v>
      </c>
      <c r="F64" s="51">
        <v>0.4</v>
      </c>
      <c r="G64" s="51"/>
      <c r="H64" s="51">
        <v>0.1</v>
      </c>
      <c r="I64" s="49">
        <f>IF(A64&lt;&gt;0,(B64-(B63-D63))/(A64-A63),"")</f>
        <v>6.125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78</v>
      </c>
      <c r="B65" s="60">
        <v>194</v>
      </c>
      <c r="C65" s="60">
        <v>4</v>
      </c>
      <c r="D65" s="60">
        <v>32</v>
      </c>
      <c r="E65" s="51">
        <v>0.5</v>
      </c>
      <c r="F65" s="51">
        <v>0.4</v>
      </c>
      <c r="G65" s="51"/>
      <c r="H65" s="51">
        <v>0.1</v>
      </c>
      <c r="I65" s="49">
        <f>IF(A65&lt;&gt;0,(B65-(B64-D64))/(A65-A64),"")</f>
        <v>5.9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88</v>
      </c>
      <c r="B66" s="60">
        <v>219</v>
      </c>
      <c r="C66" s="60">
        <v>5</v>
      </c>
      <c r="D66" s="60">
        <v>35</v>
      </c>
      <c r="E66" s="51">
        <v>0.5</v>
      </c>
      <c r="F66" s="51">
        <v>0.4</v>
      </c>
      <c r="G66" s="51"/>
      <c r="H66" s="51">
        <v>0.1</v>
      </c>
      <c r="I66" s="49">
        <f t="shared" ref="I66:I81" si="3">IF(A66&lt;&gt;0,(B66-(B65-D65))/(A66-A65),"")</f>
        <v>5.7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98</v>
      </c>
      <c r="B67" s="60">
        <v>241</v>
      </c>
      <c r="C67" s="60">
        <v>6</v>
      </c>
      <c r="D67" s="60">
        <v>34</v>
      </c>
      <c r="E67" s="51">
        <v>0.5</v>
      </c>
      <c r="F67" s="51">
        <v>0.4</v>
      </c>
      <c r="G67" s="51"/>
      <c r="H67" s="51">
        <v>0.1</v>
      </c>
      <c r="I67" s="49">
        <f t="shared" si="3"/>
        <v>5.7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108</v>
      </c>
      <c r="B68" s="60">
        <v>264</v>
      </c>
      <c r="C68" s="60">
        <v>7</v>
      </c>
      <c r="D68" s="60">
        <v>39</v>
      </c>
      <c r="E68" s="51">
        <v>0.5</v>
      </c>
      <c r="F68" s="51">
        <v>0.4</v>
      </c>
      <c r="G68" s="51"/>
      <c r="H68" s="51">
        <v>0.1</v>
      </c>
      <c r="I68" s="49">
        <f t="shared" si="3"/>
        <v>5.7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>
        <v>118</v>
      </c>
      <c r="B69" s="60">
        <v>281</v>
      </c>
      <c r="C69" s="60">
        <v>8</v>
      </c>
      <c r="D69" s="60">
        <v>40</v>
      </c>
      <c r="E69" s="51">
        <v>0.5</v>
      </c>
      <c r="F69" s="51">
        <v>0.4</v>
      </c>
      <c r="G69" s="51"/>
      <c r="H69" s="51">
        <v>0.1</v>
      </c>
      <c r="I69" s="49">
        <f t="shared" si="3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>
        <v>128</v>
      </c>
      <c r="B70" s="60">
        <v>297</v>
      </c>
      <c r="C70" s="60">
        <v>9</v>
      </c>
      <c r="D70" s="60">
        <v>39</v>
      </c>
      <c r="E70" s="51">
        <v>0.5</v>
      </c>
      <c r="F70" s="51">
        <v>0.4</v>
      </c>
      <c r="G70" s="51"/>
      <c r="H70" s="51">
        <v>0.1</v>
      </c>
      <c r="I70" s="49">
        <f t="shared" si="3"/>
        <v>5.6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>
        <v>138</v>
      </c>
      <c r="B71" s="60">
        <v>315</v>
      </c>
      <c r="C71" s="60">
        <v>10</v>
      </c>
      <c r="D71" s="60">
        <v>39</v>
      </c>
      <c r="E71" s="51">
        <v>0.5</v>
      </c>
      <c r="F71" s="51">
        <v>0.4</v>
      </c>
      <c r="G71" s="51"/>
      <c r="H71" s="51">
        <v>0.1</v>
      </c>
      <c r="I71" s="49">
        <f t="shared" si="3"/>
        <v>5.7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>
        <v>148</v>
      </c>
      <c r="B72" s="60">
        <v>334</v>
      </c>
      <c r="C72" s="60">
        <v>11</v>
      </c>
      <c r="D72" s="60">
        <v>41</v>
      </c>
      <c r="E72" s="51">
        <v>0.5</v>
      </c>
      <c r="F72" s="51">
        <v>0.4</v>
      </c>
      <c r="G72" s="51"/>
      <c r="H72" s="51">
        <v>0.1</v>
      </c>
      <c r="I72" s="49">
        <f t="shared" si="3"/>
        <v>5.8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>
        <v>185</v>
      </c>
      <c r="B73" s="60">
        <v>351</v>
      </c>
      <c r="C73" s="60">
        <v>12</v>
      </c>
      <c r="D73" s="60">
        <v>41</v>
      </c>
      <c r="E73" s="51">
        <v>0.5</v>
      </c>
      <c r="F73" s="51">
        <v>0.4</v>
      </c>
      <c r="G73" s="51"/>
      <c r="H73" s="51">
        <v>0.1</v>
      </c>
      <c r="I73" s="49">
        <f t="shared" si="3"/>
        <v>1.5675675675675675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>
        <v>168</v>
      </c>
      <c r="B74" s="50">
        <v>369</v>
      </c>
      <c r="C74" s="60">
        <v>13</v>
      </c>
      <c r="D74" s="50">
        <v>41</v>
      </c>
      <c r="E74" s="51">
        <v>0.5</v>
      </c>
      <c r="F74" s="51">
        <v>0.4</v>
      </c>
      <c r="G74" s="51"/>
      <c r="H74" s="51">
        <v>0.1</v>
      </c>
      <c r="I74" s="49">
        <f t="shared" si="3"/>
        <v>-3.4705882352941178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>
        <v>180</v>
      </c>
      <c r="B75" s="50">
        <v>368</v>
      </c>
      <c r="C75" s="50" t="s">
        <v>324</v>
      </c>
      <c r="D75" s="50">
        <v>368</v>
      </c>
      <c r="E75" s="51">
        <v>1</v>
      </c>
      <c r="F75" s="51"/>
      <c r="G75" s="51"/>
      <c r="H75" s="51"/>
      <c r="I75" s="49">
        <f t="shared" si="3"/>
        <v>3.3333333333333335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4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/>
      <c r="B90" s="60"/>
      <c r="C90" s="60"/>
      <c r="D90" s="60"/>
      <c r="E90" s="87"/>
      <c r="F90" s="87"/>
      <c r="G90" s="87"/>
      <c r="H90" s="87"/>
      <c r="I90" s="53" t="str">
        <f t="shared" si="4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/>
      <c r="B91" s="60"/>
      <c r="C91" s="60"/>
      <c r="D91" s="60"/>
      <c r="E91" s="87"/>
      <c r="F91" s="87"/>
      <c r="G91" s="87"/>
      <c r="H91" s="87"/>
      <c r="I91" s="53" t="str">
        <f t="shared" si="4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/>
      <c r="B92" s="60"/>
      <c r="C92" s="60"/>
      <c r="D92" s="60"/>
      <c r="E92" s="87"/>
      <c r="F92" s="87"/>
      <c r="G92" s="87"/>
      <c r="H92" s="87"/>
      <c r="I92" s="53" t="str">
        <f t="shared" si="4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/>
      <c r="B93" s="60"/>
      <c r="C93" s="60"/>
      <c r="D93" s="60"/>
      <c r="E93" s="87"/>
      <c r="F93" s="87"/>
      <c r="G93" s="87"/>
      <c r="H93" s="87"/>
      <c r="I93" s="53" t="str">
        <f t="shared" si="4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/>
      <c r="B94" s="60"/>
      <c r="C94" s="60"/>
      <c r="D94" s="60"/>
      <c r="E94" s="87"/>
      <c r="F94" s="87"/>
      <c r="G94" s="87"/>
      <c r="H94" s="87"/>
      <c r="I94" s="53" t="str">
        <f t="shared" si="4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7" zoomScale="85" zoomScaleNormal="85" workbookViewId="0">
      <selection activeCell="B10" sqref="B10"/>
    </sheetView>
  </sheetViews>
  <sheetFormatPr baseColWidth="10" defaultColWidth="11.464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19921875" style="1" customWidth="1"/>
    <col min="6" max="6" width="14.19921875" style="1" customWidth="1"/>
    <col min="7" max="7" width="73.1992187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4" t="s">
        <v>191</v>
      </c>
      <c r="C2" s="275"/>
      <c r="D2" s="275"/>
      <c r="E2" s="275"/>
      <c r="F2" s="275"/>
      <c r="G2" s="27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3"/>
      <c r="C4" s="273"/>
      <c r="D4" s="273"/>
      <c r="E4" s="273"/>
      <c r="F4" s="273"/>
      <c r="G4" s="27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86328125" style="4" bestFit="1" customWidth="1"/>
    <col min="2" max="4" width="11.46484375" style="4"/>
    <col min="5" max="5" width="9.53125" style="4" customWidth="1"/>
    <col min="6" max="7" width="11.46484375" style="4"/>
    <col min="8" max="8" width="10.79687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796875" style="4" bestFit="1" customWidth="1"/>
    <col min="25" max="25" width="14.53125" style="4" bestFit="1" customWidth="1"/>
    <col min="26" max="26" width="12.46484375" style="4" bestFit="1" customWidth="1"/>
    <col min="27" max="27" width="9.79687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19921875" style="4" bestFit="1" customWidth="1"/>
    <col min="45" max="45" width="11.796875" style="4" bestFit="1" customWidth="1"/>
    <col min="46" max="46" width="8.46484375" style="4" bestFit="1" customWidth="1"/>
    <col min="47" max="47" width="9.46484375" style="4" bestFit="1" customWidth="1"/>
    <col min="48" max="48" width="9.79687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1992187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19921875" style="4" bestFit="1" customWidth="1"/>
    <col min="66" max="66" width="11.796875" style="4" bestFit="1" customWidth="1"/>
    <col min="67" max="67" width="8.46484375" style="4" bestFit="1" customWidth="1"/>
    <col min="68" max="68" width="9.46484375" style="4" bestFit="1" customWidth="1"/>
    <col min="69" max="69" width="9.79687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8632812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19921875" style="4" bestFit="1" customWidth="1"/>
    <col min="87" max="87" width="11.796875" style="4" bestFit="1" customWidth="1"/>
    <col min="88" max="88" width="8.46484375" style="4" bestFit="1" customWidth="1"/>
    <col min="89" max="89" width="9.46484375" style="4" bestFit="1" customWidth="1"/>
    <col min="90" max="90" width="9.79687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19921875" style="4" bestFit="1" customWidth="1"/>
    <col min="108" max="108" width="11.796875" style="4" bestFit="1" customWidth="1"/>
    <col min="109" max="109" width="8.46484375" style="4" bestFit="1" customWidth="1"/>
    <col min="110" max="110" width="9.46484375" style="4" bestFit="1" customWidth="1"/>
    <col min="111" max="111" width="9.79687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1992187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19921875" style="4" bestFit="1" customWidth="1"/>
    <col min="129" max="129" width="11.796875" style="4" bestFit="1" customWidth="1"/>
    <col min="130" max="130" width="8.46484375" style="4" bestFit="1" customWidth="1"/>
    <col min="131" max="131" width="9.46484375" style="4" bestFit="1" customWidth="1"/>
    <col min="132" max="132" width="9.79687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19921875" style="4" bestFit="1" customWidth="1"/>
    <col min="150" max="150" width="11.796875" style="4" bestFit="1" customWidth="1"/>
    <col min="151" max="151" width="8.46484375" style="4" bestFit="1" customWidth="1"/>
    <col min="152" max="152" width="9.46484375" style="4" bestFit="1" customWidth="1"/>
    <col min="153" max="153" width="9.79687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19921875" style="4" bestFit="1" customWidth="1"/>
    <col min="171" max="171" width="11.796875" style="4" bestFit="1" customWidth="1"/>
    <col min="172" max="172" width="8.1328125" style="4" bestFit="1" customWidth="1"/>
    <col min="173" max="173" width="9.46484375" style="4" bestFit="1" customWidth="1"/>
    <col min="174" max="174" width="9.79687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1992187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79687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1992187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19921875" style="4" bestFit="1" customWidth="1"/>
    <col min="213" max="213" width="11.796875" style="4" bestFit="1" customWidth="1"/>
    <col min="214" max="214" width="8.46484375" style="4" bestFit="1" customWidth="1"/>
    <col min="215" max="215" width="9.46484375" style="4" bestFit="1" customWidth="1"/>
    <col min="216" max="216" width="9.79687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80" t="s">
        <v>176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Peuplier Koster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Chêne sessile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/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/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/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169.26131760015181</v>
      </c>
      <c r="T3" s="59">
        <f>IF('Données projet'!E9&gt;30,$R$33-$H$33,LOOKUP('Données projet'!$E$9,$A$3:$A$203,R3:R203)-LOOKUP('Données projet'!$E$9,$A$3:$A$203,$H$3:$H$203))</f>
        <v>395.66019987830481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387.43382681395963</v>
      </c>
      <c r="AO3" s="59">
        <f>IF('Données projet'!E10&gt;30,$AM$33-$H$33,LOOKUP('Données projet'!$E$10,$A$3:$A$203,AM3:AM203)-LOOKUP('Données projet'!$E$10,$A$3:$A$203,$H$3:$H$203))</f>
        <v>184.78537400115721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</v>
      </c>
      <c r="N4" s="13">
        <f>IF('Données projet'!$A$36&gt;35,N3+M4-V3,IF(A4&lt;'Données projet'!$A$36,$K$205^A4,IF(A4='Données projet'!$A$36,'Données projet'!$B$36,N3+M4-V3)))</f>
        <v>1.6983813295649528</v>
      </c>
      <c r="O4" s="13">
        <f>N4*VLOOKUP('Données projet'!$B$9,Paramètres!$A$1:$I$89,3,0)*VLOOKUP('Données projet'!$B$9,Paramètres!$A$1:$I$89,5,0)</f>
        <v>0.86372880896355242</v>
      </c>
      <c r="P4" s="13">
        <f>EXP(-1.0587+0.8836*LN(O4)+0.284)</f>
        <v>0.40488821894194688</v>
      </c>
      <c r="Q4" s="20">
        <f t="shared" ref="Q4:Q34" si="2">(O4+P4)*0.475*44/12</f>
        <v>2.2095079902687447</v>
      </c>
      <c r="R4" s="59">
        <f t="shared" si="0"/>
        <v>260.09839687915758</v>
      </c>
      <c r="S4" s="59">
        <f ca="1">AVERAGE(OFFSET($R$3,0,0,'Données projet'!$E$9+1,1))-AVERAGE(OFFSET($H$3,0,0,'Données projet'!$E$9+1,1))</f>
        <v>169.26131760015181</v>
      </c>
      <c r="T4" s="59">
        <f>$T$3</f>
        <v>395.66019987830481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2.4423076923076925</v>
      </c>
      <c r="AI4" s="13">
        <f>IF('Données projet'!$A$62&gt;35,AI3+AH4-AQ3,IF(A4&lt;'Données projet'!$A$62,$AF$205^A4,IF(A4='Données projet'!$A$62,'Données projet'!$B$62,AI3+AH4-AQ3)))</f>
        <v>2.4423076923076925</v>
      </c>
      <c r="AJ4" s="13">
        <f>AI4*VLOOKUP('Données projet'!$B$10,Paramètres!$A$1:$I$89,3,0)*VLOOKUP('Données projet'!$B$10,Paramètres!$A$1:$I$89,5,0)</f>
        <v>2.2098</v>
      </c>
      <c r="AK4" s="13">
        <f>EXP(-1.0587+0.8836*LN(AJ4)+0.284)</f>
        <v>0.92858646361688846</v>
      </c>
      <c r="AL4" s="20">
        <f t="shared" ref="AL4:AL67" si="4">(AJ4+AK4)*0.475*44/12</f>
        <v>5.4660230907994141</v>
      </c>
      <c r="AM4" s="59">
        <f t="shared" ref="AM4:AM67" si="5">AL4+(AD4+AE4)*44/12</f>
        <v>263.35491197968827</v>
      </c>
      <c r="AN4" s="59">
        <f ca="1">AVERAGE(OFFSET($AM$3,0,0,'Données projet'!$E$10+1,1))-AVERAGE(OFFSET($H$3,0,0,'Données projet'!$E$10+1,1))</f>
        <v>387.43382681395963</v>
      </c>
      <c r="AO4" s="59">
        <f>$AO$3</f>
        <v>184.78537400115721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</v>
      </c>
      <c r="N5" s="13">
        <f>IF('Données projet'!$A$36&gt;35,N4+M5-V4,IF(A5&lt;'Données projet'!$A$36,$K$205^A5,IF(A5='Données projet'!$A$36,'Données projet'!$B$36,N4+M5-V4)))</f>
        <v>2.8844991406148166</v>
      </c>
      <c r="O5" s="13">
        <f>N5*VLOOKUP('Données projet'!$B$9,Paramètres!$A$1:$I$89,3,0)*VLOOKUP('Données projet'!$B$9,Paramètres!$A$1:$I$89,5,0)</f>
        <v>1.4669408829510713</v>
      </c>
      <c r="P5" s="13">
        <f t="shared" ref="P5:P68" si="33">EXP(-1.0587+0.8836*LN(O5)+0.284)</f>
        <v>0.64653828833065385</v>
      </c>
      <c r="Q5" s="20">
        <f t="shared" si="2"/>
        <v>3.6809762233156711</v>
      </c>
      <c r="R5" s="59">
        <f t="shared" si="0"/>
        <v>262.79208733442681</v>
      </c>
      <c r="S5" s="59">
        <f ca="1">AVERAGE(OFFSET($R$3,0,0,'Données projet'!$E$9+1,1))-AVERAGE(OFFSET($H$3,0,0,'Données projet'!$E$9+1,1))</f>
        <v>169.26131760015181</v>
      </c>
      <c r="T5" s="59">
        <f t="shared" ref="T5:T68" si="34">$T$3</f>
        <v>395.66019987830481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2.4423076923076925</v>
      </c>
      <c r="AI5" s="13">
        <f>IF('Données projet'!$A$62&gt;35,AI4+AH5-AQ4,IF(A5&lt;'Données projet'!$A$62,$AF$205^A5,IF(A5='Données projet'!$A$62,'Données projet'!$B$62,AI4+AH5-AQ4)))</f>
        <v>4.884615384615385</v>
      </c>
      <c r="AJ5" s="13">
        <f>AI5*VLOOKUP('Données projet'!$B$10,Paramètres!$A$1:$I$89,3,0)*VLOOKUP('Données projet'!$B$10,Paramètres!$A$1:$I$89,5,0)</f>
        <v>4.4196</v>
      </c>
      <c r="AK5" s="13">
        <f t="shared" ref="AK5:AK68" si="35">EXP(-1.0587+0.8836*LN(AJ5)+0.284)</f>
        <v>1.7132173056110989</v>
      </c>
      <c r="AL5" s="20">
        <f t="shared" si="4"/>
        <v>10.681323473939329</v>
      </c>
      <c r="AM5" s="59">
        <f t="shared" si="5"/>
        <v>269.7924345850505</v>
      </c>
      <c r="AN5" s="59">
        <f ca="1">AVERAGE(OFFSET($AM$3,0,0,'Données projet'!$E$10+1,1))-AVERAGE(OFFSET($H$3,0,0,'Données projet'!$E$10+1,1))</f>
        <v>387.43382681395963</v>
      </c>
      <c r="AO5" s="59">
        <f t="shared" ref="AO5:AO68" si="36">$AO$3</f>
        <v>184.78537400115721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</v>
      </c>
      <c r="N6" s="13">
        <f>IF('Données projet'!$A$36&gt;35,N5+M6-V5,IF(A6&lt;'Données projet'!$A$36,$K$205^A6,IF(A6='Données projet'!$A$36,'Données projet'!$B$36,N5+M6-V5)))</f>
        <v>4.8989794855663558</v>
      </c>
      <c r="O6" s="13">
        <f>N6*VLOOKUP('Données projet'!$B$9,Paramètres!$A$1:$I$89,3,0)*VLOOKUP('Données projet'!$B$9,Paramètres!$A$1:$I$89,5,0)</f>
        <v>2.4914250071796258</v>
      </c>
      <c r="P6" s="13">
        <f t="shared" si="33"/>
        <v>1.0324127468314075</v>
      </c>
      <c r="Q6" s="20">
        <f t="shared" si="2"/>
        <v>6.137350754902549</v>
      </c>
      <c r="R6" s="59">
        <f t="shared" si="0"/>
        <v>266.47068408823588</v>
      </c>
      <c r="S6" s="59">
        <f ca="1">AVERAGE(OFFSET($R$3,0,0,'Données projet'!$E$9+1,1))-AVERAGE(OFFSET($H$3,0,0,'Données projet'!$E$9+1,1))</f>
        <v>169.26131760015181</v>
      </c>
      <c r="T6" s="59">
        <f t="shared" si="34"/>
        <v>395.66019987830481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2.4423076923076925</v>
      </c>
      <c r="AI6" s="13">
        <f>IF('Données projet'!$A$62&gt;35,AI5+AH6-AQ5,IF(A6&lt;'Données projet'!$A$62,$AF$205^A6,IF(A6='Données projet'!$A$62,'Données projet'!$B$62,AI5+AH6-AQ5)))</f>
        <v>7.3269230769230775</v>
      </c>
      <c r="AJ6" s="13">
        <f>AI6*VLOOKUP('Données projet'!$B$10,Paramètres!$A$1:$I$89,3,0)*VLOOKUP('Données projet'!$B$10,Paramètres!$A$1:$I$89,5,0)</f>
        <v>6.6293999999999995</v>
      </c>
      <c r="AK6" s="13">
        <f t="shared" si="35"/>
        <v>2.4513577079413515</v>
      </c>
      <c r="AL6" s="20">
        <f t="shared" si="4"/>
        <v>15.815653007997854</v>
      </c>
      <c r="AM6" s="59">
        <f t="shared" si="5"/>
        <v>276.14898634133118</v>
      </c>
      <c r="AN6" s="59">
        <f ca="1">AVERAGE(OFFSET($AM$3,0,0,'Données projet'!$E$10+1,1))-AVERAGE(OFFSET($H$3,0,0,'Données projet'!$E$10+1,1))</f>
        <v>387.43382681395963</v>
      </c>
      <c r="AO6" s="59">
        <f t="shared" si="36"/>
        <v>184.78537400115721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</v>
      </c>
      <c r="N7" s="13">
        <f>IF('Données projet'!$A$36&gt;35,N6+M7-V6,IF(A7&lt;'Données projet'!$A$36,$K$205^A7,IF(A7='Données projet'!$A$36,'Données projet'!$B$36,N6+M7-V6)))</f>
        <v>8.3203352922076164</v>
      </c>
      <c r="O7" s="13">
        <f>N7*VLOOKUP('Données projet'!$B$9,Paramètres!$A$1:$I$89,3,0)*VLOOKUP('Données projet'!$B$9,Paramètres!$A$1:$I$89,5,0)</f>
        <v>4.231389716205106</v>
      </c>
      <c r="P7" s="13">
        <f t="shared" si="33"/>
        <v>1.6485892623189238</v>
      </c>
      <c r="Q7" s="20">
        <f t="shared" si="2"/>
        <v>10.240963387596016</v>
      </c>
      <c r="R7" s="59">
        <f t="shared" si="0"/>
        <v>271.79651894315157</v>
      </c>
      <c r="S7" s="59">
        <f ca="1">AVERAGE(OFFSET($R$3,0,0,'Données projet'!$E$9+1,1))-AVERAGE(OFFSET($H$3,0,0,'Données projet'!$E$9+1,1))</f>
        <v>169.26131760015181</v>
      </c>
      <c r="T7" s="59">
        <f t="shared" si="34"/>
        <v>395.66019987830481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2.4423076923076925</v>
      </c>
      <c r="AI7" s="13">
        <f>IF('Données projet'!$A$62&gt;35,AI6+AH7-AQ6,IF(A7&lt;'Données projet'!$A$62,$AF$205^A7,IF(A7='Données projet'!$A$62,'Données projet'!$B$62,AI6+AH7-AQ6)))</f>
        <v>9.7692307692307701</v>
      </c>
      <c r="AJ7" s="13">
        <f>AI7*VLOOKUP('Données projet'!$B$10,Paramètres!$A$1:$I$89,3,0)*VLOOKUP('Données projet'!$B$10,Paramètres!$A$1:$I$89,5,0)</f>
        <v>8.8391999999999999</v>
      </c>
      <c r="AK7" s="13">
        <f t="shared" si="35"/>
        <v>3.1608403215495366</v>
      </c>
      <c r="AL7" s="20">
        <f t="shared" si="4"/>
        <v>20.900070226698777</v>
      </c>
      <c r="AM7" s="59">
        <f t="shared" si="5"/>
        <v>282.45562578225434</v>
      </c>
      <c r="AN7" s="59">
        <f ca="1">AVERAGE(OFFSET($AM$3,0,0,'Données projet'!$E$10+1,1))-AVERAGE(OFFSET($H$3,0,0,'Données projet'!$E$10+1,1))</f>
        <v>387.43382681395963</v>
      </c>
      <c r="AO7" s="59">
        <f t="shared" si="36"/>
        <v>184.78537400115721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</v>
      </c>
      <c r="N8" s="13">
        <f>IF('Données projet'!$A$36&gt;35,N7+M8-V7,IF(A8&lt;'Données projet'!$A$36,$K$205^A8,IF(A8='Données projet'!$A$36,'Données projet'!$B$36,N7+M8-V7)))</f>
        <v>14.131102116005772</v>
      </c>
      <c r="O8" s="13">
        <f>N8*VLOOKUP('Données projet'!$B$9,Paramètres!$A$1:$I$89,3,0)*VLOOKUP('Données projet'!$B$9,Paramètres!$A$1:$I$89,5,0)</f>
        <v>7.1865132921158956</v>
      </c>
      <c r="P8" s="13">
        <f t="shared" si="33"/>
        <v>2.6325193719029847</v>
      </c>
      <c r="Q8" s="20">
        <f t="shared" si="2"/>
        <v>17.101481889832883</v>
      </c>
      <c r="R8" s="59">
        <f t="shared" si="0"/>
        <v>279.87925966761065</v>
      </c>
      <c r="S8" s="59">
        <f ca="1">AVERAGE(OFFSET($R$3,0,0,'Données projet'!$E$9+1,1))-AVERAGE(OFFSET($H$3,0,0,'Données projet'!$E$9+1,1))</f>
        <v>169.26131760015181</v>
      </c>
      <c r="T8" s="59">
        <f t="shared" si="34"/>
        <v>395.66019987830481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2.4423076923076925</v>
      </c>
      <c r="AI8" s="13">
        <f>IF('Données projet'!$A$62&gt;35,AI7+AH8-AQ7,IF(A8&lt;'Données projet'!$A$62,$AF$205^A8,IF(A8='Données projet'!$A$62,'Données projet'!$B$62,AI7+AH8-AQ7)))</f>
        <v>12.211538461538463</v>
      </c>
      <c r="AJ8" s="13">
        <f>AI8*VLOOKUP('Données projet'!$B$10,Paramètres!$A$1:$I$89,3,0)*VLOOKUP('Données projet'!$B$10,Paramètres!$A$1:$I$89,5,0)</f>
        <v>11.049000000000001</v>
      </c>
      <c r="AK8" s="13">
        <f t="shared" si="35"/>
        <v>3.8497474884354701</v>
      </c>
      <c r="AL8" s="20">
        <f t="shared" si="4"/>
        <v>25.94865187569178</v>
      </c>
      <c r="AM8" s="59">
        <f t="shared" si="5"/>
        <v>288.72642965346955</v>
      </c>
      <c r="AN8" s="59">
        <f ca="1">AVERAGE(OFFSET($AM$3,0,0,'Données projet'!$E$10+1,1))-AVERAGE(OFFSET($H$3,0,0,'Données projet'!$E$10+1,1))</f>
        <v>387.43382681395963</v>
      </c>
      <c r="AO8" s="59">
        <f t="shared" si="36"/>
        <v>184.78537400115721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24</v>
      </c>
      <c r="L9" s="12">
        <f>VLOOKUP(A9,'Données projet'!$A$35:$I$55,9,0)</f>
        <v>4</v>
      </c>
      <c r="M9" s="12">
        <f t="array" ref="M9">INDEX(L:L,MIN(IF(ISNUMBER(L9:L205),ROW(L9:L205),"")))</f>
        <v>4</v>
      </c>
      <c r="N9" s="13">
        <f>IF('Données projet'!$A$36&gt;35,N8+M9-V8,IF(A9&lt;'Données projet'!$A$36,$K$205^A9,IF(A9='Données projet'!$A$36,'Données projet'!$B$36,N8+M9-V8)))</f>
        <v>24</v>
      </c>
      <c r="O9" s="13">
        <f>N9*VLOOKUP('Données projet'!$B$9,Paramètres!$A$1:$I$89,3,0)*VLOOKUP('Données projet'!$B$9,Paramètres!$A$1:$I$89,5,0)</f>
        <v>12.205439999999999</v>
      </c>
      <c r="P9" s="13">
        <f t="shared" si="33"/>
        <v>4.203690028707606</v>
      </c>
      <c r="Q9" s="20">
        <f t="shared" si="2"/>
        <v>28.579234799999075</v>
      </c>
      <c r="R9" s="59">
        <f t="shared" si="0"/>
        <v>292.57923479999909</v>
      </c>
      <c r="S9" s="59">
        <f ca="1">AVERAGE(OFFSET($R$3,0,0,'Données projet'!$E$9+1,1))-AVERAGE(OFFSET($H$3,0,0,'Données projet'!$E$9+1,1))</f>
        <v>169.26131760015181</v>
      </c>
      <c r="T9" s="59">
        <f t="shared" si="34"/>
        <v>395.66019987830481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2.4423076923076925</v>
      </c>
      <c r="AI9" s="13">
        <f>IF('Données projet'!$A$62&gt;35,AI8+AH9-AQ8,IF(A9&lt;'Données projet'!$A$62,$AF$205^A9,IF(A9='Données projet'!$A$62,'Données projet'!$B$62,AI8+AH9-AQ8)))</f>
        <v>14.653846153846157</v>
      </c>
      <c r="AJ9" s="13">
        <f>AI9*VLOOKUP('Données projet'!$B$10,Paramètres!$A$1:$I$89,3,0)*VLOOKUP('Données projet'!$B$10,Paramètres!$A$1:$I$89,5,0)</f>
        <v>13.258800000000003</v>
      </c>
      <c r="AK9" s="13">
        <f t="shared" si="35"/>
        <v>4.5226897139230511</v>
      </c>
      <c r="AL9" s="20">
        <f t="shared" si="4"/>
        <v>30.969427918415988</v>
      </c>
      <c r="AM9" s="59">
        <f t="shared" si="5"/>
        <v>294.96942791841599</v>
      </c>
      <c r="AN9" s="59">
        <f ca="1">AVERAGE(OFFSET($AM$3,0,0,'Données projet'!$E$10+1,1))-AVERAGE(OFFSET($H$3,0,0,'Données projet'!$E$10+1,1))</f>
        <v>387.43382681395963</v>
      </c>
      <c r="AO9" s="59">
        <f t="shared" si="36"/>
        <v>184.78537400115721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32.9</v>
      </c>
      <c r="L10" s="12">
        <f>VLOOKUP(A10,'Données projet'!$A$35:$I$55,9,0)</f>
        <v>8.8999999999999986</v>
      </c>
      <c r="M10" s="12">
        <f t="array" ref="M10">INDEX(L:L,MIN(IF(ISNUMBER(L10:L206),ROW(L10:L206),"")))</f>
        <v>8.8999999999999986</v>
      </c>
      <c r="N10" s="13">
        <f>IF('Données projet'!$A$36&gt;35,N9+M10-V9,IF(A10&lt;'Données projet'!$A$36,$K$205^A10,IF(A10='Données projet'!$A$36,'Données projet'!$B$36,N9+M10-V9)))</f>
        <v>32.9</v>
      </c>
      <c r="O10" s="13">
        <f>N10*VLOOKUP('Données projet'!$B$9,Paramètres!$A$1:$I$89,3,0)*VLOOKUP('Données projet'!$B$9,Paramètres!$A$1:$I$89,5,0)</f>
        <v>16.731624</v>
      </c>
      <c r="P10" s="13">
        <f t="shared" si="33"/>
        <v>5.5548243017325474</v>
      </c>
      <c r="Q10" s="20">
        <f t="shared" si="2"/>
        <v>38.815564125517518</v>
      </c>
      <c r="R10" s="59">
        <f t="shared" si="0"/>
        <v>304.03778634773977</v>
      </c>
      <c r="S10" s="59">
        <f ca="1">AVERAGE(OFFSET($R$3,0,0,'Données projet'!$E$9+1,1))-AVERAGE(OFFSET($H$3,0,0,'Données projet'!$E$9+1,1))</f>
        <v>169.26131760015181</v>
      </c>
      <c r="T10" s="59">
        <f t="shared" si="34"/>
        <v>395.66019987830481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2.4423076923076925</v>
      </c>
      <c r="AI10" s="13">
        <f>IF('Données projet'!$A$62&gt;35,AI9+AH10-AQ9,IF(A10&lt;'Données projet'!$A$62,$AF$205^A10,IF(A10='Données projet'!$A$62,'Données projet'!$B$62,AI9+AH10-AQ9)))</f>
        <v>17.09615384615385</v>
      </c>
      <c r="AJ10" s="13">
        <f>AI10*VLOOKUP('Données projet'!$B$10,Paramètres!$A$1:$I$89,3,0)*VLOOKUP('Données projet'!$B$10,Paramètres!$A$1:$I$89,5,0)</f>
        <v>15.468600000000002</v>
      </c>
      <c r="AK10" s="13">
        <f t="shared" si="35"/>
        <v>5.1826392125268077</v>
      </c>
      <c r="AL10" s="20">
        <f t="shared" si="4"/>
        <v>35.967574961817526</v>
      </c>
      <c r="AM10" s="59">
        <f t="shared" si="5"/>
        <v>301.18979718403978</v>
      </c>
      <c r="AN10" s="59">
        <f ca="1">AVERAGE(OFFSET($AM$3,0,0,'Données projet'!$E$10+1,1))-AVERAGE(OFFSET($H$3,0,0,'Données projet'!$E$10+1,1))</f>
        <v>387.43382681395963</v>
      </c>
      <c r="AO10" s="59">
        <f t="shared" si="36"/>
        <v>184.78537400115721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47.3</v>
      </c>
      <c r="L11" s="12">
        <f>VLOOKUP(A11,'Données projet'!$A$35:$I$55,9,0)</f>
        <v>14.399999999999999</v>
      </c>
      <c r="M11" s="12">
        <f t="array" ref="M11">INDEX(L:L,MIN(IF(ISNUMBER(L11:L207),ROW(L11:L207),"")))</f>
        <v>14.399999999999999</v>
      </c>
      <c r="N11" s="13">
        <f>IF('Données projet'!$A$36&gt;35,N10+M11-V10,IF(A11&lt;'Données projet'!$A$36,$K$205^A11,IF(A11='Données projet'!$A$36,'Données projet'!$B$36,N10+M11-V10)))</f>
        <v>47.3</v>
      </c>
      <c r="O11" s="13">
        <f>N11*VLOOKUP('Données projet'!$B$9,Paramètres!$A$1:$I$89,3,0)*VLOOKUP('Données projet'!$B$9,Paramètres!$A$1:$I$89,5,0)</f>
        <v>24.054888000000002</v>
      </c>
      <c r="P11" s="13">
        <f t="shared" si="33"/>
        <v>7.655672301770597</v>
      </c>
      <c r="Q11" s="20">
        <f t="shared" si="2"/>
        <v>55.229225858917125</v>
      </c>
      <c r="R11" s="59">
        <f t="shared" si="0"/>
        <v>321.67367030336158</v>
      </c>
      <c r="S11" s="59">
        <f ca="1">AVERAGE(OFFSET($R$3,0,0,'Données projet'!$E$9+1,1))-AVERAGE(OFFSET($H$3,0,0,'Données projet'!$E$9+1,1))</f>
        <v>169.26131760015181</v>
      </c>
      <c r="T11" s="59">
        <f t="shared" si="34"/>
        <v>395.66019987830481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2.4423076923076925</v>
      </c>
      <c r="AI11" s="13">
        <f>IF('Données projet'!$A$62&gt;35,AI10+AH11-AQ10,IF(A11&lt;'Données projet'!$A$62,$AF$205^A11,IF(A11='Données projet'!$A$62,'Données projet'!$B$62,AI10+AH11-AQ10)))</f>
        <v>19.538461538461544</v>
      </c>
      <c r="AJ11" s="13">
        <f>AI11*VLOOKUP('Données projet'!$B$10,Paramètres!$A$1:$I$89,3,0)*VLOOKUP('Données projet'!$B$10,Paramètres!$A$1:$I$89,5,0)</f>
        <v>17.678400000000003</v>
      </c>
      <c r="AK11" s="13">
        <f t="shared" si="35"/>
        <v>5.8316662489990749</v>
      </c>
      <c r="AL11" s="20">
        <f t="shared" si="4"/>
        <v>40.946698717006726</v>
      </c>
      <c r="AM11" s="59">
        <f t="shared" si="5"/>
        <v>307.39114316145117</v>
      </c>
      <c r="AN11" s="59">
        <f ca="1">AVERAGE(OFFSET($AM$3,0,0,'Données projet'!$E$10+1,1))-AVERAGE(OFFSET($H$3,0,0,'Données projet'!$E$10+1,1))</f>
        <v>387.43382681395963</v>
      </c>
      <c r="AO11" s="59">
        <f t="shared" si="36"/>
        <v>184.78537400115721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59.5</v>
      </c>
      <c r="L12" s="12">
        <f>VLOOKUP(A12,'Données projet'!$A$35:$I$55,9,0)</f>
        <v>12.200000000000003</v>
      </c>
      <c r="M12" s="12">
        <f t="array" ref="M12">INDEX(L:L,MIN(IF(ISNUMBER(L12:L208),ROW(L12:L208),"")))</f>
        <v>12.200000000000003</v>
      </c>
      <c r="N12" s="13">
        <f>IF('Données projet'!$A$36&gt;35,N11+M12-V11,IF(A12&lt;'Données projet'!$A$36,$K$205^A12,IF(A12='Données projet'!$A$36,'Données projet'!$B$36,N11+M12-V11)))</f>
        <v>59.5</v>
      </c>
      <c r="O12" s="13">
        <f>N12*VLOOKUP('Données projet'!$B$9,Paramètres!$A$1:$I$89,3,0)*VLOOKUP('Données projet'!$B$9,Paramètres!$A$1:$I$89,5,0)</f>
        <v>30.259320000000002</v>
      </c>
      <c r="P12" s="13">
        <f t="shared" si="33"/>
        <v>9.3764668451893129</v>
      </c>
      <c r="Q12" s="20">
        <f t="shared" si="2"/>
        <v>69.032328755371381</v>
      </c>
      <c r="R12" s="59">
        <f t="shared" si="0"/>
        <v>336.69899542203808</v>
      </c>
      <c r="S12" s="59">
        <f ca="1">AVERAGE(OFFSET($R$3,0,0,'Données projet'!$E$9+1,1))-AVERAGE(OFFSET($H$3,0,0,'Données projet'!$E$9+1,1))</f>
        <v>169.26131760015181</v>
      </c>
      <c r="T12" s="59">
        <f t="shared" si="34"/>
        <v>395.66019987830481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2.4423076923076925</v>
      </c>
      <c r="AI12" s="13">
        <f>IF('Données projet'!$A$62&gt;35,AI11+AH12-AQ11,IF(A12&lt;'Données projet'!$A$62,$AF$205^A12,IF(A12='Données projet'!$A$62,'Données projet'!$B$62,AI11+AH12-AQ11)))</f>
        <v>21.980769230769237</v>
      </c>
      <c r="AJ12" s="13">
        <f>AI12*VLOOKUP('Données projet'!$B$10,Paramètres!$A$1:$I$89,3,0)*VLOOKUP('Données projet'!$B$10,Paramètres!$A$1:$I$89,5,0)</f>
        <v>19.888200000000005</v>
      </c>
      <c r="AK12" s="13">
        <f t="shared" si="35"/>
        <v>6.4712924942686927</v>
      </c>
      <c r="AL12" s="20">
        <f t="shared" si="4"/>
        <v>45.909449427517977</v>
      </c>
      <c r="AM12" s="59">
        <f t="shared" si="5"/>
        <v>313.57611609418467</v>
      </c>
      <c r="AN12" s="59">
        <f ca="1">AVERAGE(OFFSET($AM$3,0,0,'Données projet'!$E$10+1,1))-AVERAGE(OFFSET($H$3,0,0,'Données projet'!$E$10+1,1))</f>
        <v>387.43382681395963</v>
      </c>
      <c r="AO12" s="59">
        <f t="shared" si="36"/>
        <v>184.78537400115721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79.3</v>
      </c>
      <c r="L13" s="12">
        <f>VLOOKUP(A13,'Données projet'!$A$35:$I$55,9,0)</f>
        <v>19.799999999999997</v>
      </c>
      <c r="M13" s="12">
        <f t="array" ref="M13">INDEX(L:L,MIN(IF(ISNUMBER(L13:L209),ROW(L13:L209),"")))</f>
        <v>19.799999999999997</v>
      </c>
      <c r="N13" s="13">
        <f>IF('Données projet'!$A$36&gt;35,N12+M13-V12,IF(A13&lt;'Données projet'!$A$36,$K$205^A13,IF(A13='Données projet'!$A$36,'Données projet'!$B$36,N12+M13-V12)))</f>
        <v>79.3</v>
      </c>
      <c r="O13" s="13">
        <f>N13*VLOOKUP('Données projet'!$B$9,Paramètres!$A$1:$I$89,3,0)*VLOOKUP('Données projet'!$B$9,Paramètres!$A$1:$I$89,5,0)</f>
        <v>40.328808000000002</v>
      </c>
      <c r="P13" s="13">
        <f t="shared" si="33"/>
        <v>12.085755936103602</v>
      </c>
      <c r="Q13" s="20">
        <f t="shared" si="2"/>
        <v>91.288698855380446</v>
      </c>
      <c r="R13" s="59">
        <f t="shared" si="0"/>
        <v>360.17758774426932</v>
      </c>
      <c r="S13" s="59">
        <f ca="1">AVERAGE(OFFSET($R$3,0,0,'Données projet'!$E$9+1,1))-AVERAGE(OFFSET($H$3,0,0,'Données projet'!$E$9+1,1))</f>
        <v>169.26131760015181</v>
      </c>
      <c r="T13" s="59">
        <f t="shared" si="34"/>
        <v>395.66019987830481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2.4423076923076925</v>
      </c>
      <c r="AI13" s="13">
        <f>IF('Données projet'!$A$62&gt;35,AI12+AH13-AQ12,IF(A13&lt;'Données projet'!$A$62,$AF$205^A13,IF(A13='Données projet'!$A$62,'Données projet'!$B$62,AI12+AH13-AQ12)))</f>
        <v>24.42307692307693</v>
      </c>
      <c r="AJ13" s="13">
        <f>AI13*VLOOKUP('Données projet'!$B$10,Paramètres!$A$1:$I$89,3,0)*VLOOKUP('Données projet'!$B$10,Paramètres!$A$1:$I$89,5,0)</f>
        <v>22.098000000000006</v>
      </c>
      <c r="AK13" s="13">
        <f t="shared" si="35"/>
        <v>7.1026816326084523</v>
      </c>
      <c r="AL13" s="20">
        <f t="shared" si="4"/>
        <v>50.857853843459729</v>
      </c>
      <c r="AM13" s="59">
        <f t="shared" si="5"/>
        <v>319.74674273234859</v>
      </c>
      <c r="AN13" s="59">
        <f ca="1">AVERAGE(OFFSET($AM$3,0,0,'Données projet'!$E$10+1,1))-AVERAGE(OFFSET($H$3,0,0,'Données projet'!$E$10+1,1))</f>
        <v>387.43382681395963</v>
      </c>
      <c r="AO13" s="59">
        <f t="shared" si="36"/>
        <v>184.78537400115721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102.2</v>
      </c>
      <c r="L14" s="12">
        <f>VLOOKUP(A14,'Données projet'!$A$35:$I$55,9,0)</f>
        <v>22.900000000000006</v>
      </c>
      <c r="M14" s="12">
        <f t="array" ref="M14">INDEX(L:L,MIN(IF(ISNUMBER(L14:L210),ROW(L14:L210),"")))</f>
        <v>22.900000000000006</v>
      </c>
      <c r="N14" s="13">
        <f>IF('Données projet'!$A$36&gt;35,N13+M14-V13,IF(A14&lt;'Données projet'!$A$36,$K$205^A14,IF(A14='Données projet'!$A$36,'Données projet'!$B$36,N13+M14-V13)))</f>
        <v>102.2</v>
      </c>
      <c r="O14" s="13">
        <f>N14*VLOOKUP('Données projet'!$B$9,Paramètres!$A$1:$I$89,3,0)*VLOOKUP('Données projet'!$B$9,Paramètres!$A$1:$I$89,5,0)</f>
        <v>51.974831999999999</v>
      </c>
      <c r="P14" s="13">
        <f t="shared" si="33"/>
        <v>15.122613159246479</v>
      </c>
      <c r="Q14" s="20">
        <f t="shared" si="2"/>
        <v>116.86138365235428</v>
      </c>
      <c r="R14" s="59">
        <f t="shared" si="0"/>
        <v>386.97249476346542</v>
      </c>
      <c r="S14" s="59">
        <f ca="1">AVERAGE(OFFSET($R$3,0,0,'Données projet'!$E$9+1,1))-AVERAGE(OFFSET($H$3,0,0,'Données projet'!$E$9+1,1))</f>
        <v>169.26131760015181</v>
      </c>
      <c r="T14" s="59">
        <f t="shared" si="34"/>
        <v>395.66019987830481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2.4423076923076925</v>
      </c>
      <c r="AI14" s="13">
        <f>IF('Données projet'!$A$62&gt;35,AI13+AH14-AQ13,IF(A14&lt;'Données projet'!$A$62,$AF$205^A14,IF(A14='Données projet'!$A$62,'Données projet'!$B$62,AI13+AH14-AQ13)))</f>
        <v>26.865384615384624</v>
      </c>
      <c r="AJ14" s="13">
        <f>AI14*VLOOKUP('Données projet'!$B$10,Paramètres!$A$1:$I$89,3,0)*VLOOKUP('Données projet'!$B$10,Paramètres!$A$1:$I$89,5,0)</f>
        <v>24.307800000000007</v>
      </c>
      <c r="AK14" s="13">
        <f t="shared" si="35"/>
        <v>7.7267511435768368</v>
      </c>
      <c r="AL14" s="20">
        <f t="shared" si="4"/>
        <v>55.793509908396324</v>
      </c>
      <c r="AM14" s="59">
        <f t="shared" si="5"/>
        <v>325.90462101950749</v>
      </c>
      <c r="AN14" s="59">
        <f ca="1">AVERAGE(OFFSET($AM$3,0,0,'Données projet'!$E$10+1,1))-AVERAGE(OFFSET($H$3,0,0,'Données projet'!$E$10+1,1))</f>
        <v>387.43382681395963</v>
      </c>
      <c r="AO14" s="59">
        <f t="shared" si="36"/>
        <v>184.78537400115721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128.1</v>
      </c>
      <c r="L15" s="12">
        <f>VLOOKUP(A15,'Données projet'!$A$35:$I$55,9,0)</f>
        <v>25.899999999999991</v>
      </c>
      <c r="M15" s="12">
        <f t="array" ref="M15">INDEX(L:L,MIN(IF(ISNUMBER(L15:L211),ROW(L15:L211),"")))</f>
        <v>25.899999999999991</v>
      </c>
      <c r="N15" s="13">
        <f>IF('Données projet'!$A$36&gt;35,N14+M15-V14,IF(A15&lt;'Données projet'!$A$36,$K$205^A15,IF(A15='Données projet'!$A$36,'Données projet'!$B$36,N14+M15-V14)))</f>
        <v>128.1</v>
      </c>
      <c r="O15" s="13">
        <f>N15*VLOOKUP('Données projet'!$B$9,Paramètres!$A$1:$I$89,3,0)*VLOOKUP('Données projet'!$B$9,Paramètres!$A$1:$I$89,5,0)</f>
        <v>65.146535999999998</v>
      </c>
      <c r="P15" s="13">
        <f t="shared" si="33"/>
        <v>18.463177395321228</v>
      </c>
      <c r="Q15" s="20">
        <f t="shared" si="2"/>
        <v>145.62025083018446</v>
      </c>
      <c r="R15" s="59">
        <f t="shared" si="0"/>
        <v>416.9535841635178</v>
      </c>
      <c r="S15" s="59">
        <f ca="1">AVERAGE(OFFSET($R$3,0,0,'Données projet'!$E$9+1,1))-AVERAGE(OFFSET($H$3,0,0,'Données projet'!$E$9+1,1))</f>
        <v>169.26131760015181</v>
      </c>
      <c r="T15" s="59">
        <f t="shared" si="34"/>
        <v>395.66019987830481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2.4423076923076925</v>
      </c>
      <c r="AI15" s="13">
        <f>IF('Données projet'!$A$62&gt;35,AI14+AH15-AQ14,IF(A15&lt;'Données projet'!$A$62,$AF$205^A15,IF(A15='Données projet'!$A$62,'Données projet'!$B$62,AI14+AH15-AQ14)))</f>
        <v>29.307692307692317</v>
      </c>
      <c r="AJ15" s="13">
        <f>AI15*VLOOKUP('Données projet'!$B$10,Paramètres!$A$1:$I$89,3,0)*VLOOKUP('Données projet'!$B$10,Paramètres!$A$1:$I$89,5,0)</f>
        <v>26.517600000000009</v>
      </c>
      <c r="AK15" s="13">
        <f t="shared" si="35"/>
        <v>8.3442421243381961</v>
      </c>
      <c r="AL15" s="20">
        <f t="shared" si="4"/>
        <v>60.717708366555691</v>
      </c>
      <c r="AM15" s="59">
        <f t="shared" si="5"/>
        <v>332.05104169988903</v>
      </c>
      <c r="AN15" s="59">
        <f ca="1">AVERAGE(OFFSET($AM$3,0,0,'Données projet'!$E$10+1,1))-AVERAGE(OFFSET($H$3,0,0,'Données projet'!$E$10+1,1))</f>
        <v>387.43382681395963</v>
      </c>
      <c r="AO15" s="59">
        <f t="shared" si="36"/>
        <v>184.78537400115721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156.5</v>
      </c>
      <c r="L16" s="12">
        <f>VLOOKUP(A16,'Données projet'!$A$35:$I$55,9,0)</f>
        <v>28.400000000000006</v>
      </c>
      <c r="M16" s="12">
        <f t="array" ref="M16">INDEX(L:L,MIN(IF(ISNUMBER(L16:L212),ROW(L16:L212),"")))</f>
        <v>28.400000000000006</v>
      </c>
      <c r="N16" s="13">
        <f>IF('Données projet'!$A$36&gt;35,N15+M16-V15,IF(A16&lt;'Données projet'!$A$36,$K$205^A16,IF(A16='Données projet'!$A$36,'Données projet'!$B$36,N15+M16-V15)))</f>
        <v>156.5</v>
      </c>
      <c r="O16" s="13">
        <f>N16*VLOOKUP('Données projet'!$B$9,Paramètres!$A$1:$I$89,3,0)*VLOOKUP('Données projet'!$B$9,Paramètres!$A$1:$I$89,5,0)</f>
        <v>79.589640000000003</v>
      </c>
      <c r="P16" s="13">
        <f t="shared" si="33"/>
        <v>22.036818964243619</v>
      </c>
      <c r="Q16" s="20">
        <f t="shared" si="2"/>
        <v>176.99941602939097</v>
      </c>
      <c r="R16" s="59">
        <f t="shared" si="0"/>
        <v>449.55497158494654</v>
      </c>
      <c r="S16" s="59">
        <f ca="1">AVERAGE(OFFSET($R$3,0,0,'Données projet'!$E$9+1,1))-AVERAGE(OFFSET($H$3,0,0,'Données projet'!$E$9+1,1))</f>
        <v>169.26131760015181</v>
      </c>
      <c r="T16" s="59">
        <f t="shared" si="34"/>
        <v>395.66019987830481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2.4423076923076925</v>
      </c>
      <c r="AI16" s="13">
        <f>IF('Données projet'!$A$62&gt;35,AI15+AH16-AQ15,IF(A16&lt;'Données projet'!$A$62,$AF$205^A16,IF(A16='Données projet'!$A$62,'Données projet'!$B$62,AI15+AH16-AQ15)))</f>
        <v>31.750000000000011</v>
      </c>
      <c r="AJ16" s="13">
        <f>AI16*VLOOKUP('Données projet'!$B$10,Paramètres!$A$1:$I$89,3,0)*VLOOKUP('Données projet'!$B$10,Paramètres!$A$1:$I$89,5,0)</f>
        <v>28.72740000000001</v>
      </c>
      <c r="AK16" s="13">
        <f t="shared" si="35"/>
        <v>8.9557651124482707</v>
      </c>
      <c r="AL16" s="20">
        <f t="shared" si="4"/>
        <v>65.63151257084742</v>
      </c>
      <c r="AM16" s="59">
        <f t="shared" si="5"/>
        <v>338.18706812640295</v>
      </c>
      <c r="AN16" s="59">
        <f ca="1">AVERAGE(OFFSET($AM$3,0,0,'Données projet'!$E$10+1,1))-AVERAGE(OFFSET($H$3,0,0,'Données projet'!$E$10+1,1))</f>
        <v>387.43382681395963</v>
      </c>
      <c r="AO16" s="59">
        <f t="shared" si="36"/>
        <v>184.78537400115721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186.9</v>
      </c>
      <c r="L17" s="12">
        <f>VLOOKUP(A17,'Données projet'!$A$35:$I$55,9,0)</f>
        <v>30.400000000000006</v>
      </c>
      <c r="M17" s="12">
        <f t="array" ref="M17">INDEX(L:L,MIN(IF(ISNUMBER(L17:L213),ROW(L17:L213),"")))</f>
        <v>30.400000000000006</v>
      </c>
      <c r="N17" s="13">
        <f>IF('Données projet'!$A$36&gt;35,N16+M17-V16,IF(A17&lt;'Données projet'!$A$36,$K$205^A17,IF(A17='Données projet'!$A$36,'Données projet'!$B$36,N16+M17-V16)))</f>
        <v>186.9</v>
      </c>
      <c r="O17" s="13">
        <f>N17*VLOOKUP('Données projet'!$B$9,Paramètres!$A$1:$I$89,3,0)*VLOOKUP('Données projet'!$B$9,Paramètres!$A$1:$I$89,5,0)</f>
        <v>95.049863999999999</v>
      </c>
      <c r="P17" s="13">
        <f t="shared" si="33"/>
        <v>25.779234085535325</v>
      </c>
      <c r="Q17" s="20">
        <f t="shared" si="2"/>
        <v>210.44401249897399</v>
      </c>
      <c r="R17" s="59">
        <f t="shared" si="0"/>
        <v>484.22179027675179</v>
      </c>
      <c r="S17" s="59">
        <f ca="1">AVERAGE(OFFSET($R$3,0,0,'Données projet'!$E$9+1,1))-AVERAGE(OFFSET($H$3,0,0,'Données projet'!$E$9+1,1))</f>
        <v>169.26131760015181</v>
      </c>
      <c r="T17" s="59">
        <f t="shared" si="34"/>
        <v>395.66019987830481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2.4423076923076925</v>
      </c>
      <c r="AI17" s="13">
        <f>IF('Données projet'!$A$62&gt;35,AI16+AH17-AQ16,IF(A17&lt;'Données projet'!$A$62,$AF$205^A17,IF(A17='Données projet'!$A$62,'Données projet'!$B$62,AI16+AH17-AQ16)))</f>
        <v>34.192307692307701</v>
      </c>
      <c r="AJ17" s="13">
        <f>AI17*VLOOKUP('Données projet'!$B$10,Paramètres!$A$1:$I$89,3,0)*VLOOKUP('Données projet'!$B$10,Paramètres!$A$1:$I$89,5,0)</f>
        <v>30.937200000000004</v>
      </c>
      <c r="AK17" s="13">
        <f t="shared" si="35"/>
        <v>9.5618313808447351</v>
      </c>
      <c r="AL17" s="20">
        <f t="shared" si="4"/>
        <v>70.535812988304585</v>
      </c>
      <c r="AM17" s="59">
        <f t="shared" si="5"/>
        <v>344.31359076608237</v>
      </c>
      <c r="AN17" s="59">
        <f ca="1">AVERAGE(OFFSET($AM$3,0,0,'Données projet'!$E$10+1,1))-AVERAGE(OFFSET($H$3,0,0,'Données projet'!$E$10+1,1))</f>
        <v>387.43382681395963</v>
      </c>
      <c r="AO17" s="59">
        <f t="shared" si="36"/>
        <v>184.78537400115721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218.6</v>
      </c>
      <c r="L18" s="12">
        <f>VLOOKUP(A18,'Données projet'!$A$35:$I$55,9,0)</f>
        <v>31.699999999999989</v>
      </c>
      <c r="M18" s="12">
        <f t="array" ref="M18">INDEX(L:L,MIN(IF(ISNUMBER(L18:L214),ROW(L18:L214),"")))</f>
        <v>31.699999999999989</v>
      </c>
      <c r="N18" s="13">
        <f>IF('Données projet'!$A$36&gt;35,N17+M18-V17,IF(A18&lt;'Données projet'!$A$36,$K$205^A18,IF(A18='Données projet'!$A$36,'Données projet'!$B$36,N17+M18-V17)))</f>
        <v>218.6</v>
      </c>
      <c r="O18" s="13">
        <f>N18*VLOOKUP('Données projet'!$B$9,Paramètres!$A$1:$I$89,3,0)*VLOOKUP('Données projet'!$B$9,Paramètres!$A$1:$I$89,5,0)</f>
        <v>111.171216</v>
      </c>
      <c r="P18" s="13">
        <f t="shared" si="33"/>
        <v>29.606761871905732</v>
      </c>
      <c r="Q18" s="20">
        <f t="shared" si="2"/>
        <v>245.18831146023581</v>
      </c>
      <c r="R18" s="59">
        <f t="shared" si="0"/>
        <v>520.18831146023581</v>
      </c>
      <c r="S18" s="59">
        <f ca="1">AVERAGE(OFFSET($R$3,0,0,'Données projet'!$E$9+1,1))-AVERAGE(OFFSET($H$3,0,0,'Données projet'!$E$9+1,1))</f>
        <v>169.26131760015181</v>
      </c>
      <c r="T18" s="59">
        <f t="shared" si="34"/>
        <v>395.66019987830481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2.4423076923076925</v>
      </c>
      <c r="AI18" s="13">
        <f>IF('Données projet'!$A$62&gt;35,AI17+AH18-AQ17,IF(A18&lt;'Données projet'!$A$62,$AF$205^A18,IF(A18='Données projet'!$A$62,'Données projet'!$B$62,AI17+AH18-AQ17)))</f>
        <v>36.634615384615394</v>
      </c>
      <c r="AJ18" s="13">
        <f>AI18*VLOOKUP('Données projet'!$B$10,Paramètres!$A$1:$I$89,3,0)*VLOOKUP('Données projet'!$B$10,Paramètres!$A$1:$I$89,5,0)</f>
        <v>33.147000000000006</v>
      </c>
      <c r="AK18" s="13">
        <f t="shared" si="35"/>
        <v>10.162875024740465</v>
      </c>
      <c r="AL18" s="20">
        <f t="shared" si="4"/>
        <v>75.431365668089654</v>
      </c>
      <c r="AM18" s="59">
        <f t="shared" si="5"/>
        <v>350.43136566808965</v>
      </c>
      <c r="AN18" s="59">
        <f ca="1">AVERAGE(OFFSET($AM$3,0,0,'Données projet'!$E$10+1,1))-AVERAGE(OFFSET($H$3,0,0,'Données projet'!$E$10+1,1))</f>
        <v>387.43382681395963</v>
      </c>
      <c r="AO18" s="59">
        <f t="shared" si="36"/>
        <v>184.78537400115721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250.7</v>
      </c>
      <c r="L19" s="12">
        <f>VLOOKUP(A19,'Données projet'!$A$35:$I$55,9,0)</f>
        <v>32.099999999999994</v>
      </c>
      <c r="M19" s="12">
        <f t="array" ref="M19">INDEX(L:L,MIN(IF(ISNUMBER(L19:L215),ROW(L19:L215),"")))</f>
        <v>32.099999999999994</v>
      </c>
      <c r="N19" s="13">
        <f>IF('Données projet'!$A$36&gt;35,N18+M19-V18,IF(A19&lt;'Données projet'!$A$36,$K$205^A19,IF(A19='Données projet'!$A$36,'Données projet'!$B$36,N18+M19-V18)))</f>
        <v>250.7</v>
      </c>
      <c r="O19" s="13">
        <f>N19*VLOOKUP('Données projet'!$B$9,Paramètres!$A$1:$I$89,3,0)*VLOOKUP('Données projet'!$B$9,Paramètres!$A$1:$I$89,5,0)</f>
        <v>127.495992</v>
      </c>
      <c r="P19" s="13">
        <f t="shared" si="33"/>
        <v>33.417103277589824</v>
      </c>
      <c r="Q19" s="20">
        <f t="shared" si="2"/>
        <v>280.25697427513563</v>
      </c>
      <c r="R19" s="59">
        <f t="shared" si="0"/>
        <v>556.47919649735786</v>
      </c>
      <c r="S19" s="59">
        <f ca="1">AVERAGE(OFFSET($R$3,0,0,'Données projet'!$E$9+1,1))-AVERAGE(OFFSET($H$3,0,0,'Données projet'!$E$9+1,1))</f>
        <v>169.26131760015181</v>
      </c>
      <c r="T19" s="59">
        <f t="shared" si="34"/>
        <v>395.66019987830481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2.4423076923076925</v>
      </c>
      <c r="AI19" s="13">
        <f>IF('Données projet'!$A$62&gt;35,AI18+AH19-AQ18,IF(A19&lt;'Données projet'!$A$62,$AF$205^A19,IF(A19='Données projet'!$A$62,'Données projet'!$B$62,AI18+AH19-AQ18)))</f>
        <v>39.076923076923087</v>
      </c>
      <c r="AJ19" s="13">
        <f>AI19*VLOOKUP('Données projet'!$B$10,Paramètres!$A$1:$I$89,3,0)*VLOOKUP('Données projet'!$B$10,Paramètres!$A$1:$I$89,5,0)</f>
        <v>35.356800000000007</v>
      </c>
      <c r="AK19" s="13">
        <f t="shared" si="35"/>
        <v>10.759268985483914</v>
      </c>
      <c r="AL19" s="20">
        <f t="shared" si="4"/>
        <v>80.318820149717823</v>
      </c>
      <c r="AM19" s="59">
        <f t="shared" si="5"/>
        <v>356.54104237194008</v>
      </c>
      <c r="AN19" s="59">
        <f ca="1">AVERAGE(OFFSET($AM$3,0,0,'Données projet'!$E$10+1,1))-AVERAGE(OFFSET($H$3,0,0,'Données projet'!$E$10+1,1))</f>
        <v>387.43382681395963</v>
      </c>
      <c r="AO19" s="59">
        <f t="shared" si="36"/>
        <v>184.78537400115721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267.3</v>
      </c>
      <c r="L20" s="12">
        <f>VLOOKUP(A20,'Données projet'!$A$35:$I$55,9,0)</f>
        <v>16.600000000000023</v>
      </c>
      <c r="M20" s="12">
        <f t="array" ref="M20">INDEX(L:L,MIN(IF(ISNUMBER(L20:L216),ROW(L20:L216),"")))</f>
        <v>16.600000000000023</v>
      </c>
      <c r="N20" s="13">
        <f>IF('Données projet'!$A$36&gt;35,N19+M20-V19,IF(A20&lt;'Données projet'!$A$36,$K$205^A20,IF(A20='Données projet'!$A$36,'Données projet'!$B$36,N19+M20-V19)))</f>
        <v>267.3</v>
      </c>
      <c r="O20" s="13">
        <f>N20*VLOOKUP('Données projet'!$B$9,Paramètres!$A$1:$I$89,3,0)*VLOOKUP('Données projet'!$B$9,Paramètres!$A$1:$I$89,5,0)</f>
        <v>135.93808800000002</v>
      </c>
      <c r="P20" s="13">
        <f t="shared" si="33"/>
        <v>35.364889981653441</v>
      </c>
      <c r="Q20" s="20">
        <f t="shared" si="2"/>
        <v>298.35268665137977</v>
      </c>
      <c r="R20" s="59">
        <f t="shared" si="0"/>
        <v>575.79713109582417</v>
      </c>
      <c r="S20" s="59">
        <f ca="1">AVERAGE(OFFSET($R$3,0,0,'Données projet'!$E$9+1,1))-AVERAGE(OFFSET($H$3,0,0,'Données projet'!$E$9+1,1))</f>
        <v>169.26131760015181</v>
      </c>
      <c r="T20" s="59">
        <f t="shared" si="34"/>
        <v>395.66019987830481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2.4423076923076925</v>
      </c>
      <c r="AI20" s="13">
        <f>IF('Données projet'!$A$62&gt;35,AI19+AH20-AQ19,IF(A20&lt;'Données projet'!$A$62,$AF$205^A20,IF(A20='Données projet'!$A$62,'Données projet'!$B$62,AI19+AH20-AQ19)))</f>
        <v>41.519230769230781</v>
      </c>
      <c r="AJ20" s="13">
        <f>AI20*VLOOKUP('Données projet'!$B$10,Paramètres!$A$1:$I$89,3,0)*VLOOKUP('Données projet'!$B$10,Paramètres!$A$1:$I$89,5,0)</f>
        <v>37.566600000000008</v>
      </c>
      <c r="AK20" s="13">
        <f t="shared" si="35"/>
        <v>11.351336951915854</v>
      </c>
      <c r="AL20" s="20">
        <f t="shared" si="4"/>
        <v>85.198740191253449</v>
      </c>
      <c r="AM20" s="59">
        <f t="shared" si="5"/>
        <v>362.64318463569793</v>
      </c>
      <c r="AN20" s="59">
        <f ca="1">AVERAGE(OFFSET($AM$3,0,0,'Données projet'!$E$10+1,1))-AVERAGE(OFFSET($H$3,0,0,'Données projet'!$E$10+1,1))</f>
        <v>387.43382681395963</v>
      </c>
      <c r="AO20" s="59">
        <f t="shared" si="36"/>
        <v>184.78537400115721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296.39999999999998</v>
      </c>
      <c r="L21" s="12">
        <f>VLOOKUP(A21,'Données projet'!$A$35:$I$55,9,0)</f>
        <v>29.099999999999966</v>
      </c>
      <c r="M21" s="12">
        <f t="array" ref="M21">INDEX(L:L,MIN(IF(ISNUMBER(L21:L217),ROW(L21:L217),"")))</f>
        <v>29.099999999999966</v>
      </c>
      <c r="N21" s="13">
        <f>IF('Données projet'!$A$36&gt;35,N20+M21-V20,IF(A21&lt;'Données projet'!$A$36,$K$205^A21,IF(A21='Données projet'!$A$36,'Données projet'!$B$36,N20+M21-V20)))</f>
        <v>296.39999999999998</v>
      </c>
      <c r="O21" s="13">
        <f>N21*VLOOKUP('Données projet'!$B$9,Paramètres!$A$1:$I$89,3,0)*VLOOKUP('Données projet'!$B$9,Paramètres!$A$1:$I$89,5,0)</f>
        <v>150.73718399999998</v>
      </c>
      <c r="P21" s="13">
        <f t="shared" si="33"/>
        <v>38.746065500032152</v>
      </c>
      <c r="Q21" s="20">
        <f t="shared" si="2"/>
        <v>330.01665954588935</v>
      </c>
      <c r="R21" s="59">
        <f t="shared" si="0"/>
        <v>608.68332621255604</v>
      </c>
      <c r="S21" s="59">
        <f ca="1">AVERAGE(OFFSET($R$3,0,0,'Données projet'!$E$9+1,1))-AVERAGE(OFFSET($H$3,0,0,'Données projet'!$E$9+1,1))</f>
        <v>169.26131760015181</v>
      </c>
      <c r="T21" s="59">
        <f t="shared" si="34"/>
        <v>395.66019987830481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2.4423076923076925</v>
      </c>
      <c r="AI21" s="13">
        <f>IF('Données projet'!$A$62&gt;35,AI20+AH21-AQ20,IF(A21&lt;'Données projet'!$A$62,$AF$205^A21,IF(A21='Données projet'!$A$62,'Données projet'!$B$62,AI20+AH21-AQ20)))</f>
        <v>43.961538461538474</v>
      </c>
      <c r="AJ21" s="13">
        <f>AI21*VLOOKUP('Données projet'!$B$10,Paramètres!$A$1:$I$89,3,0)*VLOOKUP('Données projet'!$B$10,Paramètres!$A$1:$I$89,5,0)</f>
        <v>39.77640000000001</v>
      </c>
      <c r="AK21" s="13">
        <f t="shared" si="35"/>
        <v>11.93936238061127</v>
      </c>
      <c r="AL21" s="20">
        <f t="shared" si="4"/>
        <v>90.071619479564632</v>
      </c>
      <c r="AM21" s="59">
        <f t="shared" si="5"/>
        <v>368.7382861462313</v>
      </c>
      <c r="AN21" s="59">
        <f ca="1">AVERAGE(OFFSET($AM$3,0,0,'Données projet'!$E$10+1,1))-AVERAGE(OFFSET($H$3,0,0,'Données projet'!$E$10+1,1))</f>
        <v>387.43382681395963</v>
      </c>
      <c r="AO21" s="59">
        <f t="shared" si="36"/>
        <v>184.78537400115721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322.7</v>
      </c>
      <c r="L22" s="12">
        <f>VLOOKUP(A22,'Données projet'!$A$35:$I$55,9,0)</f>
        <v>26.300000000000011</v>
      </c>
      <c r="M22" s="12">
        <f t="array" ref="M22">INDEX(L:L,MIN(IF(ISNUMBER(L22:L218),ROW(L22:L218),"")))</f>
        <v>26.300000000000011</v>
      </c>
      <c r="N22" s="13">
        <f>IF('Données projet'!$A$36&gt;35,N21+M22-V21,IF(A22&lt;'Données projet'!$A$36,$K$205^A22,IF(A22='Données projet'!$A$36,'Données projet'!$B$36,N21+M22-V21)))</f>
        <v>322.7</v>
      </c>
      <c r="O22" s="13">
        <f>N22*VLOOKUP('Données projet'!$B$9,Paramètres!$A$1:$I$89,3,0)*VLOOKUP('Données projet'!$B$9,Paramètres!$A$1:$I$89,5,0)</f>
        <v>164.112312</v>
      </c>
      <c r="P22" s="13">
        <f t="shared" si="33"/>
        <v>41.768684480919823</v>
      </c>
      <c r="Q22" s="20">
        <f t="shared" si="2"/>
        <v>358.57606887093539</v>
      </c>
      <c r="R22" s="59">
        <f t="shared" si="0"/>
        <v>638.4649577598243</v>
      </c>
      <c r="S22" s="59">
        <f ca="1">AVERAGE(OFFSET($R$3,0,0,'Données projet'!$E$9+1,1))-AVERAGE(OFFSET($H$3,0,0,'Données projet'!$E$9+1,1))</f>
        <v>169.26131760015181</v>
      </c>
      <c r="T22" s="59">
        <f t="shared" si="34"/>
        <v>395.66019987830481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2.4423076923076925</v>
      </c>
      <c r="AI22" s="13">
        <f>IF('Données projet'!$A$62&gt;35,AI21+AH22-AQ21,IF(A22&lt;'Données projet'!$A$62,$AF$205^A22,IF(A22='Données projet'!$A$62,'Données projet'!$B$62,AI21+AH22-AQ21)))</f>
        <v>46.403846153846168</v>
      </c>
      <c r="AJ22" s="13">
        <f>AI22*VLOOKUP('Données projet'!$B$10,Paramètres!$A$1:$I$89,3,0)*VLOOKUP('Données projet'!$B$10,Paramètres!$A$1:$I$89,5,0)</f>
        <v>41.986200000000011</v>
      </c>
      <c r="AK22" s="13">
        <f t="shared" si="35"/>
        <v>12.523595454155831</v>
      </c>
      <c r="AL22" s="20">
        <f t="shared" si="4"/>
        <v>94.937893749321418</v>
      </c>
      <c r="AM22" s="59">
        <f t="shared" si="5"/>
        <v>374.82678263821026</v>
      </c>
      <c r="AN22" s="59">
        <f ca="1">AVERAGE(OFFSET($AM$3,0,0,'Données projet'!$E$10+1,1))-AVERAGE(OFFSET($H$3,0,0,'Données projet'!$E$10+1,1))</f>
        <v>387.43382681395963</v>
      </c>
      <c r="AO22" s="59">
        <f t="shared" si="36"/>
        <v>184.78537400115721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328.5</v>
      </c>
      <c r="L23" s="12">
        <f>VLOOKUP(A23,'Données projet'!$A$35:$I$55,9,0)</f>
        <v>5.8000000000000114</v>
      </c>
      <c r="M23" s="12">
        <f t="array" ref="M23">INDEX(L:L,MIN(IF(ISNUMBER(L23:L219),ROW(L23:L219),"")))</f>
        <v>5.8000000000000114</v>
      </c>
      <c r="N23" s="13">
        <f>IF('Données projet'!$A$36&gt;35,N22+M23-V22,IF(A23&lt;'Données projet'!$A$36,$K$205^A23,IF(A23='Données projet'!$A$36,'Données projet'!$B$36,N22+M23-V22)))</f>
        <v>328.5</v>
      </c>
      <c r="O23" s="13">
        <f>N23*VLOOKUP('Données projet'!$B$9,Paramètres!$A$1:$I$89,3,0)*VLOOKUP('Données projet'!$B$9,Paramètres!$A$1:$I$89,5,0)</f>
        <v>167.06196000000003</v>
      </c>
      <c r="P23" s="13">
        <f t="shared" si="33"/>
        <v>42.431334194547404</v>
      </c>
      <c r="Q23" s="20">
        <f t="shared" si="2"/>
        <v>364.86748738883676</v>
      </c>
      <c r="R23" s="59">
        <f t="shared" si="0"/>
        <v>645.97859849994791</v>
      </c>
      <c r="S23" s="59">
        <f ca="1">AVERAGE(OFFSET($R$3,0,0,'Données projet'!$E$9+1,1))-AVERAGE(OFFSET($H$3,0,0,'Données projet'!$E$9+1,1))</f>
        <v>169.26131760015181</v>
      </c>
      <c r="T23" s="59">
        <f t="shared" si="34"/>
        <v>395.66019987830481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2.4423076923076925</v>
      </c>
      <c r="AI23" s="13">
        <f>IF('Données projet'!$A$62&gt;35,AI22+AH23-AQ22,IF(A23&lt;'Données projet'!$A$62,$AF$205^A23,IF(A23='Données projet'!$A$62,'Données projet'!$B$62,AI22+AH23-AQ22)))</f>
        <v>48.846153846153861</v>
      </c>
      <c r="AJ23" s="13">
        <f>AI23*VLOOKUP('Données projet'!$B$10,Paramètres!$A$1:$I$89,3,0)*VLOOKUP('Données projet'!$B$10,Paramètres!$A$1:$I$89,5,0)</f>
        <v>44.196000000000012</v>
      </c>
      <c r="AK23" s="13">
        <f t="shared" si="35"/>
        <v>13.104258532731833</v>
      </c>
      <c r="AL23" s="20">
        <f t="shared" si="4"/>
        <v>99.797950277841281</v>
      </c>
      <c r="AM23" s="59">
        <f t="shared" si="5"/>
        <v>380.90906138895241</v>
      </c>
      <c r="AN23" s="59">
        <f ca="1">AVERAGE(OFFSET($AM$3,0,0,'Données projet'!$E$10+1,1))-AVERAGE(OFFSET($H$3,0,0,'Données projet'!$E$10+1,1))</f>
        <v>387.43382681395963</v>
      </c>
      <c r="AO23" s="59">
        <f t="shared" si="36"/>
        <v>184.78537400115721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329.1</v>
      </c>
      <c r="L24" s="12">
        <f>VLOOKUP(A24,'Données projet'!$A$35:$I$55,9,0)</f>
        <v>0.60000000000002274</v>
      </c>
      <c r="M24" s="12">
        <f t="array" ref="M24">INDEX(L:L,MIN(IF(ISNUMBER(L24:L220),ROW(L24:L220),"")))</f>
        <v>0.60000000000002274</v>
      </c>
      <c r="N24" s="13">
        <f>IF('Données projet'!$A$36&gt;35,N23+M24-V23,IF(A24&lt;'Données projet'!$A$36,$K$205^A24,IF(A24='Données projet'!$A$36,'Données projet'!$B$36,N23+M24-V23)))</f>
        <v>329.1</v>
      </c>
      <c r="O24" s="13">
        <f>N24*VLOOKUP('Données projet'!$B$9,Paramètres!$A$1:$I$89,3,0)*VLOOKUP('Données projet'!$B$9,Paramètres!$A$1:$I$89,5,0)</f>
        <v>167.367096</v>
      </c>
      <c r="P24" s="13">
        <f t="shared" si="33"/>
        <v>42.499806055944447</v>
      </c>
      <c r="Q24" s="20">
        <f t="shared" si="2"/>
        <v>365.51818774743657</v>
      </c>
      <c r="R24" s="59">
        <f t="shared" si="0"/>
        <v>647.85152108076988</v>
      </c>
      <c r="S24" s="59">
        <f ca="1">AVERAGE(OFFSET($R$3,0,0,'Données projet'!$E$9+1,1))-AVERAGE(OFFSET($H$3,0,0,'Données projet'!$E$9+1,1))</f>
        <v>169.26131760015181</v>
      </c>
      <c r="T24" s="59">
        <f t="shared" si="34"/>
        <v>395.66019987830481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2.4423076923076925</v>
      </c>
      <c r="AI24" s="13">
        <f>IF('Données projet'!$A$62&gt;35,AI23+AH24-AQ23,IF(A24&lt;'Données projet'!$A$62,$AF$205^A24,IF(A24='Données projet'!$A$62,'Données projet'!$B$62,AI23+AH24-AQ23)))</f>
        <v>51.288461538461554</v>
      </c>
      <c r="AJ24" s="13">
        <f>AI24*VLOOKUP('Données projet'!$B$10,Paramètres!$A$1:$I$89,3,0)*VLOOKUP('Données projet'!$B$10,Paramètres!$A$1:$I$89,5,0)</f>
        <v>46.405800000000013</v>
      </c>
      <c r="AK24" s="13">
        <f t="shared" si="35"/>
        <v>13.681550484401901</v>
      </c>
      <c r="AL24" s="20">
        <f t="shared" si="4"/>
        <v>104.652135427</v>
      </c>
      <c r="AM24" s="59">
        <f t="shared" si="5"/>
        <v>386.98546876033333</v>
      </c>
      <c r="AN24" s="59">
        <f ca="1">AVERAGE(OFFSET($AM$3,0,0,'Données projet'!$E$10+1,1))-AVERAGE(OFFSET($H$3,0,0,'Données projet'!$E$10+1,1))</f>
        <v>387.43382681395963</v>
      </c>
      <c r="AO24" s="59">
        <f t="shared" si="36"/>
        <v>184.78537400115721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332.1</v>
      </c>
      <c r="L25" s="12">
        <f>VLOOKUP(A25,'Données projet'!$A$35:$I$55,9,0)</f>
        <v>3</v>
      </c>
      <c r="M25" s="12">
        <f t="array" ref="M25">INDEX(L:L,MIN(IF(ISNUMBER(L25:L221),ROW(L25:L221),"")))</f>
        <v>3</v>
      </c>
      <c r="N25" s="13">
        <f>IF('Données projet'!$A$36&gt;35,N24+M25-V24,IF(A25&lt;'Données projet'!$A$36,$K$205^A25,IF(A25='Données projet'!$A$36,'Données projet'!$B$36,N24+M25-V24)))</f>
        <v>332.1</v>
      </c>
      <c r="O25" s="13">
        <f>N25*VLOOKUP('Données projet'!$B$9,Paramètres!$A$1:$I$89,3,0)*VLOOKUP('Données projet'!$B$9,Paramètres!$A$1:$I$89,5,0)</f>
        <v>168.89277600000003</v>
      </c>
      <c r="P25" s="13">
        <f t="shared" si="33"/>
        <v>42.841948013061774</v>
      </c>
      <c r="Q25" s="20">
        <f t="shared" si="2"/>
        <v>368.77131098941595</v>
      </c>
      <c r="R25" s="59">
        <f t="shared" si="0"/>
        <v>652.32686654497149</v>
      </c>
      <c r="S25" s="59">
        <f ca="1">AVERAGE(OFFSET($R$3,0,0,'Données projet'!$E$9+1,1))-AVERAGE(OFFSET($H$3,0,0,'Données projet'!$E$9+1,1))</f>
        <v>169.26131760015181</v>
      </c>
      <c r="T25" s="59">
        <f t="shared" si="34"/>
        <v>395.66019987830481</v>
      </c>
      <c r="U25" s="15" t="str">
        <f>IF(ISNA(VLOOKUP(A25,'Données projet'!$A$35:$I$55,3,0)),0,VLOOKUP(A25,'Données projet'!$A$35:$I$55,3,0))</f>
        <v>CR</v>
      </c>
      <c r="V25" s="15">
        <f>IF(ISNA(VLOOKUP(A25,'Données projet'!$A$35:$I$55,4,0)),0,VLOOKUP(A25,'Données projet'!$A$35:$I$55,4,0))</f>
        <v>332.1</v>
      </c>
      <c r="W25" s="16">
        <f>IF(ISNA(VLOOKUP(A25,'Données projet'!$A$35:$I$55,5,0)),0%,VLOOKUP(A25,'Données projet'!$A$35:$I$55,5,0)*VLOOKUP('Données projet'!$B$9,Paramètres!$A$1:$I$89,7,0))</f>
        <v>0.46199999999999997</v>
      </c>
      <c r="X25" s="16">
        <f>IF(ISNA(VLOOKUP(A25,'Données projet'!$A$35:$I$55,6,0)),0%,VLOOKUP(A25,'Données projet'!$A$35:$I$55,6,0)*VLOOKUP('Données projet'!$B$9,Paramètres!$A$1:$I$89,7,0))</f>
        <v>0.126</v>
      </c>
      <c r="Y25" s="16">
        <f>IF(ISNA(VLOOKUP(A25,'Données projet'!$A$35:$I$55,7,0)),0%,VLOOKUP(A25,'Données projet'!$A$35:$I$55,7,0))</f>
        <v>0.02</v>
      </c>
      <c r="Z25" s="21">
        <f>EXP(-LN(2)/35)*Z24+(1-EXP(-LN(2)/35))/(LN(2)/35)*V25*W25*VLOOKUP('Données projet'!$B$9,Paramètres!$A$1:$I$89,3,0)*0.475*44/12</f>
        <v>86.258154067513217</v>
      </c>
      <c r="AA25" s="21">
        <f>EXP(-LN(2)/25)*AA24+(1-EXP(-LN(2)/25))/(LN(2)/25)*Calculateur!V25*Calculateur!X25*VLOOKUP('Données projet'!$B$9,Paramètres!$A$1:$I$89,3,0)*0.475*44/12</f>
        <v>23.432324413095273</v>
      </c>
      <c r="AB25" s="21">
        <f>EXP(-LN(2)/2)*AB24+(1-EXP(-LN(2)/2))/(LN(2)/2)*V25*Y25*VLOOKUP('Données projet'!$B$9,Paramètres!$A$1:$I$89,3,0)*0.475*44/12</f>
        <v>3.1870975967683797</v>
      </c>
      <c r="AC25" s="22">
        <f t="shared" si="3"/>
        <v>112.87757607737687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2.4423076923076925</v>
      </c>
      <c r="AI25" s="13">
        <f>IF('Données projet'!$A$62&gt;35,AI24+AH25-AQ24,IF(A25&lt;'Données projet'!$A$62,$AF$205^A25,IF(A25='Données projet'!$A$62,'Données projet'!$B$62,AI24+AH25-AQ24)))</f>
        <v>53.730769230769248</v>
      </c>
      <c r="AJ25" s="13">
        <f>AI25*VLOOKUP('Données projet'!$B$10,Paramètres!$A$1:$I$89,3,0)*VLOOKUP('Données projet'!$B$10,Paramètres!$A$1:$I$89,5,0)</f>
        <v>48.615600000000015</v>
      </c>
      <c r="AK25" s="13">
        <f t="shared" si="35"/>
        <v>14.255650167206925</v>
      </c>
      <c r="AL25" s="20">
        <f t="shared" si="4"/>
        <v>109.50076070788542</v>
      </c>
      <c r="AM25" s="59">
        <f t="shared" si="5"/>
        <v>393.05631626344098</v>
      </c>
      <c r="AN25" s="59">
        <f ca="1">AVERAGE(OFFSET($AM$3,0,0,'Données projet'!$E$10+1,1))-AVERAGE(OFFSET($H$3,0,0,'Données projet'!$E$10+1,1))</f>
        <v>387.43382681395963</v>
      </c>
      <c r="AO25" s="59">
        <f t="shared" si="36"/>
        <v>184.78537400115721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169.26131760015181</v>
      </c>
      <c r="T26" s="59">
        <f t="shared" si="34"/>
        <v>395.66019987830481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84.566684278528228</v>
      </c>
      <c r="AA26" s="21">
        <f>EXP(-LN(2)/25)*AA25+(1-EXP(-LN(2)/25))/(LN(2)/25)*Calculateur!V26*Calculateur!X26*VLOOKUP('Données projet'!$B$9,Paramètres!$A$1:$I$89,3,0)*0.475*44/12</f>
        <v>22.791566269766797</v>
      </c>
      <c r="AB26" s="21">
        <f>EXP(-LN(2)/2)*AB25+(1-EXP(-LN(2)/2))/(LN(2)/2)*V26*Y26*VLOOKUP('Données projet'!$B$9,Paramètres!$A$1:$I$89,3,0)*0.475*44/12</f>
        <v>2.2536183229782702</v>
      </c>
      <c r="AC26" s="22">
        <f t="shared" si="3"/>
        <v>109.61186887127329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2.4423076923076925</v>
      </c>
      <c r="AI26" s="13">
        <f>IF('Données projet'!$A$62&gt;35,AI25+AH26-AQ25,IF(A26&lt;'Données projet'!$A$62,$AF$205^A26,IF(A26='Données projet'!$A$62,'Données projet'!$B$62,AI25+AH26-AQ25)))</f>
        <v>56.173076923076941</v>
      </c>
      <c r="AJ26" s="13">
        <f>AI26*VLOOKUP('Données projet'!$B$10,Paramètres!$A$1:$I$89,3,0)*VLOOKUP('Données projet'!$B$10,Paramètres!$A$1:$I$89,5,0)</f>
        <v>50.825400000000016</v>
      </c>
      <c r="AK26" s="13">
        <f t="shared" si="35"/>
        <v>14.826719260258802</v>
      </c>
      <c r="AL26" s="20">
        <f t="shared" si="4"/>
        <v>114.34410771161743</v>
      </c>
      <c r="AM26" s="59">
        <f t="shared" si="5"/>
        <v>399.1218854893952</v>
      </c>
      <c r="AN26" s="59">
        <f ca="1">AVERAGE(OFFSET($AM$3,0,0,'Données projet'!$E$10+1,1))-AVERAGE(OFFSET($H$3,0,0,'Données projet'!$E$10+1,1))</f>
        <v>387.43382681395963</v>
      </c>
      <c r="AO26" s="59">
        <f t="shared" si="36"/>
        <v>184.78537400115721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169.26131760015181</v>
      </c>
      <c r="T27" s="59">
        <f t="shared" si="34"/>
        <v>395.66019987830481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82.908383180410539</v>
      </c>
      <c r="AA27" s="21">
        <f>EXP(-LN(2)/25)*AA26+(1-EXP(-LN(2)/25))/(LN(2)/25)*Calculateur!V27*Calculateur!X27*VLOOKUP('Données projet'!$B$9,Paramètres!$A$1:$I$89,3,0)*0.475*44/12</f>
        <v>22.168329691563645</v>
      </c>
      <c r="AB27" s="21">
        <f>EXP(-LN(2)/2)*AB26+(1-EXP(-LN(2)/2))/(LN(2)/2)*V27*Y27*VLOOKUP('Données projet'!$B$9,Paramètres!$A$1:$I$89,3,0)*0.475*44/12</f>
        <v>1.5935487983841901</v>
      </c>
      <c r="AC27" s="22">
        <f t="shared" si="3"/>
        <v>106.67026167035837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2.4423076923076925</v>
      </c>
      <c r="AI27" s="13">
        <f>IF('Données projet'!$A$62&gt;35,AI26+AH27-AQ26,IF(A27&lt;'Données projet'!$A$62,$AF$205^A27,IF(A27='Données projet'!$A$62,'Données projet'!$B$62,AI26+AH27-AQ26)))</f>
        <v>58.615384615384635</v>
      </c>
      <c r="AJ27" s="13">
        <f>AI27*VLOOKUP('Données projet'!$B$10,Paramètres!$A$1:$I$89,3,0)*VLOOKUP('Données projet'!$B$10,Paramètres!$A$1:$I$89,5,0)</f>
        <v>53.035200000000017</v>
      </c>
      <c r="AK27" s="13">
        <f t="shared" si="35"/>
        <v>15.394904588576118</v>
      </c>
      <c r="AL27" s="20">
        <f t="shared" si="4"/>
        <v>119.18243215843677</v>
      </c>
      <c r="AM27" s="59">
        <f t="shared" si="5"/>
        <v>405.18243215843677</v>
      </c>
      <c r="AN27" s="59">
        <f ca="1">AVERAGE(OFFSET($AM$3,0,0,'Données projet'!$E$10+1,1))-AVERAGE(OFFSET($H$3,0,0,'Données projet'!$E$10+1,1))</f>
        <v>387.43382681395963</v>
      </c>
      <c r="AO27" s="59">
        <f t="shared" si="36"/>
        <v>184.78537400115721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169.26131760015181</v>
      </c>
      <c r="T28" s="59">
        <f t="shared" si="34"/>
        <v>395.66019987830481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81.282600355363144</v>
      </c>
      <c r="AA28" s="21">
        <f>EXP(-LN(2)/25)*AA27+(1-EXP(-LN(2)/25))/(LN(2)/25)*Calculateur!V28*Calculateur!X28*VLOOKUP('Données projet'!$B$9,Paramètres!$A$1:$I$89,3,0)*0.475*44/12</f>
        <v>21.562135550366044</v>
      </c>
      <c r="AB28" s="21">
        <f>EXP(-LN(2)/2)*AB27+(1-EXP(-LN(2)/2))/(LN(2)/2)*V28*Y28*VLOOKUP('Données projet'!$B$9,Paramètres!$A$1:$I$89,3,0)*0.475*44/12</f>
        <v>1.1268091614891353</v>
      </c>
      <c r="AC28" s="22">
        <f t="shared" si="3"/>
        <v>103.97154506721832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2.4423076923076925</v>
      </c>
      <c r="AI28" s="13">
        <f>IF('Données projet'!$A$62&gt;35,AI27+AH28-AQ27,IF(A28&lt;'Données projet'!$A$62,$AF$205^A28,IF(A28='Données projet'!$A$62,'Données projet'!$B$62,AI27+AH28-AQ27)))</f>
        <v>61.057692307692328</v>
      </c>
      <c r="AJ28" s="13">
        <f>AI28*VLOOKUP('Données projet'!$B$10,Paramètres!$A$1:$I$89,3,0)*VLOOKUP('Données projet'!$B$10,Paramètres!$A$1:$I$89,5,0)</f>
        <v>55.245000000000019</v>
      </c>
      <c r="AK28" s="13">
        <f t="shared" si="35"/>
        <v>15.960340049529075</v>
      </c>
      <c r="AL28" s="20">
        <f t="shared" si="4"/>
        <v>124.01596725292983</v>
      </c>
      <c r="AM28" s="59">
        <f t="shared" si="5"/>
        <v>411.23818947515207</v>
      </c>
      <c r="AN28" s="59">
        <f ca="1">AVERAGE(OFFSET($AM$3,0,0,'Données projet'!$E$10+1,1))-AVERAGE(OFFSET($H$3,0,0,'Données projet'!$E$10+1,1))</f>
        <v>387.43382681395963</v>
      </c>
      <c r="AO28" s="59">
        <f t="shared" si="36"/>
        <v>184.78537400115721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169.26131760015181</v>
      </c>
      <c r="T29" s="59">
        <f t="shared" si="34"/>
        <v>395.66019987830481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79.688698139885318</v>
      </c>
      <c r="AA29" s="21">
        <f>EXP(-LN(2)/25)*AA28+(1-EXP(-LN(2)/25))/(LN(2)/25)*Calculateur!V29*Calculateur!X29*VLOOKUP('Données projet'!$B$9,Paramètres!$A$1:$I$89,3,0)*0.475*44/12</f>
        <v>20.972517819837858</v>
      </c>
      <c r="AB29" s="21">
        <f>EXP(-LN(2)/2)*AB28+(1-EXP(-LN(2)/2))/(LN(2)/2)*V29*Y29*VLOOKUP('Données projet'!$B$9,Paramètres!$A$1:$I$89,3,0)*0.475*44/12</f>
        <v>0.79677439919209514</v>
      </c>
      <c r="AC29" s="22">
        <f t="shared" si="3"/>
        <v>101.45799035891527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2.4423076923076925</v>
      </c>
      <c r="AI29" s="13">
        <f>IF('Données projet'!$A$62&gt;35,AI28+AH29-AQ28,IF(A29&lt;'Données projet'!$A$62,$AF$205^A29,IF(A29='Données projet'!$A$62,'Données projet'!$B$62,AI28+AH29-AQ28)))</f>
        <v>63.500000000000021</v>
      </c>
      <c r="AJ29" s="13">
        <f>AI29*VLOOKUP('Données projet'!$B$10,Paramètres!$A$1:$I$89,3,0)*VLOOKUP('Données projet'!$B$10,Paramètres!$A$1:$I$89,5,0)</f>
        <v>57.45480000000002</v>
      </c>
      <c r="AK29" s="13">
        <f t="shared" si="35"/>
        <v>16.523148222376751</v>
      </c>
      <c r="AL29" s="20">
        <f t="shared" si="4"/>
        <v>128.8449264873062</v>
      </c>
      <c r="AM29" s="59">
        <f t="shared" si="5"/>
        <v>417.28937093175068</v>
      </c>
      <c r="AN29" s="59">
        <f ca="1">AVERAGE(OFFSET($AM$3,0,0,'Données projet'!$E$10+1,1))-AVERAGE(OFFSET($H$3,0,0,'Données projet'!$E$10+1,1))</f>
        <v>387.43382681395963</v>
      </c>
      <c r="AO29" s="59">
        <f t="shared" si="36"/>
        <v>184.78537400115721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169.26131760015181</v>
      </c>
      <c r="T30" s="59">
        <f t="shared" si="34"/>
        <v>395.66019987830481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78.126051374668663</v>
      </c>
      <c r="AA30" s="21">
        <f>EXP(-LN(2)/25)*AA29+(1-EXP(-LN(2)/25))/(LN(2)/25)*Calculateur!V30*Calculateur!X30*VLOOKUP('Données projet'!$B$9,Paramètres!$A$1:$I$89,3,0)*0.475*44/12</f>
        <v>20.399023217157612</v>
      </c>
      <c r="AB30" s="21">
        <f>EXP(-LN(2)/2)*AB29+(1-EXP(-LN(2)/2))/(LN(2)/2)*V30*Y30*VLOOKUP('Données projet'!$B$9,Paramètres!$A$1:$I$89,3,0)*0.475*44/12</f>
        <v>0.56340458074456767</v>
      </c>
      <c r="AC30" s="22">
        <f t="shared" si="3"/>
        <v>99.088479172570842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2.4423076923076925</v>
      </c>
      <c r="AI30" s="13">
        <f>IF('Données projet'!$A$62&gt;35,AI29+AH30-AQ29,IF(A30&lt;'Données projet'!$A$62,$AF$205^A30,IF(A30='Données projet'!$A$62,'Données projet'!$B$62,AI29+AH30-AQ29)))</f>
        <v>65.942307692307708</v>
      </c>
      <c r="AJ30" s="13">
        <f>AI30*VLOOKUP('Données projet'!$B$10,Paramètres!$A$1:$I$89,3,0)*VLOOKUP('Données projet'!$B$10,Paramètres!$A$1:$I$89,5,0)</f>
        <v>59.664600000000014</v>
      </c>
      <c r="AK30" s="13">
        <f t="shared" si="35"/>
        <v>17.083441723218392</v>
      </c>
      <c r="AL30" s="20">
        <f t="shared" si="4"/>
        <v>133.66950600127205</v>
      </c>
      <c r="AM30" s="59">
        <f t="shared" si="5"/>
        <v>423.33617266793874</v>
      </c>
      <c r="AN30" s="59">
        <f ca="1">AVERAGE(OFFSET($AM$3,0,0,'Données projet'!$E$10+1,1))-AVERAGE(OFFSET($H$3,0,0,'Données projet'!$E$10+1,1))</f>
        <v>387.43382681395963</v>
      </c>
      <c r="AO30" s="59">
        <f t="shared" si="36"/>
        <v>184.78537400115721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169.26131760015181</v>
      </c>
      <c r="T31" s="59">
        <f t="shared" si="34"/>
        <v>395.66019987830481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76.594047159397491</v>
      </c>
      <c r="AA31" s="21">
        <f>EXP(-LN(2)/25)*AA30+(1-EXP(-LN(2)/25))/(LN(2)/25)*Calculateur!V31*Calculateur!X31*VLOOKUP('Données projet'!$B$9,Paramètres!$A$1:$I$89,3,0)*0.475*44/12</f>
        <v>19.841210854546429</v>
      </c>
      <c r="AB31" s="21">
        <f>EXP(-LN(2)/2)*AB30+(1-EXP(-LN(2)/2))/(LN(2)/2)*V31*Y31*VLOOKUP('Données projet'!$B$9,Paramètres!$A$1:$I$89,3,0)*0.475*44/12</f>
        <v>0.39838719959604757</v>
      </c>
      <c r="AC31" s="22">
        <f t="shared" si="3"/>
        <v>96.833645213539967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2.4423076923076925</v>
      </c>
      <c r="AI31" s="13">
        <f>IF('Données projet'!$A$62&gt;35,AI30+AH31-AQ30,IF(A31&lt;'Données projet'!$A$62,$AF$205^A31,IF(A31='Données projet'!$A$62,'Données projet'!$B$62,AI30+AH31-AQ30)))</f>
        <v>68.384615384615401</v>
      </c>
      <c r="AJ31" s="13">
        <f>AI31*VLOOKUP('Données projet'!$B$10,Paramètres!$A$1:$I$89,3,0)*VLOOKUP('Données projet'!$B$10,Paramètres!$A$1:$I$89,5,0)</f>
        <v>61.874400000000009</v>
      </c>
      <c r="AK31" s="13">
        <f t="shared" si="35"/>
        <v>17.641324353568287</v>
      </c>
      <c r="AL31" s="20">
        <f t="shared" si="4"/>
        <v>138.48988658246478</v>
      </c>
      <c r="AM31" s="59">
        <f t="shared" si="5"/>
        <v>429.37877547135361</v>
      </c>
      <c r="AN31" s="59">
        <f ca="1">AVERAGE(OFFSET($AM$3,0,0,'Données projet'!$E$10+1,1))-AVERAGE(OFFSET($H$3,0,0,'Données projet'!$E$10+1,1))</f>
        <v>387.43382681395963</v>
      </c>
      <c r="AO31" s="59">
        <f t="shared" si="36"/>
        <v>184.78537400115721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169.26131760015181</v>
      </c>
      <c r="T32" s="59">
        <f t="shared" si="34"/>
        <v>395.66019987830481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75.092084612357482</v>
      </c>
      <c r="AA32" s="21">
        <f>EXP(-LN(2)/25)*AA31+(1-EXP(-LN(2)/25))/(LN(2)/25)*Calculateur!V32*Calculateur!X32*VLOOKUP('Données projet'!$B$9,Paramètres!$A$1:$I$89,3,0)*0.475*44/12</f>
        <v>19.298651900324927</v>
      </c>
      <c r="AB32" s="21">
        <f>EXP(-LN(2)/2)*AB31+(1-EXP(-LN(2)/2))/(LN(2)/2)*V32*Y32*VLOOKUP('Données projet'!$B$9,Paramètres!$A$1:$I$89,3,0)*0.475*44/12</f>
        <v>0.28170229037228384</v>
      </c>
      <c r="AC32" s="22">
        <f t="shared" si="3"/>
        <v>94.672438803054689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2.4423076923076925</v>
      </c>
      <c r="AI32" s="13">
        <f>IF('Données projet'!$A$62&gt;35,AI31+AH32-AQ31,IF(A32&lt;'Données projet'!$A$62,$AF$205^A32,IF(A32='Données projet'!$A$62,'Données projet'!$B$62,AI31+AH32-AQ31)))</f>
        <v>70.826923076923094</v>
      </c>
      <c r="AJ32" s="13">
        <f>AI32*VLOOKUP('Données projet'!$B$10,Paramètres!$A$1:$I$89,3,0)*VLOOKUP('Données projet'!$B$10,Paramètres!$A$1:$I$89,5,0)</f>
        <v>64.084200000000024</v>
      </c>
      <c r="AK32" s="13">
        <f t="shared" si="35"/>
        <v>18.196892080237518</v>
      </c>
      <c r="AL32" s="20">
        <f t="shared" si="4"/>
        <v>143.30623537308037</v>
      </c>
      <c r="AM32" s="59">
        <f t="shared" si="5"/>
        <v>435.41734648419151</v>
      </c>
      <c r="AN32" s="59">
        <f ca="1">AVERAGE(OFFSET($AM$3,0,0,'Données projet'!$E$10+1,1))-AVERAGE(OFFSET($H$3,0,0,'Données projet'!$E$10+1,1))</f>
        <v>387.43382681395963</v>
      </c>
      <c r="AO32" s="59">
        <f t="shared" si="36"/>
        <v>184.78537400115721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169.26131760015181</v>
      </c>
      <c r="T33" s="59">
        <f t="shared" si="34"/>
        <v>395.66019987830481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73.619574634758223</v>
      </c>
      <c r="AA33" s="21">
        <f>EXP(-LN(2)/25)*AA32+(1-EXP(-LN(2)/25))/(LN(2)/25)*Calculateur!V33*Calculateur!X33*VLOOKUP('Données projet'!$B$9,Paramètres!$A$1:$I$89,3,0)*0.475*44/12</f>
        <v>18.770929249238545</v>
      </c>
      <c r="AB33" s="21">
        <f>EXP(-LN(2)/2)*AB32+(1-EXP(-LN(2)/2))/(LN(2)/2)*V33*Y33*VLOOKUP('Données projet'!$B$9,Paramètres!$A$1:$I$89,3,0)*0.475*44/12</f>
        <v>0.19919359979802378</v>
      </c>
      <c r="AC33" s="22">
        <f t="shared" si="3"/>
        <v>92.589697483794794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2.4423076923076925</v>
      </c>
      <c r="AI33" s="13">
        <f>IF('Données projet'!$A$62&gt;35,AI32+AH33-AQ32,IF(A33&lt;'Données projet'!$A$62,$AF$205^A33,IF(A33='Données projet'!$A$62,'Données projet'!$B$62,AI32+AH33-AQ32)))</f>
        <v>73.269230769230788</v>
      </c>
      <c r="AJ33" s="13">
        <f>AI33*VLOOKUP('Données projet'!$B$10,Paramètres!$A$1:$I$89,3,0)*VLOOKUP('Données projet'!$B$10,Paramètres!$A$1:$I$89,5,0)</f>
        <v>66.294000000000011</v>
      </c>
      <c r="AK33" s="13">
        <f t="shared" si="35"/>
        <v>18.750233876262516</v>
      </c>
      <c r="AL33" s="20">
        <f t="shared" si="4"/>
        <v>148.11870733449055</v>
      </c>
      <c r="AM33" s="59">
        <f t="shared" si="5"/>
        <v>441.45204066782389</v>
      </c>
      <c r="AN33" s="59">
        <f ca="1">AVERAGE(OFFSET($AM$3,0,0,'Données projet'!$E$10+1,1))-AVERAGE(OFFSET($H$3,0,0,'Données projet'!$E$10+1,1))</f>
        <v>387.43382681395963</v>
      </c>
      <c r="AO33" s="59">
        <f t="shared" si="36"/>
        <v>184.78537400115721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169.26131760015181</v>
      </c>
      <c r="T34" s="59">
        <f t="shared" si="34"/>
        <v>395.66019987830481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72.175939679677285</v>
      </c>
      <c r="AA34" s="21">
        <f>EXP(-LN(2)/25)*AA33+(1-EXP(-LN(2)/25))/(LN(2)/25)*Calculateur!V34*Calculateur!X34*VLOOKUP('Données projet'!$B$9,Paramètres!$A$1:$I$89,3,0)*0.475*44/12</f>
        <v>18.257637201797849</v>
      </c>
      <c r="AB34" s="21">
        <f>EXP(-LN(2)/2)*AB33+(1-EXP(-LN(2)/2))/(LN(2)/2)*V34*Y34*VLOOKUP('Données projet'!$B$9,Paramètres!$A$1:$I$89,3,0)*0.475*44/12</f>
        <v>0.14085114518614192</v>
      </c>
      <c r="AC34" s="22">
        <f t="shared" si="3"/>
        <v>90.57442802666128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2.4423076923076925</v>
      </c>
      <c r="AI34" s="13">
        <f>IF('Données projet'!$A$62&gt;35,AI33+AH34-AQ33,IF(A34&lt;'Données projet'!$A$62,$AF$205^A34,IF(A34='Données projet'!$A$62,'Données projet'!$B$62,AI33+AH34-AQ33)))</f>
        <v>75.711538461538481</v>
      </c>
      <c r="AJ34" s="13">
        <f>AI34*VLOOKUP('Données projet'!$B$10,Paramètres!$A$1:$I$89,3,0)*VLOOKUP('Données projet'!$B$10,Paramètres!$A$1:$I$89,5,0)</f>
        <v>68.503800000000012</v>
      </c>
      <c r="AK34" s="13">
        <f t="shared" si="35"/>
        <v>19.301432446560082</v>
      </c>
      <c r="AL34" s="20">
        <f t="shared" si="4"/>
        <v>152.92744651109214</v>
      </c>
      <c r="AM34" s="59">
        <f t="shared" si="5"/>
        <v>446.26077984442543</v>
      </c>
      <c r="AN34" s="59">
        <f ca="1">AVERAGE(OFFSET($AM$3,0,0,'Données projet'!$E$10+1,1))-AVERAGE(OFFSET($H$3,0,0,'Données projet'!$E$10+1,1))</f>
        <v>387.43382681395963</v>
      </c>
      <c r="AO34" s="59">
        <f t="shared" si="36"/>
        <v>184.78537400115721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169.26131760015181</v>
      </c>
      <c r="T35" s="59">
        <f t="shared" si="34"/>
        <v>395.66019987830481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70.760613525535106</v>
      </c>
      <c r="AA35" s="21">
        <f>EXP(-LN(2)/25)*AA34+(1-EXP(-LN(2)/25))/(LN(2)/25)*Calculateur!V35*Calculateur!X35*VLOOKUP('Données projet'!$B$9,Paramètres!$A$1:$I$89,3,0)*0.475*44/12</f>
        <v>17.758381152387276</v>
      </c>
      <c r="AB35" s="21">
        <f>EXP(-LN(2)/2)*AB34+(1-EXP(-LN(2)/2))/(LN(2)/2)*V35*Y35*VLOOKUP('Données projet'!$B$9,Paramètres!$A$1:$I$89,3,0)*0.475*44/12</f>
        <v>9.9596799899011892E-2</v>
      </c>
      <c r="AC35" s="22">
        <f t="shared" si="3"/>
        <v>88.618591477821397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2.4423076923076925</v>
      </c>
      <c r="AI35" s="13">
        <f>IF('Données projet'!$A$62&gt;35,AI34+AH35-AQ34,IF(A35&lt;'Données projet'!$A$62,$AF$205^A35,IF(A35='Données projet'!$A$62,'Données projet'!$B$62,AI34+AH35-AQ34)))</f>
        <v>78.153846153846175</v>
      </c>
      <c r="AJ35" s="13">
        <f>AI35*VLOOKUP('Données projet'!$B$10,Paramètres!$A$1:$I$89,3,0)*VLOOKUP('Données projet'!$B$10,Paramètres!$A$1:$I$89,5,0)</f>
        <v>70.713600000000014</v>
      </c>
      <c r="AK35" s="13">
        <f t="shared" si="35"/>
        <v>19.850564857319299</v>
      </c>
      <c r="AL35" s="20">
        <f t="shared" si="4"/>
        <v>157.7325871264978</v>
      </c>
      <c r="AM35" s="59">
        <f t="shared" si="5"/>
        <v>451.06592045983109</v>
      </c>
      <c r="AN35" s="59">
        <f ca="1">AVERAGE(OFFSET($AM$3,0,0,'Données projet'!$E$10+1,1))-AVERAGE(OFFSET($H$3,0,0,'Données projet'!$E$10+1,1))</f>
        <v>387.43382681395963</v>
      </c>
      <c r="AO35" s="59">
        <f t="shared" si="36"/>
        <v>184.78537400115721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169.26131760015181</v>
      </c>
      <c r="T36" s="59">
        <f t="shared" si="34"/>
        <v>395.66019987830481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69.373041054011949</v>
      </c>
      <c r="AA36" s="21">
        <f>EXP(-LN(2)/25)*AA35+(1-EXP(-LN(2)/25))/(LN(2)/25)*Calculateur!V36*Calculateur!X36*VLOOKUP('Données projet'!$B$9,Paramètres!$A$1:$I$89,3,0)*0.475*44/12</f>
        <v>17.272777285902567</v>
      </c>
      <c r="AB36" s="21">
        <f>EXP(-LN(2)/2)*AB35+(1-EXP(-LN(2)/2))/(LN(2)/2)*V36*Y36*VLOOKUP('Données projet'!$B$9,Paramètres!$A$1:$I$89,3,0)*0.475*44/12</f>
        <v>7.0425572593070959E-2</v>
      </c>
      <c r="AC36" s="22">
        <f t="shared" si="3"/>
        <v>86.716243912507579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2.4423076923076925</v>
      </c>
      <c r="AI36" s="13">
        <f>IF('Données projet'!$A$62&gt;35,AI35+AH36-AQ35,IF(A36&lt;'Données projet'!$A$62,$AF$205^A36,IF(A36='Données projet'!$A$62,'Données projet'!$B$62,AI35+AH36-AQ35)))</f>
        <v>80.596153846153868</v>
      </c>
      <c r="AJ36" s="13">
        <f>AI36*VLOOKUP('Données projet'!$B$10,Paramètres!$A$1:$I$89,3,0)*VLOOKUP('Données projet'!$B$10,Paramètres!$A$1:$I$89,5,0)</f>
        <v>72.923400000000015</v>
      </c>
      <c r="AK36" s="13">
        <f t="shared" si="35"/>
        <v>20.397703084509246</v>
      </c>
      <c r="AL36" s="20">
        <f t="shared" si="4"/>
        <v>162.53425453885362</v>
      </c>
      <c r="AM36" s="59">
        <f t="shared" si="5"/>
        <v>455.86758787218696</v>
      </c>
      <c r="AN36" s="59">
        <f ca="1">AVERAGE(OFFSET($AM$3,0,0,'Données projet'!$E$10+1,1))-AVERAGE(OFFSET($H$3,0,0,'Données projet'!$E$10+1,1))</f>
        <v>387.43382681395963</v>
      </c>
      <c r="AO36" s="59">
        <f t="shared" si="36"/>
        <v>184.78537400115721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169.26131760015181</v>
      </c>
      <c r="T37" s="59">
        <f t="shared" si="34"/>
        <v>395.66019987830481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68.012678032319712</v>
      </c>
      <c r="AA37" s="21">
        <f>EXP(-LN(2)/25)*AA36+(1-EXP(-LN(2)/25))/(LN(2)/25)*Calculateur!V37*Calculateur!X37*VLOOKUP('Données projet'!$B$9,Paramètres!$A$1:$I$89,3,0)*0.475*44/12</f>
        <v>16.800452282683683</v>
      </c>
      <c r="AB37" s="21">
        <f>EXP(-LN(2)/2)*AB36+(1-EXP(-LN(2)/2))/(LN(2)/2)*V37*Y37*VLOOKUP('Données projet'!$B$9,Paramètres!$A$1:$I$89,3,0)*0.475*44/12</f>
        <v>4.9798399949505946E-2</v>
      </c>
      <c r="AC37" s="22">
        <f t="shared" si="3"/>
        <v>84.862928714952901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2.4423076923076925</v>
      </c>
      <c r="AI37" s="13">
        <f>IF('Données projet'!$A$62&gt;35,AI36+AH37-AQ36,IF(A37&lt;'Données projet'!$A$62,$AF$205^A37,IF(A37='Données projet'!$A$62,'Données projet'!$B$62,AI36+AH37-AQ36)))</f>
        <v>83.038461538461561</v>
      </c>
      <c r="AJ37" s="13">
        <f>AI37*VLOOKUP('Données projet'!$B$10,Paramètres!$A$1:$I$89,3,0)*VLOOKUP('Données projet'!$B$10,Paramètres!$A$1:$I$89,5,0)</f>
        <v>75.133200000000016</v>
      </c>
      <c r="AK37" s="13">
        <f t="shared" si="35"/>
        <v>20.942914494033012</v>
      </c>
      <c r="AL37" s="20">
        <f t="shared" si="4"/>
        <v>167.33256607710749</v>
      </c>
      <c r="AM37" s="59">
        <f t="shared" si="5"/>
        <v>460.66589941044083</v>
      </c>
      <c r="AN37" s="59">
        <f ca="1">AVERAGE(OFFSET($AM$3,0,0,'Données projet'!$E$10+1,1))-AVERAGE(OFFSET($H$3,0,0,'Données projet'!$E$10+1,1))</f>
        <v>387.43382681395963</v>
      </c>
      <c r="AO37" s="59">
        <f t="shared" si="36"/>
        <v>184.78537400115721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169.26131760015181</v>
      </c>
      <c r="T38" s="59">
        <f t="shared" si="34"/>
        <v>395.66019987830481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66.678990899743354</v>
      </c>
      <c r="AA38" s="21">
        <f>EXP(-LN(2)/25)*AA37+(1-EXP(-LN(2)/25))/(LN(2)/25)*Calculateur!V38*Calculateur!X38*VLOOKUP('Données projet'!$B$9,Paramètres!$A$1:$I$89,3,0)*0.475*44/12</f>
        <v>16.34104303151631</v>
      </c>
      <c r="AB38" s="21">
        <f>EXP(-LN(2)/2)*AB37+(1-EXP(-LN(2)/2))/(LN(2)/2)*V38*Y38*VLOOKUP('Données projet'!$B$9,Paramètres!$A$1:$I$89,3,0)*0.475*44/12</f>
        <v>3.521278629653548E-2</v>
      </c>
      <c r="AC38" s="22">
        <f t="shared" si="3"/>
        <v>83.055246717556201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2.4423076923076925</v>
      </c>
      <c r="AI38" s="13">
        <f>IF('Données projet'!$A$62&gt;35,AI37+AH38-AQ37,IF(A38&lt;'Données projet'!$A$62,$AF$205^A38,IF(A38='Données projet'!$A$62,'Données projet'!$B$62,AI37+AH38-AQ37)))</f>
        <v>85.480769230769255</v>
      </c>
      <c r="AJ38" s="13">
        <f>AI38*VLOOKUP('Données projet'!$B$10,Paramètres!$A$1:$I$89,3,0)*VLOOKUP('Données projet'!$B$10,Paramètres!$A$1:$I$89,5,0)</f>
        <v>77.343000000000018</v>
      </c>
      <c r="AK38" s="13">
        <f t="shared" si="35"/>
        <v>21.48626226380561</v>
      </c>
      <c r="AL38" s="20">
        <f t="shared" si="4"/>
        <v>172.12763177612814</v>
      </c>
      <c r="AM38" s="59">
        <f t="shared" si="5"/>
        <v>465.46096510946143</v>
      </c>
      <c r="AN38" s="59">
        <f ca="1">AVERAGE(OFFSET($AM$3,0,0,'Données projet'!$E$10+1,1))-AVERAGE(OFFSET($H$3,0,0,'Données projet'!$E$10+1,1))</f>
        <v>387.43382681395963</v>
      </c>
      <c r="AO38" s="59">
        <f t="shared" si="36"/>
        <v>184.78537400115721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169.26131760015181</v>
      </c>
      <c r="T39" s="59">
        <f t="shared" si="34"/>
        <v>395.66019987830481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65.371456558367996</v>
      </c>
      <c r="AA39" s="21">
        <f>EXP(-LN(2)/25)*AA38+(1-EXP(-LN(2)/25))/(LN(2)/25)*Calculateur!V39*Calculateur!X39*VLOOKUP('Données projet'!$B$9,Paramètres!$A$1:$I$89,3,0)*0.475*44/12</f>
        <v>15.894196350481392</v>
      </c>
      <c r="AB39" s="21">
        <f>EXP(-LN(2)/2)*AB38+(1-EXP(-LN(2)/2))/(LN(2)/2)*V39*Y39*VLOOKUP('Données projet'!$B$9,Paramètres!$A$1:$I$89,3,0)*0.475*44/12</f>
        <v>2.4899199974752973E-2</v>
      </c>
      <c r="AC39" s="22">
        <f t="shared" si="3"/>
        <v>81.290552108824144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2.4423076923076925</v>
      </c>
      <c r="AI39" s="13">
        <f>IF('Données projet'!$A$62&gt;35,AI38+AH39-AQ38,IF(A39&lt;'Données projet'!$A$62,$AF$205^A39,IF(A39='Données projet'!$A$62,'Données projet'!$B$62,AI38+AH39-AQ38)))</f>
        <v>87.923076923076948</v>
      </c>
      <c r="AJ39" s="13">
        <f>AI39*VLOOKUP('Données projet'!$B$10,Paramètres!$A$1:$I$89,3,0)*VLOOKUP('Données projet'!$B$10,Paramètres!$A$1:$I$89,5,0)</f>
        <v>79.552800000000019</v>
      </c>
      <c r="AK39" s="13">
        <f t="shared" si="35"/>
        <v>22.027805756238603</v>
      </c>
      <c r="AL39" s="20">
        <f t="shared" si="4"/>
        <v>176.91955502544894</v>
      </c>
      <c r="AM39" s="59">
        <f t="shared" si="5"/>
        <v>470.25288835878223</v>
      </c>
      <c r="AN39" s="59">
        <f ca="1">AVERAGE(OFFSET($AM$3,0,0,'Données projet'!$E$10+1,1))-AVERAGE(OFFSET($H$3,0,0,'Données projet'!$E$10+1,1))</f>
        <v>387.43382681395963</v>
      </c>
      <c r="AO39" s="59">
        <f t="shared" si="36"/>
        <v>184.78537400115721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169.26131760015181</v>
      </c>
      <c r="T40" s="59">
        <f t="shared" si="34"/>
        <v>395.66019987830481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64.089562167909804</v>
      </c>
      <c r="AA40" s="21">
        <f>EXP(-LN(2)/25)*AA39+(1-EXP(-LN(2)/25))/(LN(2)/25)*Calculateur!V40*Calculateur!X40*VLOOKUP('Données projet'!$B$9,Paramètres!$A$1:$I$89,3,0)*0.475*44/12</f>
        <v>15.459568715438019</v>
      </c>
      <c r="AB40" s="21">
        <f>EXP(-LN(2)/2)*AB39+(1-EXP(-LN(2)/2))/(LN(2)/2)*V40*Y40*VLOOKUP('Données projet'!$B$9,Paramètres!$A$1:$I$89,3,0)*0.475*44/12</f>
        <v>1.760639314826774E-2</v>
      </c>
      <c r="AC40" s="22">
        <f t="shared" si="3"/>
        <v>79.566737276496099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2.4423076923076925</v>
      </c>
      <c r="AI40" s="13">
        <f>IF('Données projet'!$A$62&gt;35,AI39+AH40-AQ39,IF(A40&lt;'Données projet'!$A$62,$AF$205^A40,IF(A40='Données projet'!$A$62,'Données projet'!$B$62,AI39+AH40-AQ39)))</f>
        <v>90.365384615384642</v>
      </c>
      <c r="AJ40" s="13">
        <f>AI40*VLOOKUP('Données projet'!$B$10,Paramètres!$A$1:$I$89,3,0)*VLOOKUP('Données projet'!$B$10,Paramètres!$A$1:$I$89,5,0)</f>
        <v>81.76260000000002</v>
      </c>
      <c r="AK40" s="13">
        <f t="shared" si="35"/>
        <v>22.567600848174017</v>
      </c>
      <c r="AL40" s="20">
        <f t="shared" si="4"/>
        <v>181.70843314390311</v>
      </c>
      <c r="AM40" s="59">
        <f t="shared" si="5"/>
        <v>475.04176647723642</v>
      </c>
      <c r="AN40" s="59">
        <f ca="1">AVERAGE(OFFSET($AM$3,0,0,'Données projet'!$E$10+1,1))-AVERAGE(OFFSET($H$3,0,0,'Données projet'!$E$10+1,1))</f>
        <v>387.43382681395963</v>
      </c>
      <c r="AO40" s="59">
        <f t="shared" si="36"/>
        <v>184.78537400115721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169.26131760015181</v>
      </c>
      <c r="T41" s="59">
        <f t="shared" si="34"/>
        <v>395.66019987830481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62.832804944570121</v>
      </c>
      <c r="AA41" s="21">
        <f>EXP(-LN(2)/25)*AA40+(1-EXP(-LN(2)/25))/(LN(2)/25)*Calculateur!V41*Calculateur!X41*VLOOKUP('Données projet'!$B$9,Paramètres!$A$1:$I$89,3,0)*0.475*44/12</f>
        <v>15.036825995930981</v>
      </c>
      <c r="AB41" s="21">
        <f>EXP(-LN(2)/2)*AB40+(1-EXP(-LN(2)/2))/(LN(2)/2)*V41*Y41*VLOOKUP('Données projet'!$B$9,Paramètres!$A$1:$I$89,3,0)*0.475*44/12</f>
        <v>1.2449599987376487E-2</v>
      </c>
      <c r="AC41" s="22">
        <f t="shared" si="3"/>
        <v>77.882080540488474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2.4423076923076925</v>
      </c>
      <c r="AI41" s="13">
        <f>IF('Données projet'!$A$62&gt;35,AI40+AH41-AQ40,IF(A41&lt;'Données projet'!$A$62,$AF$205^A41,IF(A41='Données projet'!$A$62,'Données projet'!$B$62,AI40+AH41-AQ40)))</f>
        <v>92.807692307692335</v>
      </c>
      <c r="AJ41" s="13">
        <f>AI41*VLOOKUP('Données projet'!$B$10,Paramètres!$A$1:$I$89,3,0)*VLOOKUP('Données projet'!$B$10,Paramètres!$A$1:$I$89,5,0)</f>
        <v>83.972400000000022</v>
      </c>
      <c r="AK41" s="13">
        <f t="shared" si="35"/>
        <v>23.105700224146609</v>
      </c>
      <c r="AL41" s="20">
        <f t="shared" si="4"/>
        <v>186.49435789038873</v>
      </c>
      <c r="AM41" s="59">
        <f t="shared" si="5"/>
        <v>479.82769122372201</v>
      </c>
      <c r="AN41" s="59">
        <f ca="1">AVERAGE(OFFSET($AM$3,0,0,'Données projet'!$E$10+1,1))-AVERAGE(OFFSET($H$3,0,0,'Données projet'!$E$10+1,1))</f>
        <v>387.43382681395963</v>
      </c>
      <c r="AO41" s="59">
        <f t="shared" si="36"/>
        <v>184.78537400115721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169.26131760015181</v>
      </c>
      <c r="T42" s="59">
        <f t="shared" si="34"/>
        <v>395.66019987830481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61.600691963833917</v>
      </c>
      <c r="AA42" s="21">
        <f>EXP(-LN(2)/25)*AA41+(1-EXP(-LN(2)/25))/(LN(2)/25)*Calculateur!V42*Calculateur!X42*VLOOKUP('Données projet'!$B$9,Paramètres!$A$1:$I$89,3,0)*0.475*44/12</f>
        <v>14.625643198319937</v>
      </c>
      <c r="AB42" s="21">
        <f>EXP(-LN(2)/2)*AB41+(1-EXP(-LN(2)/2))/(LN(2)/2)*V42*Y42*VLOOKUP('Données projet'!$B$9,Paramètres!$A$1:$I$89,3,0)*0.475*44/12</f>
        <v>8.8031965741338699E-3</v>
      </c>
      <c r="AC42" s="22">
        <f t="shared" si="3"/>
        <v>76.235138358727994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2.4423076923076925</v>
      </c>
      <c r="AI42" s="13">
        <f>IF('Données projet'!$A$62&gt;35,AI41+AH42-AQ41,IF(A42&lt;'Données projet'!$A$62,$AF$205^A42,IF(A42='Données projet'!$A$62,'Données projet'!$B$62,AI41+AH42-AQ41)))</f>
        <v>95.250000000000028</v>
      </c>
      <c r="AJ42" s="13">
        <f>AI42*VLOOKUP('Données projet'!$B$10,Paramètres!$A$1:$I$89,3,0)*VLOOKUP('Données projet'!$B$10,Paramètres!$A$1:$I$89,5,0)</f>
        <v>86.182200000000023</v>
      </c>
      <c r="AK42" s="13">
        <f t="shared" si="35"/>
        <v>23.642153637908169</v>
      </c>
      <c r="AL42" s="20">
        <f t="shared" si="4"/>
        <v>191.27741591935674</v>
      </c>
      <c r="AM42" s="59">
        <f t="shared" si="5"/>
        <v>484.61074925269008</v>
      </c>
      <c r="AN42" s="59">
        <f ca="1">AVERAGE(OFFSET($AM$3,0,0,'Données projet'!$E$10+1,1))-AVERAGE(OFFSET($H$3,0,0,'Données projet'!$E$10+1,1))</f>
        <v>387.43382681395963</v>
      </c>
      <c r="AO42" s="59">
        <f t="shared" si="36"/>
        <v>184.78537400115721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169.26131760015181</v>
      </c>
      <c r="T43" s="59">
        <f t="shared" si="34"/>
        <v>395.66019987830481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60.392739967135235</v>
      </c>
      <c r="AA43" s="21">
        <f>EXP(-LN(2)/25)*AA42+(1-EXP(-LN(2)/25))/(LN(2)/25)*Calculateur!V43*Calculateur!X43*VLOOKUP('Données projet'!$B$9,Paramètres!$A$1:$I$89,3,0)*0.475*44/12</f>
        <v>14.22570421593273</v>
      </c>
      <c r="AB43" s="21">
        <f>EXP(-LN(2)/2)*AB42+(1-EXP(-LN(2)/2))/(LN(2)/2)*V43*Y43*VLOOKUP('Données projet'!$B$9,Paramètres!$A$1:$I$89,3,0)*0.475*44/12</f>
        <v>6.2247999936882433E-3</v>
      </c>
      <c r="AC43" s="22">
        <f t="shared" si="3"/>
        <v>74.624668983061653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2.4423076923076925</v>
      </c>
      <c r="AI43" s="13">
        <f>IF('Données projet'!$A$62&gt;35,AI42+AH43-AQ42,IF(A43&lt;'Données projet'!$A$62,$AF$205^A43,IF(A43='Données projet'!$A$62,'Données projet'!$B$62,AI42+AH43-AQ42)))</f>
        <v>97.692307692307722</v>
      </c>
      <c r="AJ43" s="13">
        <f>AI43*VLOOKUP('Données projet'!$B$10,Paramètres!$A$1:$I$89,3,0)*VLOOKUP('Données projet'!$B$10,Paramètres!$A$1:$I$89,5,0)</f>
        <v>88.392000000000024</v>
      </c>
      <c r="AK43" s="13">
        <f t="shared" si="35"/>
        <v>24.177008146373939</v>
      </c>
      <c r="AL43" s="20">
        <f t="shared" si="4"/>
        <v>196.05768918826797</v>
      </c>
      <c r="AM43" s="59">
        <f t="shared" si="5"/>
        <v>489.39102252160126</v>
      </c>
      <c r="AN43" s="59">
        <f ca="1">AVERAGE(OFFSET($AM$3,0,0,'Données projet'!$E$10+1,1))-AVERAGE(OFFSET($H$3,0,0,'Données projet'!$E$10+1,1))</f>
        <v>387.43382681395963</v>
      </c>
      <c r="AO43" s="59">
        <f t="shared" si="36"/>
        <v>184.78537400115721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169.26131760015181</v>
      </c>
      <c r="T44" s="59">
        <f t="shared" si="34"/>
        <v>395.66019987830481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59.208475172313847</v>
      </c>
      <c r="AA44" s="21">
        <f>EXP(-LN(2)/25)*AA43+(1-EXP(-LN(2)/25))/(LN(2)/25)*Calculateur!V44*Calculateur!X44*VLOOKUP('Données projet'!$B$9,Paramètres!$A$1:$I$89,3,0)*0.475*44/12</f>
        <v>13.836701586050777</v>
      </c>
      <c r="AB44" s="21">
        <f>EXP(-LN(2)/2)*AB43+(1-EXP(-LN(2)/2))/(LN(2)/2)*V44*Y44*VLOOKUP('Données projet'!$B$9,Paramètres!$A$1:$I$89,3,0)*0.475*44/12</f>
        <v>4.4015982870669349E-3</v>
      </c>
      <c r="AC44" s="22">
        <f t="shared" si="3"/>
        <v>73.049578356651679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2.4423076923076925</v>
      </c>
      <c r="AI44" s="13">
        <f>IF('Données projet'!$A$62&gt;35,AI43+AH44-AQ43,IF(A44&lt;'Données projet'!$A$62,$AF$205^A44,IF(A44='Données projet'!$A$62,'Données projet'!$B$62,AI43+AH44-AQ43)))</f>
        <v>100.13461538461542</v>
      </c>
      <c r="AJ44" s="13">
        <f>AI44*VLOOKUP('Données projet'!$B$10,Paramètres!$A$1:$I$89,3,0)*VLOOKUP('Données projet'!$B$10,Paramètres!$A$1:$I$89,5,0)</f>
        <v>90.601800000000026</v>
      </c>
      <c r="AK44" s="13">
        <f t="shared" si="35"/>
        <v>24.710308319515875</v>
      </c>
      <c r="AL44" s="20">
        <f t="shared" si="4"/>
        <v>200.83525532315684</v>
      </c>
      <c r="AM44" s="59">
        <f t="shared" si="5"/>
        <v>494.16858865649016</v>
      </c>
      <c r="AN44" s="59">
        <f ca="1">AVERAGE(OFFSET($AM$3,0,0,'Données projet'!$E$10+1,1))-AVERAGE(OFFSET($H$3,0,0,'Données projet'!$E$10+1,1))</f>
        <v>387.43382681395963</v>
      </c>
      <c r="AO44" s="59">
        <f t="shared" si="36"/>
        <v>184.78537400115721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169.26131760015181</v>
      </c>
      <c r="T45" s="59">
        <f t="shared" si="34"/>
        <v>395.66019987830481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58.047433087788704</v>
      </c>
      <c r="AA45" s="21">
        <f>EXP(-LN(2)/25)*AA44+(1-EXP(-LN(2)/25))/(LN(2)/25)*Calculateur!V45*Calculateur!X45*VLOOKUP('Données projet'!$B$9,Paramètres!$A$1:$I$89,3,0)*0.475*44/12</f>
        <v>13.458336253539708</v>
      </c>
      <c r="AB45" s="21">
        <f>EXP(-LN(2)/2)*AB44+(1-EXP(-LN(2)/2))/(LN(2)/2)*V45*Y45*VLOOKUP('Données projet'!$B$9,Paramètres!$A$1:$I$89,3,0)*0.475*44/12</f>
        <v>3.1123999968441216E-3</v>
      </c>
      <c r="AC45" s="22">
        <f t="shared" si="3"/>
        <v>71.508881741325254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2.4423076923076925</v>
      </c>
      <c r="AI45" s="13">
        <f>IF('Données projet'!$A$62&gt;35,AI44+AH45-AQ44,IF(A45&lt;'Données projet'!$A$62,$AF$205^A45,IF(A45='Données projet'!$A$62,'Données projet'!$B$62,AI44+AH45-AQ44)))</f>
        <v>102.57692307692311</v>
      </c>
      <c r="AJ45" s="13">
        <f>AI45*VLOOKUP('Données projet'!$B$10,Paramètres!$A$1:$I$89,3,0)*VLOOKUP('Données projet'!$B$10,Paramètres!$A$1:$I$89,5,0)</f>
        <v>92.811600000000027</v>
      </c>
      <c r="AK45" s="13">
        <f t="shared" si="35"/>
        <v>25.242096429202068</v>
      </c>
      <c r="AL45" s="20">
        <f t="shared" si="4"/>
        <v>205.61018794752695</v>
      </c>
      <c r="AM45" s="59">
        <f t="shared" si="5"/>
        <v>498.9435212808603</v>
      </c>
      <c r="AN45" s="59">
        <f ca="1">AVERAGE(OFFSET($AM$3,0,0,'Données projet'!$E$10+1,1))-AVERAGE(OFFSET($H$3,0,0,'Données projet'!$E$10+1,1))</f>
        <v>387.43382681395963</v>
      </c>
      <c r="AO45" s="59">
        <f t="shared" si="36"/>
        <v>184.78537400115721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169.26131760015181</v>
      </c>
      <c r="T46" s="59">
        <f t="shared" si="34"/>
        <v>395.66019987830481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56.909158330375355</v>
      </c>
      <c r="AA46" s="21">
        <f>EXP(-LN(2)/25)*AA45+(1-EXP(-LN(2)/25))/(LN(2)/25)*Calculateur!V46*Calculateur!X46*VLOOKUP('Données projet'!$B$9,Paramètres!$A$1:$I$89,3,0)*0.475*44/12</f>
        <v>13.090317340943519</v>
      </c>
      <c r="AB46" s="21">
        <f>EXP(-LN(2)/2)*AB45+(1-EXP(-LN(2)/2))/(LN(2)/2)*V46*Y46*VLOOKUP('Données projet'!$B$9,Paramètres!$A$1:$I$89,3,0)*0.475*44/12</f>
        <v>2.2007991435334675E-3</v>
      </c>
      <c r="AC46" s="22">
        <f t="shared" si="3"/>
        <v>70.001676470462414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2.4423076923076925</v>
      </c>
      <c r="AI46" s="13">
        <f>IF('Données projet'!$A$62&gt;35,AI45+AH46-AQ45,IF(A46&lt;'Données projet'!$A$62,$AF$205^A46,IF(A46='Données projet'!$A$62,'Données projet'!$B$62,AI45+AH46-AQ45)))</f>
        <v>105.0192307692308</v>
      </c>
      <c r="AJ46" s="13">
        <f>AI46*VLOOKUP('Données projet'!$B$10,Paramètres!$A$1:$I$89,3,0)*VLOOKUP('Données projet'!$B$10,Paramètres!$A$1:$I$89,5,0)</f>
        <v>95.021400000000028</v>
      </c>
      <c r="AK46" s="13">
        <f t="shared" si="35"/>
        <v>25.772412619544667</v>
      </c>
      <c r="AL46" s="20">
        <f t="shared" si="4"/>
        <v>210.38255697904034</v>
      </c>
      <c r="AM46" s="59">
        <f t="shared" si="5"/>
        <v>503.71589031237363</v>
      </c>
      <c r="AN46" s="59">
        <f ca="1">AVERAGE(OFFSET($AM$3,0,0,'Données projet'!$E$10+1,1))-AVERAGE(OFFSET($H$3,0,0,'Données projet'!$E$10+1,1))</f>
        <v>387.43382681395963</v>
      </c>
      <c r="AO46" s="59">
        <f t="shared" si="36"/>
        <v>184.78537400115721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169.26131760015181</v>
      </c>
      <c r="T47" s="59">
        <f t="shared" si="34"/>
        <v>395.66019987830481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55.793204446675837</v>
      </c>
      <c r="AA47" s="21">
        <f>EXP(-LN(2)/25)*AA46+(1-EXP(-LN(2)/25))/(LN(2)/25)*Calculateur!V47*Calculateur!X47*VLOOKUP('Données projet'!$B$9,Paramètres!$A$1:$I$89,3,0)*0.475*44/12</f>
        <v>12.732361924865549</v>
      </c>
      <c r="AB47" s="21">
        <f>EXP(-LN(2)/2)*AB46+(1-EXP(-LN(2)/2))/(LN(2)/2)*V47*Y47*VLOOKUP('Données projet'!$B$9,Paramètres!$A$1:$I$89,3,0)*0.475*44/12</f>
        <v>1.5561999984220608E-3</v>
      </c>
      <c r="AC47" s="22">
        <f t="shared" si="3"/>
        <v>68.527122571539806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2.4423076923076925</v>
      </c>
      <c r="AI47" s="13">
        <f>IF('Données projet'!$A$62&gt;35,AI46+AH47-AQ46,IF(A47&lt;'Données projet'!$A$62,$AF$205^A47,IF(A47='Données projet'!$A$62,'Données projet'!$B$62,AI46+AH47-AQ46)))</f>
        <v>107.4615384615385</v>
      </c>
      <c r="AJ47" s="13">
        <f>AI47*VLOOKUP('Données projet'!$B$10,Paramètres!$A$1:$I$89,3,0)*VLOOKUP('Données projet'!$B$10,Paramètres!$A$1:$I$89,5,0)</f>
        <v>97.23120000000003</v>
      </c>
      <c r="AK47" s="13">
        <f t="shared" si="35"/>
        <v>26.301295060955127</v>
      </c>
      <c r="AL47" s="20">
        <f t="shared" si="4"/>
        <v>215.15242889783022</v>
      </c>
      <c r="AM47" s="59">
        <f t="shared" si="5"/>
        <v>508.48576223116356</v>
      </c>
      <c r="AN47" s="59">
        <f ca="1">AVERAGE(OFFSET($AM$3,0,0,'Données projet'!$E$10+1,1))-AVERAGE(OFFSET($H$3,0,0,'Données projet'!$E$10+1,1))</f>
        <v>387.43382681395963</v>
      </c>
      <c r="AO47" s="59">
        <f t="shared" si="36"/>
        <v>184.78537400115721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169.26131760015181</v>
      </c>
      <c r="T48" s="59">
        <f t="shared" si="34"/>
        <v>395.66019987830481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54.699133737971003</v>
      </c>
      <c r="AA48" s="21">
        <f>EXP(-LN(2)/25)*AA47+(1-EXP(-LN(2)/25))/(LN(2)/25)*Calculateur!V48*Calculateur!X48*VLOOKUP('Données projet'!$B$9,Paramètres!$A$1:$I$89,3,0)*0.475*44/12</f>
        <v>12.384194818464287</v>
      </c>
      <c r="AB48" s="21">
        <f>EXP(-LN(2)/2)*AB47+(1-EXP(-LN(2)/2))/(LN(2)/2)*V48*Y48*VLOOKUP('Données projet'!$B$9,Paramètres!$A$1:$I$89,3,0)*0.475*44/12</f>
        <v>1.1003995717667337E-3</v>
      </c>
      <c r="AC48" s="22">
        <f t="shared" si="3"/>
        <v>67.084428956007059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2.4423076923076925</v>
      </c>
      <c r="AI48" s="13">
        <f>IF('Données projet'!$A$62&gt;35,AI47+AH48-AQ47,IF(A48&lt;'Données projet'!$A$62,$AF$205^A48,IF(A48='Données projet'!$A$62,'Données projet'!$B$62,AI47+AH48-AQ47)))</f>
        <v>109.90384615384619</v>
      </c>
      <c r="AJ48" s="13">
        <f>AI48*VLOOKUP('Données projet'!$B$10,Paramètres!$A$1:$I$89,3,0)*VLOOKUP('Données projet'!$B$10,Paramètres!$A$1:$I$89,5,0)</f>
        <v>99.441000000000017</v>
      </c>
      <c r="AK48" s="13">
        <f t="shared" si="35"/>
        <v>26.828780089799594</v>
      </c>
      <c r="AL48" s="20">
        <f t="shared" si="4"/>
        <v>219.91986698973434</v>
      </c>
      <c r="AM48" s="59">
        <f t="shared" si="5"/>
        <v>513.25320032306763</v>
      </c>
      <c r="AN48" s="59">
        <f ca="1">AVERAGE(OFFSET($AM$3,0,0,'Données projet'!$E$10+1,1))-AVERAGE(OFFSET($H$3,0,0,'Données projet'!$E$10+1,1))</f>
        <v>387.43382681395963</v>
      </c>
      <c r="AO48" s="59">
        <f t="shared" si="36"/>
        <v>184.78537400115721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169.26131760015181</v>
      </c>
      <c r="T49" s="59">
        <f t="shared" si="34"/>
        <v>395.66019987830481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53.626517088546635</v>
      </c>
      <c r="AA49" s="21">
        <f>EXP(-LN(2)/25)*AA48+(1-EXP(-LN(2)/25))/(LN(2)/25)*Calculateur!V49*Calculateur!X49*VLOOKUP('Données projet'!$B$9,Paramètres!$A$1:$I$89,3,0)*0.475*44/12</f>
        <v>12.04554835989688</v>
      </c>
      <c r="AB49" s="21">
        <f>EXP(-LN(2)/2)*AB48+(1-EXP(-LN(2)/2))/(LN(2)/2)*V49*Y49*VLOOKUP('Données projet'!$B$9,Paramètres!$A$1:$I$89,3,0)*0.475*44/12</f>
        <v>7.7809999921103041E-4</v>
      </c>
      <c r="AC49" s="22">
        <f t="shared" si="3"/>
        <v>65.672843548442728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2.4423076923076925</v>
      </c>
      <c r="AI49" s="13">
        <f>IF('Données projet'!$A$62&gt;35,AI48+AH49-AQ48,IF(A49&lt;'Données projet'!$A$62,$AF$205^A49,IF(A49='Données projet'!$A$62,'Données projet'!$B$62,AI48+AH49-AQ48)))</f>
        <v>112.34615384615388</v>
      </c>
      <c r="AJ49" s="13">
        <f>AI49*VLOOKUP('Données projet'!$B$10,Paramètres!$A$1:$I$89,3,0)*VLOOKUP('Données projet'!$B$10,Paramètres!$A$1:$I$89,5,0)</f>
        <v>101.65080000000003</v>
      </c>
      <c r="AK49" s="13">
        <f t="shared" si="35"/>
        <v>27.354902335290486</v>
      </c>
      <c r="AL49" s="20">
        <f t="shared" si="4"/>
        <v>224.68493156729764</v>
      </c>
      <c r="AM49" s="59">
        <f t="shared" si="5"/>
        <v>518.01826490063092</v>
      </c>
      <c r="AN49" s="59">
        <f ca="1">AVERAGE(OFFSET($AM$3,0,0,'Données projet'!$E$10+1,1))-AVERAGE(OFFSET($H$3,0,0,'Données projet'!$E$10+1,1))</f>
        <v>387.43382681395963</v>
      </c>
      <c r="AO49" s="59">
        <f t="shared" si="36"/>
        <v>184.78537400115721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169.26131760015181</v>
      </c>
      <c r="T50" s="59">
        <f t="shared" si="34"/>
        <v>395.66019987830481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52.574933797385917</v>
      </c>
      <c r="AA50" s="21">
        <f>EXP(-LN(2)/25)*AA49+(1-EXP(-LN(2)/25))/(LN(2)/25)*Calculateur!V50*Calculateur!X50*VLOOKUP('Données projet'!$B$9,Paramètres!$A$1:$I$89,3,0)*0.475*44/12</f>
        <v>11.716162206547642</v>
      </c>
      <c r="AB50" s="21">
        <f>EXP(-LN(2)/2)*AB49+(1-EXP(-LN(2)/2))/(LN(2)/2)*V50*Y50*VLOOKUP('Données projet'!$B$9,Paramètres!$A$1:$I$89,3,0)*0.475*44/12</f>
        <v>5.5019978588336687E-4</v>
      </c>
      <c r="AC50" s="22">
        <f t="shared" si="3"/>
        <v>64.291646203719438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2.4423076923076925</v>
      </c>
      <c r="AI50" s="13">
        <f>IF('Données projet'!$A$62&gt;35,AI49+AH50-AQ49,IF(A50&lt;'Données projet'!$A$62,$AF$205^A50,IF(A50='Données projet'!$A$62,'Données projet'!$B$62,AI49+AH50-AQ49)))</f>
        <v>114.78846153846158</v>
      </c>
      <c r="AJ50" s="13">
        <f>AI50*VLOOKUP('Données projet'!$B$10,Paramètres!$A$1:$I$89,3,0)*VLOOKUP('Données projet'!$B$10,Paramètres!$A$1:$I$89,5,0)</f>
        <v>103.86060000000003</v>
      </c>
      <c r="AK50" s="13">
        <f t="shared" si="35"/>
        <v>27.879694835032762</v>
      </c>
      <c r="AL50" s="20">
        <f t="shared" si="4"/>
        <v>229.44768017101543</v>
      </c>
      <c r="AM50" s="59">
        <f t="shared" si="5"/>
        <v>522.78101350434872</v>
      </c>
      <c r="AN50" s="59">
        <f ca="1">AVERAGE(OFFSET($AM$3,0,0,'Données projet'!$E$10+1,1))-AVERAGE(OFFSET($H$3,0,0,'Données projet'!$E$10+1,1))</f>
        <v>387.43382681395963</v>
      </c>
      <c r="AO50" s="59">
        <f t="shared" si="36"/>
        <v>184.78537400115721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169.26131760015181</v>
      </c>
      <c r="T51" s="59">
        <f t="shared" si="34"/>
        <v>395.66019987830481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51.543971413162389</v>
      </c>
      <c r="AA51" s="21">
        <f>EXP(-LN(2)/25)*AA50+(1-EXP(-LN(2)/25))/(LN(2)/25)*Calculateur!V51*Calculateur!X51*VLOOKUP('Données projet'!$B$9,Paramètres!$A$1:$I$89,3,0)*0.475*44/12</f>
        <v>11.395783134883404</v>
      </c>
      <c r="AB51" s="21">
        <f>EXP(-LN(2)/2)*AB50+(1-EXP(-LN(2)/2))/(LN(2)/2)*V51*Y51*VLOOKUP('Données projet'!$B$9,Paramètres!$A$1:$I$89,3,0)*0.475*44/12</f>
        <v>3.890499996055152E-4</v>
      </c>
      <c r="AC51" s="22">
        <f t="shared" si="3"/>
        <v>62.940143598045395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2.4423076923076925</v>
      </c>
      <c r="AI51" s="13">
        <f>IF('Données projet'!$A$62&gt;35,AI50+AH51-AQ50,IF(A51&lt;'Données projet'!$A$62,$AF$205^A51,IF(A51='Données projet'!$A$62,'Données projet'!$B$62,AI50+AH51-AQ50)))</f>
        <v>117.23076923076927</v>
      </c>
      <c r="AJ51" s="13">
        <f>AI51*VLOOKUP('Données projet'!$B$10,Paramètres!$A$1:$I$89,3,0)*VLOOKUP('Données projet'!$B$10,Paramètres!$A$1:$I$89,5,0)</f>
        <v>106.07040000000003</v>
      </c>
      <c r="AK51" s="13">
        <f t="shared" si="35"/>
        <v>28.403189140458888</v>
      </c>
      <c r="AL51" s="20">
        <f t="shared" si="4"/>
        <v>234.20816775296598</v>
      </c>
      <c r="AM51" s="59">
        <f t="shared" si="5"/>
        <v>527.54150108629926</v>
      </c>
      <c r="AN51" s="59">
        <f ca="1">AVERAGE(OFFSET($AM$3,0,0,'Données projet'!$E$10+1,1))-AVERAGE(OFFSET($H$3,0,0,'Données projet'!$E$10+1,1))</f>
        <v>387.43382681395963</v>
      </c>
      <c r="AO51" s="59">
        <f t="shared" si="36"/>
        <v>184.78537400115721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169.26131760015181</v>
      </c>
      <c r="T52" s="59">
        <f t="shared" si="34"/>
        <v>395.66019987830481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50.533225572468524</v>
      </c>
      <c r="AA52" s="21">
        <f>EXP(-LN(2)/25)*AA51+(1-EXP(-LN(2)/25))/(LN(2)/25)*Calculateur!V52*Calculateur!X52*VLOOKUP('Données projet'!$B$9,Paramètres!$A$1:$I$89,3,0)*0.475*44/12</f>
        <v>11.084164845781828</v>
      </c>
      <c r="AB52" s="21">
        <f>EXP(-LN(2)/2)*AB51+(1-EXP(-LN(2)/2))/(LN(2)/2)*V52*Y52*VLOOKUP('Données projet'!$B$9,Paramètres!$A$1:$I$89,3,0)*0.475*44/12</f>
        <v>2.7509989294168343E-4</v>
      </c>
      <c r="AC52" s="22">
        <f t="shared" si="3"/>
        <v>61.617665518143291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2.4423076923076925</v>
      </c>
      <c r="AI52" s="13">
        <f>IF('Données projet'!$A$62&gt;35,AI51+AH52-AQ51,IF(A52&lt;'Données projet'!$A$62,$AF$205^A52,IF(A52='Données projet'!$A$62,'Données projet'!$B$62,AI51+AH52-AQ51)))</f>
        <v>119.67307692307696</v>
      </c>
      <c r="AJ52" s="13">
        <f>AI52*VLOOKUP('Données projet'!$B$10,Paramètres!$A$1:$I$89,3,0)*VLOOKUP('Données projet'!$B$10,Paramètres!$A$1:$I$89,5,0)</f>
        <v>108.28020000000002</v>
      </c>
      <c r="AK52" s="13">
        <f t="shared" si="35"/>
        <v>28.925415413229778</v>
      </c>
      <c r="AL52" s="20">
        <f t="shared" si="4"/>
        <v>238.96644684470857</v>
      </c>
      <c r="AM52" s="59">
        <f t="shared" si="5"/>
        <v>532.29978017804183</v>
      </c>
      <c r="AN52" s="59">
        <f ca="1">AVERAGE(OFFSET($AM$3,0,0,'Données projet'!$E$10+1,1))-AVERAGE(OFFSET($H$3,0,0,'Données projet'!$E$10+1,1))</f>
        <v>387.43382681395963</v>
      </c>
      <c r="AO52" s="59">
        <f t="shared" si="36"/>
        <v>184.78537400115721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169.26131760015181</v>
      </c>
      <c r="T53" s="59">
        <f t="shared" si="34"/>
        <v>395.66019987830481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49.542299841216575</v>
      </c>
      <c r="AA53" s="21">
        <f>EXP(-LN(2)/25)*AA52+(1-EXP(-LN(2)/25))/(LN(2)/25)*Calculateur!V53*Calculateur!X53*VLOOKUP('Données projet'!$B$9,Paramètres!$A$1:$I$89,3,0)*0.475*44/12</f>
        <v>10.781067775183027</v>
      </c>
      <c r="AB53" s="21">
        <f>EXP(-LN(2)/2)*AB52+(1-EXP(-LN(2)/2))/(LN(2)/2)*V53*Y53*VLOOKUP('Données projet'!$B$9,Paramètres!$A$1:$I$89,3,0)*0.475*44/12</f>
        <v>1.945249998027576E-4</v>
      </c>
      <c r="AC53" s="22">
        <f t="shared" si="3"/>
        <v>60.323562141399407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2.4423076923076925</v>
      </c>
      <c r="AI53" s="13">
        <f>IF('Données projet'!$A$62&gt;35,AI52+AH53-AQ52,IF(A53&lt;'Données projet'!$A$62,$AF$205^A53,IF(A53='Données projet'!$A$62,'Données projet'!$B$62,AI52+AH53-AQ52)))</f>
        <v>122.11538461538466</v>
      </c>
      <c r="AJ53" s="13">
        <f>AI53*VLOOKUP('Données projet'!$B$10,Paramètres!$A$1:$I$89,3,0)*VLOOKUP('Données projet'!$B$10,Paramètres!$A$1:$I$89,5,0)</f>
        <v>110.49000000000004</v>
      </c>
      <c r="AK53" s="13">
        <f t="shared" si="35"/>
        <v>29.446402513543834</v>
      </c>
      <c r="AL53" s="20">
        <f t="shared" si="4"/>
        <v>243.72256771108889</v>
      </c>
      <c r="AM53" s="59">
        <f t="shared" si="5"/>
        <v>537.05590104442217</v>
      </c>
      <c r="AN53" s="59">
        <f ca="1">AVERAGE(OFFSET($AM$3,0,0,'Données projet'!$E$10+1,1))-AVERAGE(OFFSET($H$3,0,0,'Données projet'!$E$10+1,1))</f>
        <v>387.43382681395963</v>
      </c>
      <c r="AO53" s="59">
        <f t="shared" si="36"/>
        <v>184.78537400115721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169.26131760015181</v>
      </c>
      <c r="T54" s="59">
        <f t="shared" si="34"/>
        <v>395.66019987830481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48.570805559149463</v>
      </c>
      <c r="AA54" s="21">
        <f>EXP(-LN(2)/25)*AA53+(1-EXP(-LN(2)/25))/(LN(2)/25)*Calculateur!V54*Calculateur!X54*VLOOKUP('Données projet'!$B$9,Paramètres!$A$1:$I$89,3,0)*0.475*44/12</f>
        <v>10.486258909918934</v>
      </c>
      <c r="AB54" s="21">
        <f>EXP(-LN(2)/2)*AB53+(1-EXP(-LN(2)/2))/(LN(2)/2)*V54*Y54*VLOOKUP('Données projet'!$B$9,Paramètres!$A$1:$I$89,3,0)*0.475*44/12</f>
        <v>1.3754994647084172E-4</v>
      </c>
      <c r="AC54" s="22">
        <f t="shared" si="3"/>
        <v>59.057202019014866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2.4423076923076925</v>
      </c>
      <c r="AI54" s="13">
        <f>IF('Données projet'!$A$62&gt;35,AI53+AH54-AQ53,IF(A54&lt;'Données projet'!$A$62,$AF$205^A54,IF(A54='Données projet'!$A$62,'Données projet'!$B$62,AI53+AH54-AQ53)))</f>
        <v>124.55769230769235</v>
      </c>
      <c r="AJ54" s="13">
        <f>AI54*VLOOKUP('Données projet'!$B$10,Paramètres!$A$1:$I$89,3,0)*VLOOKUP('Données projet'!$B$10,Paramètres!$A$1:$I$89,5,0)</f>
        <v>112.69980000000004</v>
      </c>
      <c r="AK54" s="13">
        <f t="shared" si="35"/>
        <v>29.96617808118171</v>
      </c>
      <c r="AL54" s="20">
        <f t="shared" si="4"/>
        <v>248.47657849139151</v>
      </c>
      <c r="AM54" s="59">
        <f t="shared" si="5"/>
        <v>541.80991182472485</v>
      </c>
      <c r="AN54" s="59">
        <f ca="1">AVERAGE(OFFSET($AM$3,0,0,'Données projet'!$E$10+1,1))-AVERAGE(OFFSET($H$3,0,0,'Données projet'!$E$10+1,1))</f>
        <v>387.43382681395963</v>
      </c>
      <c r="AO54" s="59">
        <f t="shared" si="36"/>
        <v>184.78537400115721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169.26131760015181</v>
      </c>
      <c r="T55" s="59">
        <f t="shared" si="34"/>
        <v>395.66019987830481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47.618361687400679</v>
      </c>
      <c r="AA55" s="21">
        <f>EXP(-LN(2)/25)*AA54+(1-EXP(-LN(2)/25))/(LN(2)/25)*Calculateur!V55*Calculateur!X55*VLOOKUP('Données projet'!$B$9,Paramètres!$A$1:$I$89,3,0)*0.475*44/12</f>
        <v>10.199511608578812</v>
      </c>
      <c r="AB55" s="21">
        <f>EXP(-LN(2)/2)*AB54+(1-EXP(-LN(2)/2))/(LN(2)/2)*V55*Y55*VLOOKUP('Données projet'!$B$9,Paramètres!$A$1:$I$89,3,0)*0.475*44/12</f>
        <v>9.7262499901378801E-5</v>
      </c>
      <c r="AC55" s="22">
        <f t="shared" si="3"/>
        <v>57.817970558479388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127</v>
      </c>
      <c r="AG55" s="12">
        <f>VLOOKUP(A55,'Données projet'!$A$61:$I$81,9,0)</f>
        <v>2.4423076923076925</v>
      </c>
      <c r="AH55" s="12">
        <f t="array" ref="AH55">INDEX(AG:AG,MIN(IF(ISNUMBER(AG55:AG251),ROW(AG55:AG251),"")))</f>
        <v>2.4423076923076925</v>
      </c>
      <c r="AI55" s="13">
        <f>IF('Données projet'!$A$62&gt;35,AI54+AH55-AQ54,IF(A55&lt;'Données projet'!$A$62,$AF$205^A55,IF(A55='Données projet'!$A$62,'Données projet'!$B$62,AI54+AH55-AQ54)))</f>
        <v>127.00000000000004</v>
      </c>
      <c r="AJ55" s="13">
        <f>AI55*VLOOKUP('Données projet'!$B$10,Paramètres!$A$1:$I$89,3,0)*VLOOKUP('Données projet'!$B$10,Paramètres!$A$1:$I$89,5,0)</f>
        <v>114.90960000000004</v>
      </c>
      <c r="AK55" s="13">
        <f t="shared" si="35"/>
        <v>30.484768610015163</v>
      </c>
      <c r="AL55" s="20">
        <f t="shared" si="4"/>
        <v>253.22852532910977</v>
      </c>
      <c r="AM55" s="59">
        <f t="shared" si="5"/>
        <v>546.56185866244311</v>
      </c>
      <c r="AN55" s="59">
        <f ca="1">AVERAGE(OFFSET($AM$3,0,0,'Données projet'!$E$10+1,1))-AVERAGE(OFFSET($H$3,0,0,'Données projet'!$E$10+1,1))</f>
        <v>387.43382681395963</v>
      </c>
      <c r="AO55" s="59">
        <f t="shared" si="36"/>
        <v>184.78537400115721</v>
      </c>
      <c r="AP55" s="15">
        <f>IF(ISNA(VLOOKUP(A55,'Données projet'!$A$61:$I$81,3,0)),0,VLOOKUP(A55,'Données projet'!$A$61:$I$81,3,0))</f>
        <v>1</v>
      </c>
      <c r="AQ55" s="15">
        <f>IF(ISNA(VLOOKUP(A55,'Données projet'!$A$61:$I$81,4,0)),0,VLOOKUP(A55,'Données projet'!$A$61:$I$81,4,0))</f>
        <v>29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169.26131760015181</v>
      </c>
      <c r="T56" s="59">
        <f t="shared" si="34"/>
        <v>395.66019987830481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46.684594659043491</v>
      </c>
      <c r="AA56" s="21">
        <f>EXP(-LN(2)/25)*AA55+(1-EXP(-LN(2)/25))/(LN(2)/25)*Calculateur!V56*Calculateur!X56*VLOOKUP('Données projet'!$B$9,Paramètres!$A$1:$I$89,3,0)*0.475*44/12</f>
        <v>9.9206054272732196</v>
      </c>
      <c r="AB56" s="21">
        <f>EXP(-LN(2)/2)*AB55+(1-EXP(-LN(2)/2))/(LN(2)/2)*V56*Y56*VLOOKUP('Données projet'!$B$9,Paramètres!$A$1:$I$89,3,0)*0.475*44/12</f>
        <v>6.8774973235420859E-5</v>
      </c>
      <c r="AC56" s="22">
        <f t="shared" si="3"/>
        <v>56.60526886128995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6.125</v>
      </c>
      <c r="AI56" s="13">
        <f>IF('Données projet'!$A$62&gt;35,AI55+AH56-AQ55,IF(A56&lt;'Données projet'!$A$62,$AF$205^A56,IF(A56='Données projet'!$A$62,'Données projet'!$B$62,AI55+AH56-AQ55)))</f>
        <v>104.12500000000006</v>
      </c>
      <c r="AJ56" s="13">
        <f>AI56*VLOOKUP('Données projet'!$B$10,Paramètres!$A$1:$I$89,3,0)*VLOOKUP('Données projet'!$B$10,Paramètres!$A$1:$I$89,5,0)</f>
        <v>94.212300000000042</v>
      </c>
      <c r="AK56" s="13">
        <f t="shared" si="35"/>
        <v>25.57841008066784</v>
      </c>
      <c r="AL56" s="20">
        <f t="shared" si="4"/>
        <v>208.6354867238299</v>
      </c>
      <c r="AM56" s="59">
        <f t="shared" si="5"/>
        <v>501.96882005716321</v>
      </c>
      <c r="AN56" s="59">
        <f ca="1">AVERAGE(OFFSET($AM$3,0,0,'Données projet'!$E$10+1,1))-AVERAGE(OFFSET($H$3,0,0,'Données projet'!$E$10+1,1))</f>
        <v>387.43382681395963</v>
      </c>
      <c r="AO56" s="59">
        <f t="shared" si="36"/>
        <v>184.78537400115721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169.26131760015181</v>
      </c>
      <c r="T57" s="59">
        <f t="shared" si="34"/>
        <v>395.66019987830481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45.769138232570739</v>
      </c>
      <c r="AA57" s="21">
        <f>EXP(-LN(2)/25)*AA56+(1-EXP(-LN(2)/25))/(LN(2)/25)*Calculateur!V57*Calculateur!X57*VLOOKUP('Données projet'!$B$9,Paramètres!$A$1:$I$89,3,0)*0.475*44/12</f>
        <v>9.6493259501624671</v>
      </c>
      <c r="AB57" s="21">
        <f>EXP(-LN(2)/2)*AB56+(1-EXP(-LN(2)/2))/(LN(2)/2)*V57*Y57*VLOOKUP('Données projet'!$B$9,Paramètres!$A$1:$I$89,3,0)*0.475*44/12</f>
        <v>4.8631249950689401E-5</v>
      </c>
      <c r="AC57" s="22">
        <f t="shared" si="3"/>
        <v>55.418512813983156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6.125</v>
      </c>
      <c r="AI57" s="13">
        <f>IF('Données projet'!$A$62&gt;35,AI56+AH57-AQ56,IF(A57&lt;'Données projet'!$A$62,$AF$205^A57,IF(A57='Données projet'!$A$62,'Données projet'!$B$62,AI56+AH57-AQ56)))</f>
        <v>110.25000000000006</v>
      </c>
      <c r="AJ57" s="13">
        <f>AI57*VLOOKUP('Données projet'!$B$10,Paramètres!$A$1:$I$89,3,0)*VLOOKUP('Données projet'!$B$10,Paramètres!$A$1:$I$89,5,0)</f>
        <v>99.754200000000054</v>
      </c>
      <c r="AK57" s="13">
        <f t="shared" si="35"/>
        <v>26.90343070306184</v>
      </c>
      <c r="AL57" s="20">
        <f t="shared" si="4"/>
        <v>220.59537347449944</v>
      </c>
      <c r="AM57" s="59">
        <f t="shared" si="5"/>
        <v>513.92870680783278</v>
      </c>
      <c r="AN57" s="59">
        <f ca="1">AVERAGE(OFFSET($AM$3,0,0,'Données projet'!$E$10+1,1))-AVERAGE(OFFSET($H$3,0,0,'Données projet'!$E$10+1,1))</f>
        <v>387.43382681395963</v>
      </c>
      <c r="AO57" s="59">
        <f t="shared" si="36"/>
        <v>184.78537400115721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169.26131760015181</v>
      </c>
      <c r="T58" s="59">
        <f t="shared" si="34"/>
        <v>395.66019987830481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44.871633348247833</v>
      </c>
      <c r="AA58" s="21">
        <f>EXP(-LN(2)/25)*AA57+(1-EXP(-LN(2)/25))/(LN(2)/25)*Calculateur!V58*Calculateur!X58*VLOOKUP('Données projet'!$B$9,Paramètres!$A$1:$I$89,3,0)*0.475*44/12</f>
        <v>9.3854646246192761</v>
      </c>
      <c r="AB58" s="21">
        <f>EXP(-LN(2)/2)*AB57+(1-EXP(-LN(2)/2))/(LN(2)/2)*V58*Y58*VLOOKUP('Données projet'!$B$9,Paramètres!$A$1:$I$89,3,0)*0.475*44/12</f>
        <v>3.4387486617710429E-5</v>
      </c>
      <c r="AC58" s="22">
        <f t="shared" si="3"/>
        <v>54.257132360353722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6.125</v>
      </c>
      <c r="AI58" s="13">
        <f>IF('Données projet'!$A$62&gt;35,AI57+AH58-AQ57,IF(A58&lt;'Données projet'!$A$62,$AF$205^A58,IF(A58='Données projet'!$A$62,'Données projet'!$B$62,AI57+AH58-AQ57)))</f>
        <v>116.37500000000006</v>
      </c>
      <c r="AJ58" s="13">
        <f>AI58*VLOOKUP('Données projet'!$B$10,Paramètres!$A$1:$I$89,3,0)*VLOOKUP('Données projet'!$B$10,Paramètres!$A$1:$I$89,5,0)</f>
        <v>105.29610000000005</v>
      </c>
      <c r="AK58" s="13">
        <f t="shared" si="35"/>
        <v>28.219905863751134</v>
      </c>
      <c r="AL58" s="20">
        <f t="shared" si="4"/>
        <v>232.54037687936662</v>
      </c>
      <c r="AM58" s="59">
        <f t="shared" si="5"/>
        <v>525.87371021269996</v>
      </c>
      <c r="AN58" s="59">
        <f ca="1">AVERAGE(OFFSET($AM$3,0,0,'Données projet'!$E$10+1,1))-AVERAGE(OFFSET($H$3,0,0,'Données projet'!$E$10+1,1))</f>
        <v>387.43382681395963</v>
      </c>
      <c r="AO58" s="59">
        <f t="shared" si="36"/>
        <v>184.78537400115721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169.26131760015181</v>
      </c>
      <c r="T59" s="59">
        <f t="shared" si="34"/>
        <v>395.66019987830481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43.991727987282573</v>
      </c>
      <c r="AA59" s="21">
        <f>EXP(-LN(2)/25)*AA58+(1-EXP(-LN(2)/25))/(LN(2)/25)*Calculateur!V59*Calculateur!X59*VLOOKUP('Données projet'!$B$9,Paramètres!$A$1:$I$89,3,0)*0.475*44/12</f>
        <v>9.1288186008989278</v>
      </c>
      <c r="AB59" s="21">
        <f>EXP(-LN(2)/2)*AB58+(1-EXP(-LN(2)/2))/(LN(2)/2)*V59*Y59*VLOOKUP('Données projet'!$B$9,Paramètres!$A$1:$I$89,3,0)*0.475*44/12</f>
        <v>2.43156249753447E-5</v>
      </c>
      <c r="AC59" s="22">
        <f t="shared" si="3"/>
        <v>53.120570903806474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6.125</v>
      </c>
      <c r="AI59" s="13">
        <f>IF('Données projet'!$A$62&gt;35,AI58+AH59-AQ58,IF(A59&lt;'Données projet'!$A$62,$AF$205^A59,IF(A59='Données projet'!$A$62,'Données projet'!$B$62,AI58+AH59-AQ58)))</f>
        <v>122.50000000000006</v>
      </c>
      <c r="AJ59" s="13">
        <f>AI59*VLOOKUP('Données projet'!$B$10,Paramètres!$A$1:$I$89,3,0)*VLOOKUP('Données projet'!$B$10,Paramètres!$A$1:$I$89,5,0)</f>
        <v>110.83800000000005</v>
      </c>
      <c r="AK59" s="13">
        <f t="shared" si="35"/>
        <v>29.528336615603067</v>
      </c>
      <c r="AL59" s="20">
        <f t="shared" si="4"/>
        <v>244.47136960550881</v>
      </c>
      <c r="AM59" s="59">
        <f t="shared" si="5"/>
        <v>537.80470293884218</v>
      </c>
      <c r="AN59" s="59">
        <f ca="1">AVERAGE(OFFSET($AM$3,0,0,'Données projet'!$E$10+1,1))-AVERAGE(OFFSET($H$3,0,0,'Données projet'!$E$10+1,1))</f>
        <v>387.43382681395963</v>
      </c>
      <c r="AO59" s="59">
        <f t="shared" si="36"/>
        <v>184.78537400115721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169.26131760015181</v>
      </c>
      <c r="T60" s="59">
        <f t="shared" si="34"/>
        <v>395.66019987830481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43.129077033756566</v>
      </c>
      <c r="AA60" s="21">
        <f>EXP(-LN(2)/25)*AA59+(1-EXP(-LN(2)/25))/(LN(2)/25)*Calculateur!V60*Calculateur!X60*VLOOKUP('Données projet'!$B$9,Paramètres!$A$1:$I$89,3,0)*0.475*44/12</f>
        <v>8.8791905761936398</v>
      </c>
      <c r="AB60" s="21">
        <f>EXP(-LN(2)/2)*AB59+(1-EXP(-LN(2)/2))/(LN(2)/2)*V60*Y60*VLOOKUP('Données projet'!$B$9,Paramètres!$A$1:$I$89,3,0)*0.475*44/12</f>
        <v>1.7193743308855215E-5</v>
      </c>
      <c r="AC60" s="22">
        <f t="shared" si="3"/>
        <v>52.00828480369352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6.125</v>
      </c>
      <c r="AI60" s="13">
        <f>IF('Données projet'!$A$62&gt;35,AI59+AH60-AQ59,IF(A60&lt;'Données projet'!$A$62,$AF$205^A60,IF(A60='Données projet'!$A$62,'Données projet'!$B$62,AI59+AH60-AQ59)))</f>
        <v>128.62500000000006</v>
      </c>
      <c r="AJ60" s="13">
        <f>AI60*VLOOKUP('Données projet'!$B$10,Paramètres!$A$1:$I$89,3,0)*VLOOKUP('Données projet'!$B$10,Paramètres!$A$1:$I$89,5,0)</f>
        <v>116.37990000000006</v>
      </c>
      <c r="AK60" s="13">
        <f t="shared" si="35"/>
        <v>30.829171075775971</v>
      </c>
      <c r="AL60" s="20">
        <f t="shared" si="4"/>
        <v>256.38913212364326</v>
      </c>
      <c r="AM60" s="59">
        <f t="shared" si="5"/>
        <v>549.72246545697658</v>
      </c>
      <c r="AN60" s="59">
        <f ca="1">AVERAGE(OFFSET($AM$3,0,0,'Données projet'!$E$10+1,1))-AVERAGE(OFFSET($H$3,0,0,'Données projet'!$E$10+1,1))</f>
        <v>387.43382681395963</v>
      </c>
      <c r="AO60" s="59">
        <f t="shared" si="36"/>
        <v>184.78537400115721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169.26131760015181</v>
      </c>
      <c r="T61" s="59">
        <f t="shared" si="34"/>
        <v>395.66019987830481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42.283342139264072</v>
      </c>
      <c r="AA61" s="21">
        <f>EXP(-LN(2)/25)*AA60+(1-EXP(-LN(2)/25))/(LN(2)/25)*Calculateur!V61*Calculateur!X61*VLOOKUP('Données projet'!$B$9,Paramètres!$A$1:$I$89,3,0)*0.475*44/12</f>
        <v>8.6363886429512853</v>
      </c>
      <c r="AB61" s="21">
        <f>EXP(-LN(2)/2)*AB60+(1-EXP(-LN(2)/2))/(LN(2)/2)*V61*Y61*VLOOKUP('Données projet'!$B$9,Paramètres!$A$1:$I$89,3,0)*0.475*44/12</f>
        <v>1.215781248767235E-5</v>
      </c>
      <c r="AC61" s="22">
        <f t="shared" si="3"/>
        <v>50.919742940027838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6.125</v>
      </c>
      <c r="AI61" s="13">
        <f>IF('Données projet'!$A$62&gt;35,AI60+AH61-AQ60,IF(A61&lt;'Données projet'!$A$62,$AF$205^A61,IF(A61='Données projet'!$A$62,'Données projet'!$B$62,AI60+AH61-AQ60)))</f>
        <v>134.75000000000006</v>
      </c>
      <c r="AJ61" s="13">
        <f>AI61*VLOOKUP('Données projet'!$B$10,Paramètres!$A$1:$I$89,3,0)*VLOOKUP('Données projet'!$B$10,Paramètres!$A$1:$I$89,5,0)</f>
        <v>121.92180000000005</v>
      </c>
      <c r="AK61" s="13">
        <f t="shared" si="35"/>
        <v>32.122812272066035</v>
      </c>
      <c r="AL61" s="20">
        <f t="shared" si="4"/>
        <v>268.29436637384839</v>
      </c>
      <c r="AM61" s="59">
        <f t="shared" si="5"/>
        <v>561.6276997071817</v>
      </c>
      <c r="AN61" s="59">
        <f ca="1">AVERAGE(OFFSET($AM$3,0,0,'Données projet'!$E$10+1,1))-AVERAGE(OFFSET($H$3,0,0,'Données projet'!$E$10+1,1))</f>
        <v>387.43382681395963</v>
      </c>
      <c r="AO61" s="59">
        <f t="shared" si="36"/>
        <v>184.78537400115721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169.26131760015181</v>
      </c>
      <c r="T62" s="59">
        <f t="shared" si="34"/>
        <v>395.66019987830481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41.454191590205227</v>
      </c>
      <c r="AA62" s="21">
        <f>EXP(-LN(2)/25)*AA61+(1-EXP(-LN(2)/25))/(LN(2)/25)*Calculateur!V62*Calculateur!X62*VLOOKUP('Données projet'!$B$9,Paramètres!$A$1:$I$89,3,0)*0.475*44/12</f>
        <v>8.4002261413418431</v>
      </c>
      <c r="AB62" s="21">
        <f>EXP(-LN(2)/2)*AB61+(1-EXP(-LN(2)/2))/(LN(2)/2)*V62*Y62*VLOOKUP('Données projet'!$B$9,Paramètres!$A$1:$I$89,3,0)*0.475*44/12</f>
        <v>8.5968716544276073E-6</v>
      </c>
      <c r="AC62" s="22">
        <f t="shared" si="3"/>
        <v>49.854426328418725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6.125</v>
      </c>
      <c r="AI62" s="13">
        <f>IF('Données projet'!$A$62&gt;35,AI61+AH62-AQ61,IF(A62&lt;'Données projet'!$A$62,$AF$205^A62,IF(A62='Données projet'!$A$62,'Données projet'!$B$62,AI61+AH62-AQ61)))</f>
        <v>140.87500000000006</v>
      </c>
      <c r="AJ62" s="13">
        <f>AI62*VLOOKUP('Données projet'!$B$10,Paramètres!$A$1:$I$89,3,0)*VLOOKUP('Données projet'!$B$10,Paramètres!$A$1:$I$89,5,0)</f>
        <v>127.46370000000005</v>
      </c>
      <c r="AK62" s="13">
        <f t="shared" si="35"/>
        <v>33.409624522319149</v>
      </c>
      <c r="AL62" s="20">
        <f t="shared" si="4"/>
        <v>280.1877068763726</v>
      </c>
      <c r="AM62" s="59">
        <f t="shared" si="5"/>
        <v>573.52104020970592</v>
      </c>
      <c r="AN62" s="59">
        <f ca="1">AVERAGE(OFFSET($AM$3,0,0,'Données projet'!$E$10+1,1))-AVERAGE(OFFSET($H$3,0,0,'Données projet'!$E$10+1,1))</f>
        <v>387.43382681395963</v>
      </c>
      <c r="AO62" s="59">
        <f t="shared" si="36"/>
        <v>184.78537400115721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169.26131760015181</v>
      </c>
      <c r="T63" s="59">
        <f t="shared" si="34"/>
        <v>395.66019987830481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40.641300177681529</v>
      </c>
      <c r="AA63" s="21">
        <f>EXP(-LN(2)/25)*AA62+(1-EXP(-LN(2)/25))/(LN(2)/25)*Calculateur!V63*Calculateur!X63*VLOOKUP('Données projet'!$B$9,Paramètres!$A$1:$I$89,3,0)*0.475*44/12</f>
        <v>8.170521515758157</v>
      </c>
      <c r="AB63" s="21">
        <f>EXP(-LN(2)/2)*AB62+(1-EXP(-LN(2)/2))/(LN(2)/2)*V63*Y63*VLOOKUP('Données projet'!$B$9,Paramètres!$A$1:$I$89,3,0)*0.475*44/12</f>
        <v>6.0789062438361751E-6</v>
      </c>
      <c r="AC63" s="22">
        <f t="shared" si="3"/>
        <v>48.811827772345929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147</v>
      </c>
      <c r="AG63" s="12">
        <f>VLOOKUP(A63,'Données projet'!$A$61:$I$81,9,0)</f>
        <v>6.125</v>
      </c>
      <c r="AH63" s="12">
        <f t="array" ref="AH63">INDEX(AG:AG,MIN(IF(ISNUMBER(AG63:AG259),ROW(AG63:AG259),"")))</f>
        <v>6.125</v>
      </c>
      <c r="AI63" s="13">
        <f>IF('Données projet'!$A$62&gt;35,AI62+AH63-AQ62,IF(A63&lt;'Données projet'!$A$62,$AF$205^A63,IF(A63='Données projet'!$A$62,'Données projet'!$B$62,AI62+AH63-AQ62)))</f>
        <v>147.00000000000006</v>
      </c>
      <c r="AJ63" s="13">
        <f>AI63*VLOOKUP('Données projet'!$B$10,Paramètres!$A$1:$I$89,3,0)*VLOOKUP('Données projet'!$B$10,Paramètres!$A$1:$I$89,5,0)</f>
        <v>133.00560000000004</v>
      </c>
      <c r="AK63" s="13">
        <f t="shared" si="35"/>
        <v>34.689938673073549</v>
      </c>
      <c r="AL63" s="20">
        <f t="shared" si="4"/>
        <v>292.06972985560316</v>
      </c>
      <c r="AM63" s="59">
        <f t="shared" si="5"/>
        <v>585.40306318893647</v>
      </c>
      <c r="AN63" s="59">
        <f ca="1">AVERAGE(OFFSET($AM$3,0,0,'Données projet'!$E$10+1,1))-AVERAGE(OFFSET($H$3,0,0,'Données projet'!$E$10+1,1))</f>
        <v>387.43382681395963</v>
      </c>
      <c r="AO63" s="59">
        <f t="shared" si="36"/>
        <v>184.78537400115721</v>
      </c>
      <c r="AP63" s="15">
        <f>IF(ISNA(VLOOKUP(A63,'Données projet'!$A$61:$I$81,3,0)),0,VLOOKUP(A63,'Données projet'!$A$61:$I$81,3,0))</f>
        <v>2</v>
      </c>
      <c r="AQ63" s="15">
        <f>IF(ISNA(VLOOKUP(A63,'Données projet'!$A$61:$I$81,4,0)),0,VLOOKUP(A63,'Données projet'!$A$61:$I$81,4,0))</f>
        <v>30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169.26131760015181</v>
      </c>
      <c r="T64" s="59">
        <f t="shared" si="34"/>
        <v>395.66019987830481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39.844349069942616</v>
      </c>
      <c r="AA64" s="21">
        <f>EXP(-LN(2)/25)*AA63+(1-EXP(-LN(2)/25))/(LN(2)/25)*Calculateur!V64*Calculateur!X64*VLOOKUP('Données projet'!$B$9,Paramètres!$A$1:$I$89,3,0)*0.475*44/12</f>
        <v>7.9470981752406979</v>
      </c>
      <c r="AB64" s="21">
        <f>EXP(-LN(2)/2)*AB63+(1-EXP(-LN(2)/2))/(LN(2)/2)*V64*Y64*VLOOKUP('Données projet'!$B$9,Paramètres!$A$1:$I$89,3,0)*0.475*44/12</f>
        <v>4.2984358272138037E-6</v>
      </c>
      <c r="AC64" s="22">
        <f t="shared" si="3"/>
        <v>47.791451543619139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6.125</v>
      </c>
      <c r="AI64" s="13">
        <f>IF('Données projet'!$A$62&gt;35,AI63+AH64-AQ63,IF(A64&lt;'Données projet'!$A$62,$AF$205^A64,IF(A64='Données projet'!$A$62,'Données projet'!$B$62,AI63+AH64-AQ63)))</f>
        <v>123.12500000000006</v>
      </c>
      <c r="AJ64" s="13">
        <f>AI64*VLOOKUP('Données projet'!$B$10,Paramètres!$A$1:$I$89,3,0)*VLOOKUP('Données projet'!$B$10,Paramètres!$A$1:$I$89,5,0)</f>
        <v>111.40350000000004</v>
      </c>
      <c r="AK64" s="13">
        <f t="shared" si="35"/>
        <v>29.661415724803813</v>
      </c>
      <c r="AL64" s="20">
        <f t="shared" si="4"/>
        <v>245.68806155403334</v>
      </c>
      <c r="AM64" s="59">
        <f t="shared" si="5"/>
        <v>539.02139488736668</v>
      </c>
      <c r="AN64" s="59">
        <f ca="1">AVERAGE(OFFSET($AM$3,0,0,'Données projet'!$E$10+1,1))-AVERAGE(OFFSET($H$3,0,0,'Données projet'!$E$10+1,1))</f>
        <v>387.43382681395963</v>
      </c>
      <c r="AO64" s="59">
        <f t="shared" si="36"/>
        <v>184.78537400115721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169.26131760015181</v>
      </c>
      <c r="T65" s="59">
        <f t="shared" si="34"/>
        <v>395.66019987830481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39.063025687334289</v>
      </c>
      <c r="AA65" s="21">
        <f>EXP(-LN(2)/25)*AA64+(1-EXP(-LN(2)/25))/(LN(2)/25)*Calculateur!V65*Calculateur!X65*VLOOKUP('Données projet'!$B$9,Paramètres!$A$1:$I$89,3,0)*0.475*44/12</f>
        <v>7.7297843577190113</v>
      </c>
      <c r="AB65" s="21">
        <f>EXP(-LN(2)/2)*AB64+(1-EXP(-LN(2)/2))/(LN(2)/2)*V65*Y65*VLOOKUP('Données projet'!$B$9,Paramètres!$A$1:$I$89,3,0)*0.475*44/12</f>
        <v>3.0394531219180875E-6</v>
      </c>
      <c r="AC65" s="22">
        <f t="shared" si="3"/>
        <v>46.79281308450642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6.125</v>
      </c>
      <c r="AI65" s="13">
        <f>IF('Données projet'!$A$62&gt;35,AI64+AH65-AQ64,IF(A65&lt;'Données projet'!$A$62,$AF$205^A65,IF(A65='Données projet'!$A$62,'Données projet'!$B$62,AI64+AH65-AQ64)))</f>
        <v>129.25000000000006</v>
      </c>
      <c r="AJ65" s="13">
        <f>AI65*VLOOKUP('Données projet'!$B$10,Paramètres!$A$1:$I$89,3,0)*VLOOKUP('Données projet'!$B$10,Paramètres!$A$1:$I$89,5,0)</f>
        <v>116.94540000000005</v>
      </c>
      <c r="AK65" s="13">
        <f t="shared" si="35"/>
        <v>30.961498412176052</v>
      </c>
      <c r="AL65" s="20">
        <f t="shared" si="4"/>
        <v>257.60451473454003</v>
      </c>
      <c r="AM65" s="59">
        <f t="shared" si="5"/>
        <v>550.93784806787335</v>
      </c>
      <c r="AN65" s="59">
        <f ca="1">AVERAGE(OFFSET($AM$3,0,0,'Données projet'!$E$10+1,1))-AVERAGE(OFFSET($H$3,0,0,'Données projet'!$E$10+1,1))</f>
        <v>387.43382681395963</v>
      </c>
      <c r="AO65" s="59">
        <f t="shared" si="36"/>
        <v>184.78537400115721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169.26131760015181</v>
      </c>
      <c r="T66" s="59">
        <f t="shared" si="34"/>
        <v>395.66019987830481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38.297023579698703</v>
      </c>
      <c r="AA66" s="21">
        <f>EXP(-LN(2)/25)*AA65+(1-EXP(-LN(2)/25))/(LN(2)/25)*Calculateur!V66*Calculateur!X66*VLOOKUP('Données projet'!$B$9,Paramètres!$A$1:$I$89,3,0)*0.475*44/12</f>
        <v>7.5184129979654921</v>
      </c>
      <c r="AB66" s="21">
        <f>EXP(-LN(2)/2)*AB65+(1-EXP(-LN(2)/2))/(LN(2)/2)*V66*Y66*VLOOKUP('Données projet'!$B$9,Paramètres!$A$1:$I$89,3,0)*0.475*44/12</f>
        <v>2.1492179136069018E-6</v>
      </c>
      <c r="AC66" s="22">
        <f t="shared" si="3"/>
        <v>45.815438726882107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6.125</v>
      </c>
      <c r="AI66" s="13">
        <f>IF('Données projet'!$A$62&gt;35,AI65+AH66-AQ65,IF(A66&lt;'Données projet'!$A$62,$AF$205^A66,IF(A66='Données projet'!$A$62,'Données projet'!$B$62,AI65+AH66-AQ65)))</f>
        <v>135.37500000000006</v>
      </c>
      <c r="AJ66" s="13">
        <f>AI66*VLOOKUP('Données projet'!$B$10,Paramètres!$A$1:$I$89,3,0)*VLOOKUP('Données projet'!$B$10,Paramètres!$A$1:$I$89,5,0)</f>
        <v>122.48730000000005</v>
      </c>
      <c r="AK66" s="13">
        <f t="shared" si="35"/>
        <v>32.254426688079015</v>
      </c>
      <c r="AL66" s="20">
        <f t="shared" si="4"/>
        <v>269.50850731507103</v>
      </c>
      <c r="AM66" s="59">
        <f t="shared" si="5"/>
        <v>562.84184064840429</v>
      </c>
      <c r="AN66" s="59">
        <f ca="1">AVERAGE(OFFSET($AM$3,0,0,'Données projet'!$E$10+1,1))-AVERAGE(OFFSET($H$3,0,0,'Données projet'!$E$10+1,1))</f>
        <v>387.43382681395963</v>
      </c>
      <c r="AO66" s="59">
        <f t="shared" si="36"/>
        <v>184.78537400115721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169.26131760015181</v>
      </c>
      <c r="T67" s="59">
        <f t="shared" si="34"/>
        <v>395.66019987830481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37.546042306178698</v>
      </c>
      <c r="AA67" s="21">
        <f>EXP(-LN(2)/25)*AA66+(1-EXP(-LN(2)/25))/(LN(2)/25)*Calculateur!V67*Calculateur!X67*VLOOKUP('Données projet'!$B$9,Paramètres!$A$1:$I$89,3,0)*0.475*44/12</f>
        <v>7.3128215991599701</v>
      </c>
      <c r="AB67" s="21">
        <f>EXP(-LN(2)/2)*AB66+(1-EXP(-LN(2)/2))/(LN(2)/2)*V67*Y67*VLOOKUP('Données projet'!$B$9,Paramètres!$A$1:$I$89,3,0)*0.475*44/12</f>
        <v>1.5197265609590438E-6</v>
      </c>
      <c r="AC67" s="22">
        <f t="shared" si="3"/>
        <v>44.858865425065225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6.125</v>
      </c>
      <c r="AI67" s="13">
        <f>IF('Données projet'!$A$62&gt;35,AI66+AH67-AQ66,IF(A67&lt;'Données projet'!$A$62,$AF$205^A67,IF(A67='Données projet'!$A$62,'Données projet'!$B$62,AI66+AH67-AQ66)))</f>
        <v>141.50000000000006</v>
      </c>
      <c r="AJ67" s="13">
        <f>AI67*VLOOKUP('Données projet'!$B$10,Paramètres!$A$1:$I$89,3,0)*VLOOKUP('Données projet'!$B$10,Paramètres!$A$1:$I$89,5,0)</f>
        <v>128.02920000000003</v>
      </c>
      <c r="AK67" s="13">
        <f t="shared" si="35"/>
        <v>33.540561231732092</v>
      </c>
      <c r="AL67" s="20">
        <f t="shared" si="4"/>
        <v>281.40066747860004</v>
      </c>
      <c r="AM67" s="59">
        <f t="shared" si="5"/>
        <v>574.73400081193336</v>
      </c>
      <c r="AN67" s="59">
        <f ca="1">AVERAGE(OFFSET($AM$3,0,0,'Données projet'!$E$10+1,1))-AVERAGE(OFFSET($H$3,0,0,'Données projet'!$E$10+1,1))</f>
        <v>387.43382681395963</v>
      </c>
      <c r="AO67" s="59">
        <f t="shared" si="36"/>
        <v>184.78537400115721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169.26131760015181</v>
      </c>
      <c r="T68" s="59">
        <f t="shared" si="34"/>
        <v>395.66019987830481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36.809787317379069</v>
      </c>
      <c r="AA68" s="21">
        <f>EXP(-LN(2)/25)*AA67+(1-EXP(-LN(2)/25))/(LN(2)/25)*Calculateur!V68*Calculateur!X68*VLOOKUP('Données projet'!$B$9,Paramètres!$A$1:$I$89,3,0)*0.475*44/12</f>
        <v>7.1128521079663667</v>
      </c>
      <c r="AB68" s="21">
        <f>EXP(-LN(2)/2)*AB67+(1-EXP(-LN(2)/2))/(LN(2)/2)*V68*Y68*VLOOKUP('Données projet'!$B$9,Paramètres!$A$1:$I$89,3,0)*0.475*44/12</f>
        <v>1.0746089568034509E-6</v>
      </c>
      <c r="AC68" s="22">
        <f t="shared" ref="AC68:AC131" si="57">SUM(Z68:AB68)</f>
        <v>43.922640499954397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6.125</v>
      </c>
      <c r="AI68" s="13">
        <f>IF('Données projet'!$A$62&gt;35,AI67+AH68-AQ67,IF(A68&lt;'Données projet'!$A$62,$AF$205^A68,IF(A68='Données projet'!$A$62,'Données projet'!$B$62,AI67+AH68-AQ67)))</f>
        <v>147.62500000000006</v>
      </c>
      <c r="AJ68" s="13">
        <f>AI68*VLOOKUP('Données projet'!$B$10,Paramètres!$A$1:$I$89,3,0)*VLOOKUP('Données projet'!$B$10,Paramètres!$A$1:$I$89,5,0)</f>
        <v>133.57110000000006</v>
      </c>
      <c r="AK68" s="13">
        <f t="shared" si="35"/>
        <v>34.820229731627094</v>
      </c>
      <c r="AL68" s="20">
        <f t="shared" ref="AL68:AL131" si="58">(AJ68+AK68)*0.475*44/12</f>
        <v>293.28156594925059</v>
      </c>
      <c r="AM68" s="59">
        <f t="shared" ref="AM68:AM131" si="59">AL68+(AD68+AE68)*44/12</f>
        <v>586.61489928258391</v>
      </c>
      <c r="AN68" s="59">
        <f ca="1">AVERAGE(OFFSET($AM$3,0,0,'Données projet'!$E$10+1,1))-AVERAGE(OFFSET($H$3,0,0,'Données projet'!$E$10+1,1))</f>
        <v>387.43382681395963</v>
      </c>
      <c r="AO68" s="59">
        <f t="shared" si="36"/>
        <v>184.78537400115721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169.26131760015181</v>
      </c>
      <c r="T69" s="59">
        <f t="shared" ref="T69:T132" si="88">$T$3</f>
        <v>395.66019987830481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36.0879698398386</v>
      </c>
      <c r="AA69" s="21">
        <f>EXP(-LN(2)/25)*AA68+(1-EXP(-LN(2)/25))/(LN(2)/25)*Calculateur!V69*Calculateur!X69*VLOOKUP('Données projet'!$B$9,Paramètres!$A$1:$I$89,3,0)*0.475*44/12</f>
        <v>6.9183507930253905</v>
      </c>
      <c r="AB69" s="21">
        <f>EXP(-LN(2)/2)*AB68+(1-EXP(-LN(2)/2))/(LN(2)/2)*V69*Y69*VLOOKUP('Données projet'!$B$9,Paramètres!$A$1:$I$89,3,0)*0.475*44/12</f>
        <v>7.5986328047952188E-7</v>
      </c>
      <c r="AC69" s="22">
        <f t="shared" si="57"/>
        <v>43.006321392727273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6.125</v>
      </c>
      <c r="AI69" s="13">
        <f>IF('Données projet'!$A$62&gt;35,AI68+AH69-AQ68,IF(A69&lt;'Données projet'!$A$62,$AF$205^A69,IF(A69='Données projet'!$A$62,'Données projet'!$B$62,AI68+AH69-AQ68)))</f>
        <v>153.75000000000006</v>
      </c>
      <c r="AJ69" s="13">
        <f>AI69*VLOOKUP('Données projet'!$B$10,Paramètres!$A$1:$I$89,3,0)*VLOOKUP('Données projet'!$B$10,Paramètres!$A$1:$I$89,5,0)</f>
        <v>139.11300000000006</v>
      </c>
      <c r="AK69" s="13">
        <f t="shared" ref="AK69:AK132" si="89">EXP(-1.0587+0.8836*LN(AJ69)+0.284)</f>
        <v>36.093731146019131</v>
      </c>
      <c r="AL69" s="20">
        <f t="shared" si="58"/>
        <v>305.15172341265009</v>
      </c>
      <c r="AM69" s="59">
        <f t="shared" si="59"/>
        <v>598.48505674598346</v>
      </c>
      <c r="AN69" s="59">
        <f ca="1">AVERAGE(OFFSET($AM$3,0,0,'Données projet'!$E$10+1,1))-AVERAGE(OFFSET($H$3,0,0,'Données projet'!$E$10+1,1))</f>
        <v>387.43382681395963</v>
      </c>
      <c r="AO69" s="59">
        <f t="shared" ref="AO69:AO132" si="90">$AO$3</f>
        <v>184.78537400115721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169.26131760015181</v>
      </c>
      <c r="T70" s="59">
        <f t="shared" si="88"/>
        <v>395.66019987830481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35.380306762767511</v>
      </c>
      <c r="AA70" s="21">
        <f>EXP(-LN(2)/25)*AA69+(1-EXP(-LN(2)/25))/(LN(2)/25)*Calculateur!V70*Calculateur!X70*VLOOKUP('Données projet'!$B$9,Paramètres!$A$1:$I$89,3,0)*0.475*44/12</f>
        <v>6.7291681267698547</v>
      </c>
      <c r="AB70" s="21">
        <f>EXP(-LN(2)/2)*AB69+(1-EXP(-LN(2)/2))/(LN(2)/2)*V70*Y70*VLOOKUP('Données projet'!$B$9,Paramètres!$A$1:$I$89,3,0)*0.475*44/12</f>
        <v>5.3730447840172546E-7</v>
      </c>
      <c r="AC70" s="22">
        <f t="shared" si="57"/>
        <v>42.109475426841847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6.125</v>
      </c>
      <c r="AI70" s="13">
        <f>IF('Données projet'!$A$62&gt;35,AI69+AH70-AQ69,IF(A70&lt;'Données projet'!$A$62,$AF$205^A70,IF(A70='Données projet'!$A$62,'Données projet'!$B$62,AI69+AH70-AQ69)))</f>
        <v>159.87500000000006</v>
      </c>
      <c r="AJ70" s="13">
        <f>AI70*VLOOKUP('Données projet'!$B$10,Paramètres!$A$1:$I$89,3,0)*VLOOKUP('Données projet'!$B$10,Paramètres!$A$1:$I$89,5,0)</f>
        <v>144.65490000000003</v>
      </c>
      <c r="AK70" s="13">
        <f t="shared" si="89"/>
        <v>37.361339265401291</v>
      </c>
      <c r="AL70" s="20">
        <f t="shared" si="58"/>
        <v>317.01161672057395</v>
      </c>
      <c r="AM70" s="59">
        <f t="shared" si="59"/>
        <v>610.34495005390727</v>
      </c>
      <c r="AN70" s="59">
        <f ca="1">AVERAGE(OFFSET($AM$3,0,0,'Données projet'!$E$10+1,1))-AVERAGE(OFFSET($H$3,0,0,'Données projet'!$E$10+1,1))</f>
        <v>387.43382681395963</v>
      </c>
      <c r="AO70" s="59">
        <f t="shared" si="90"/>
        <v>184.78537400115721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169.26131760015181</v>
      </c>
      <c r="T71" s="59">
        <f t="shared" si="88"/>
        <v>395.66019987830481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34.686520527005932</v>
      </c>
      <c r="AA71" s="21">
        <f>EXP(-LN(2)/25)*AA70+(1-EXP(-LN(2)/25))/(LN(2)/25)*Calculateur!V71*Calculateur!X71*VLOOKUP('Données projet'!$B$9,Paramètres!$A$1:$I$89,3,0)*0.475*44/12</f>
        <v>6.5451586704717606</v>
      </c>
      <c r="AB71" s="21">
        <f>EXP(-LN(2)/2)*AB70+(1-EXP(-LN(2)/2))/(LN(2)/2)*V71*Y71*VLOOKUP('Données projet'!$B$9,Paramètres!$A$1:$I$89,3,0)*0.475*44/12</f>
        <v>3.7993164023976094E-7</v>
      </c>
      <c r="AC71" s="22">
        <f t="shared" si="57"/>
        <v>41.231679577409331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>
        <f>VLOOKUP(A71,'Données projet'!$A$61:$I$81,2,0)</f>
        <v>166</v>
      </c>
      <c r="AG71" s="12">
        <f>VLOOKUP(A71,'Données projet'!$A$61:$I$81,9,0)</f>
        <v>6.125</v>
      </c>
      <c r="AH71" s="12">
        <f t="array" ref="AH71">INDEX(AG:AG,MIN(IF(ISNUMBER(AG71:AG267),ROW(AG71:AG267),"")))</f>
        <v>6.125</v>
      </c>
      <c r="AI71" s="13">
        <f>IF('Données projet'!$A$62&gt;35,AI70+AH71-AQ70,IF(A71&lt;'Données projet'!$A$62,$AF$205^A71,IF(A71='Données projet'!$A$62,'Données projet'!$B$62,AI70+AH71-AQ70)))</f>
        <v>166.00000000000006</v>
      </c>
      <c r="AJ71" s="13">
        <f>AI71*VLOOKUP('Données projet'!$B$10,Paramètres!$A$1:$I$89,3,0)*VLOOKUP('Données projet'!$B$10,Paramètres!$A$1:$I$89,5,0)</f>
        <v>150.19680000000005</v>
      </c>
      <c r="AK71" s="13">
        <f t="shared" si="89"/>
        <v>38.623305713694506</v>
      </c>
      <c r="AL71" s="20">
        <f t="shared" si="58"/>
        <v>328.86168411801799</v>
      </c>
      <c r="AM71" s="59">
        <f t="shared" si="59"/>
        <v>622.1950174513513</v>
      </c>
      <c r="AN71" s="59">
        <f ca="1">AVERAGE(OFFSET($AM$3,0,0,'Données projet'!$E$10+1,1))-AVERAGE(OFFSET($H$3,0,0,'Données projet'!$E$10+1,1))</f>
        <v>387.43382681395963</v>
      </c>
      <c r="AO71" s="59">
        <f t="shared" si="90"/>
        <v>184.78537400115721</v>
      </c>
      <c r="AP71" s="15">
        <f>IF(ISNA(VLOOKUP(A71,'Données projet'!$A$61:$I$81,3,0)),0,VLOOKUP(A71,'Données projet'!$A$61:$I$81,3,0))</f>
        <v>3</v>
      </c>
      <c r="AQ71" s="15">
        <f>IF(ISNA(VLOOKUP(A71,'Données projet'!$A$61:$I$81,4,0)),0,VLOOKUP(A71,'Données projet'!$A$61:$I$81,4,0))</f>
        <v>31</v>
      </c>
      <c r="AR71" s="16">
        <f>IF(ISNA(VLOOKUP(A71,'Données projet'!$A$61:$I$81,5,0)),0%,VLOOKUP(A71,'Données projet'!$A$61:$I$81,5,0)*VLOOKUP('Données projet'!$B$10,Paramètres!$A$1:$I$89,7,0))</f>
        <v>0.215</v>
      </c>
      <c r="AS71" s="16">
        <f>IF(ISNA(VLOOKUP(A71,'Données projet'!$A$61:$I$81,6,0)),0%,VLOOKUP(A71,'Données projet'!$A$61:$I$81,6,0)*VLOOKUP('Données projet'!$B$10,Paramètres!$A$1:$I$89,7,0))</f>
        <v>0.17200000000000001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6.6665302800104191</v>
      </c>
      <c r="AV71" s="21">
        <f>EXP(-LN(2)/25)*AV70+(1-EXP(-LN(2)/25))/(LN(2)/25)*Calculateur!AQ71*Calculateur!AS71*VLOOKUP('Données projet'!$B$10,Paramètres!$A$1:$I$89,3,0)*0.475*44/12</f>
        <v>5.3122252881206702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11.978755568131088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169.26131760015181</v>
      </c>
      <c r="T72" s="59">
        <f t="shared" si="88"/>
        <v>395.66019987830481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34.006339016159821</v>
      </c>
      <c r="AA72" s="21">
        <f>EXP(-LN(2)/25)*AA71+(1-EXP(-LN(2)/25))/(LN(2)/25)*Calculateur!V72*Calculateur!X72*VLOOKUP('Données projet'!$B$9,Paramètres!$A$1:$I$89,3,0)*0.475*44/12</f>
        <v>6.3661809624327752</v>
      </c>
      <c r="AB72" s="21">
        <f>EXP(-LN(2)/2)*AB71+(1-EXP(-LN(2)/2))/(LN(2)/2)*V72*Y72*VLOOKUP('Données projet'!$B$9,Paramètres!$A$1:$I$89,3,0)*0.475*44/12</f>
        <v>2.6865223920086273E-7</v>
      </c>
      <c r="AC72" s="22">
        <f t="shared" si="57"/>
        <v>40.372520247244829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5.9</v>
      </c>
      <c r="AI72" s="13">
        <f>IF('Données projet'!$A$62&gt;35,AI71+AH72-AQ71,IF(A72&lt;'Données projet'!$A$62,$AF$205^A72,IF(A72='Données projet'!$A$62,'Données projet'!$B$62,AI71+AH72-AQ71)))</f>
        <v>140.90000000000006</v>
      </c>
      <c r="AJ72" s="13">
        <f>AI72*VLOOKUP('Données projet'!$B$10,Paramètres!$A$1:$I$89,3,0)*VLOOKUP('Données projet'!$B$10,Paramètres!$A$1:$I$89,5,0)</f>
        <v>127.48632000000006</v>
      </c>
      <c r="AK72" s="13">
        <f t="shared" si="89"/>
        <v>33.414863287066048</v>
      </c>
      <c r="AL72" s="20">
        <f t="shared" si="58"/>
        <v>280.23622755830678</v>
      </c>
      <c r="AM72" s="59">
        <f t="shared" si="59"/>
        <v>573.56956089164009</v>
      </c>
      <c r="AN72" s="59">
        <f ca="1">AVERAGE(OFFSET($AM$3,0,0,'Données projet'!$E$10+1,1))-AVERAGE(OFFSET($H$3,0,0,'Données projet'!$E$10+1,1))</f>
        <v>387.43382681395963</v>
      </c>
      <c r="AO72" s="59">
        <f t="shared" si="90"/>
        <v>184.78537400115721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6.5358036874013834</v>
      </c>
      <c r="AV72" s="21">
        <f>EXP(-LN(2)/25)*AV71+(1-EXP(-LN(2)/25))/(LN(2)/25)*Calculateur!AQ72*Calculateur!AS72*VLOOKUP('Données projet'!$B$10,Paramètres!$A$1:$I$89,3,0)*0.475*44/12</f>
        <v>5.1669622082592239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11.702765895660608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169.26131760015181</v>
      </c>
      <c r="T73" s="59">
        <f t="shared" si="88"/>
        <v>395.66019987830481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33.339495449871642</v>
      </c>
      <c r="AA73" s="21">
        <f>EXP(-LN(2)/25)*AA72+(1-EXP(-LN(2)/25))/(LN(2)/25)*Calculateur!V73*Calculateur!X73*VLOOKUP('Données projet'!$B$9,Paramètres!$A$1:$I$89,3,0)*0.475*44/12</f>
        <v>6.1920974092321446</v>
      </c>
      <c r="AB73" s="21">
        <f>EXP(-LN(2)/2)*AB72+(1-EXP(-LN(2)/2))/(LN(2)/2)*V73*Y73*VLOOKUP('Données projet'!$B$9,Paramètres!$A$1:$I$89,3,0)*0.475*44/12</f>
        <v>1.8996582011988047E-7</v>
      </c>
      <c r="AC73" s="22">
        <f t="shared" si="57"/>
        <v>39.531593049069606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5.9</v>
      </c>
      <c r="AI73" s="13">
        <f>IF('Données projet'!$A$62&gt;35,AI72+AH73-AQ72,IF(A73&lt;'Données projet'!$A$62,$AF$205^A73,IF(A73='Données projet'!$A$62,'Données projet'!$B$62,AI72+AH73-AQ72)))</f>
        <v>146.80000000000007</v>
      </c>
      <c r="AJ73" s="13">
        <f>AI73*VLOOKUP('Données projet'!$B$10,Paramètres!$A$1:$I$89,3,0)*VLOOKUP('Données projet'!$B$10,Paramètres!$A$1:$I$89,5,0)</f>
        <v>132.82464000000004</v>
      </c>
      <c r="AK73" s="13">
        <f t="shared" si="89"/>
        <v>34.648231927248233</v>
      </c>
      <c r="AL73" s="20">
        <f t="shared" si="58"/>
        <v>291.68191860662404</v>
      </c>
      <c r="AM73" s="59">
        <f t="shared" si="59"/>
        <v>585.01525193995735</v>
      </c>
      <c r="AN73" s="59">
        <f ca="1">AVERAGE(OFFSET($AM$3,0,0,'Données projet'!$E$10+1,1))-AVERAGE(OFFSET($H$3,0,0,'Données projet'!$E$10+1,1))</f>
        <v>387.43382681395963</v>
      </c>
      <c r="AO73" s="59">
        <f t="shared" si="90"/>
        <v>184.78537400115721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6.4076405635380631</v>
      </c>
      <c r="AV73" s="21">
        <f>EXP(-LN(2)/25)*AV72+(1-EXP(-LN(2)/25))/(LN(2)/25)*Calculateur!AQ73*Calculateur!AS73*VLOOKUP('Données projet'!$B$10,Paramètres!$A$1:$I$89,3,0)*0.475*44/12</f>
        <v>5.0256713549556418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11.433311918493704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169.26131760015181</v>
      </c>
      <c r="T74" s="59">
        <f t="shared" si="88"/>
        <v>395.66019987830481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32.685728279183962</v>
      </c>
      <c r="AA74" s="21">
        <f>EXP(-LN(2)/25)*AA73+(1-EXP(-LN(2)/25))/(LN(2)/25)*Calculateur!V74*Calculateur!X74*VLOOKUP('Données projet'!$B$9,Paramètres!$A$1:$I$89,3,0)*0.475*44/12</f>
        <v>6.0227741799484411</v>
      </c>
      <c r="AB74" s="21">
        <f>EXP(-LN(2)/2)*AB73+(1-EXP(-LN(2)/2))/(LN(2)/2)*V74*Y74*VLOOKUP('Données projet'!$B$9,Paramètres!$A$1:$I$89,3,0)*0.475*44/12</f>
        <v>1.3432611960043136E-7</v>
      </c>
      <c r="AC74" s="22">
        <f t="shared" si="57"/>
        <v>38.708502593458526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5.9</v>
      </c>
      <c r="AI74" s="13">
        <f>IF('Données projet'!$A$62&gt;35,AI73+AH74-AQ73,IF(A74&lt;'Données projet'!$A$62,$AF$205^A74,IF(A74='Données projet'!$A$62,'Données projet'!$B$62,AI73+AH74-AQ73)))</f>
        <v>152.70000000000007</v>
      </c>
      <c r="AJ74" s="13">
        <f>AI74*VLOOKUP('Données projet'!$B$10,Paramètres!$A$1:$I$89,3,0)*VLOOKUP('Données projet'!$B$10,Paramètres!$A$1:$I$89,5,0)</f>
        <v>138.16296000000006</v>
      </c>
      <c r="AK74" s="13">
        <f t="shared" si="89"/>
        <v>35.87584245850627</v>
      </c>
      <c r="AL74" s="20">
        <f t="shared" si="58"/>
        <v>303.11758094856515</v>
      </c>
      <c r="AM74" s="59">
        <f t="shared" si="59"/>
        <v>596.45091428189846</v>
      </c>
      <c r="AN74" s="59">
        <f ca="1">AVERAGE(OFFSET($AM$3,0,0,'Données projet'!$E$10+1,1))-AVERAGE(OFFSET($H$3,0,0,'Données projet'!$E$10+1,1))</f>
        <v>387.43382681395963</v>
      </c>
      <c r="AO74" s="59">
        <f t="shared" si="90"/>
        <v>184.78537400115721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6.281990640361915</v>
      </c>
      <c r="AV74" s="21">
        <f>EXP(-LN(2)/25)*AV73+(1-EXP(-LN(2)/25))/(LN(2)/25)*Calculateur!AQ74*Calculateur!AS74*VLOOKUP('Données projet'!$B$10,Paramètres!$A$1:$I$89,3,0)*0.475*44/12</f>
        <v>4.8882441074658098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11.170234747827724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169.26131760015181</v>
      </c>
      <c r="T75" s="59">
        <f t="shared" si="88"/>
        <v>395.66019987830481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32.044781083954867</v>
      </c>
      <c r="AA75" s="21">
        <f>EXP(-LN(2)/25)*AA74+(1-EXP(-LN(2)/25))/(LN(2)/25)*Calculateur!V75*Calculateur!X75*VLOOKUP('Données projet'!$B$9,Paramètres!$A$1:$I$89,3,0)*0.475*44/12</f>
        <v>5.8580811032738218</v>
      </c>
      <c r="AB75" s="21">
        <f>EXP(-LN(2)/2)*AB74+(1-EXP(-LN(2)/2))/(LN(2)/2)*V75*Y75*VLOOKUP('Données projet'!$B$9,Paramètres!$A$1:$I$89,3,0)*0.475*44/12</f>
        <v>9.4982910059940236E-8</v>
      </c>
      <c r="AC75" s="22">
        <f t="shared" si="57"/>
        <v>37.902862282211601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5.9</v>
      </c>
      <c r="AI75" s="13">
        <f>IF('Données projet'!$A$62&gt;35,AI74+AH75-AQ74,IF(A75&lt;'Données projet'!$A$62,$AF$205^A75,IF(A75='Données projet'!$A$62,'Données projet'!$B$62,AI74+AH75-AQ74)))</f>
        <v>158.60000000000008</v>
      </c>
      <c r="AJ75" s="13">
        <f>AI75*VLOOKUP('Données projet'!$B$10,Paramètres!$A$1:$I$89,3,0)*VLOOKUP('Données projet'!$B$10,Paramètres!$A$1:$I$89,5,0)</f>
        <v>143.50128000000007</v>
      </c>
      <c r="AK75" s="13">
        <f t="shared" si="89"/>
        <v>37.097942826522427</v>
      </c>
      <c r="AL75" s="20">
        <f t="shared" si="58"/>
        <v>314.54364642285998</v>
      </c>
      <c r="AM75" s="59">
        <f t="shared" si="59"/>
        <v>607.87697975619335</v>
      </c>
      <c r="AN75" s="59">
        <f ca="1">AVERAGE(OFFSET($AM$3,0,0,'Données projet'!$E$10+1,1))-AVERAGE(OFFSET($H$3,0,0,'Données projet'!$E$10+1,1))</f>
        <v>387.43382681395963</v>
      </c>
      <c r="AO75" s="59">
        <f t="shared" si="90"/>
        <v>184.78537400115721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6.1588046355403661</v>
      </c>
      <c r="AV75" s="21">
        <f>EXP(-LN(2)/25)*AV74+(1-EXP(-LN(2)/25))/(LN(2)/25)*Calculateur!AQ75*Calculateur!AS75*VLOOKUP('Données projet'!$B$10,Paramètres!$A$1:$I$89,3,0)*0.475*44/12</f>
        <v>4.7545748152855722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10.913379450825939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169.26131760015181</v>
      </c>
      <c r="T76" s="59">
        <f t="shared" si="88"/>
        <v>395.66019987830481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31.416402472285025</v>
      </c>
      <c r="AA76" s="21">
        <f>EXP(-LN(2)/25)*AA75+(1-EXP(-LN(2)/25))/(LN(2)/25)*Calculateur!V76*Calculateur!X76*VLOOKUP('Données projet'!$B$9,Paramètres!$A$1:$I$89,3,0)*0.475*44/12</f>
        <v>5.6978915674417028</v>
      </c>
      <c r="AB76" s="21">
        <f>EXP(-LN(2)/2)*AB75+(1-EXP(-LN(2)/2))/(LN(2)/2)*V76*Y76*VLOOKUP('Données projet'!$B$9,Paramètres!$A$1:$I$89,3,0)*0.475*44/12</f>
        <v>6.7163059800215682E-8</v>
      </c>
      <c r="AC76" s="22">
        <f t="shared" si="57"/>
        <v>37.114294106889787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5.9</v>
      </c>
      <c r="AI76" s="13">
        <f>IF('Données projet'!$A$62&gt;35,AI75+AH76-AQ75,IF(A76&lt;'Données projet'!$A$62,$AF$205^A76,IF(A76='Données projet'!$A$62,'Données projet'!$B$62,AI75+AH76-AQ75)))</f>
        <v>164.50000000000009</v>
      </c>
      <c r="AJ76" s="13">
        <f>AI76*VLOOKUP('Données projet'!$B$10,Paramètres!$A$1:$I$89,3,0)*VLOOKUP('Données projet'!$B$10,Paramètres!$A$1:$I$89,5,0)</f>
        <v>148.83960000000008</v>
      </c>
      <c r="AK76" s="13">
        <f t="shared" si="89"/>
        <v>38.314761484407519</v>
      </c>
      <c r="AL76" s="20">
        <f t="shared" si="58"/>
        <v>325.9605129186765</v>
      </c>
      <c r="AM76" s="59">
        <f t="shared" si="59"/>
        <v>619.29384625200987</v>
      </c>
      <c r="AN76" s="59">
        <f ca="1">AVERAGE(OFFSET($AM$3,0,0,'Données projet'!$E$10+1,1))-AVERAGE(OFFSET($H$3,0,0,'Données projet'!$E$10+1,1))</f>
        <v>387.43382681395963</v>
      </c>
      <c r="AO76" s="59">
        <f t="shared" si="90"/>
        <v>184.78537400115721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6.0380342331373233</v>
      </c>
      <c r="AV76" s="21">
        <f>EXP(-LN(2)/25)*AV75+(1-EXP(-LN(2)/25))/(LN(2)/25)*Calculateur!AQ76*Calculateur!AS76*VLOOKUP('Données projet'!$B$10,Paramètres!$A$1:$I$89,3,0)*0.475*44/12</f>
        <v>4.6245607169293654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10.662594950066689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169.26131760015181</v>
      </c>
      <c r="T77" s="59">
        <f t="shared" si="88"/>
        <v>395.66019987830481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30.800345981916923</v>
      </c>
      <c r="AA77" s="21">
        <f>EXP(-LN(2)/25)*AA76+(1-EXP(-LN(2)/25))/(LN(2)/25)*Calculateur!V77*Calculateur!X77*VLOOKUP('Données projet'!$B$9,Paramètres!$A$1:$I$89,3,0)*0.475*44/12</f>
        <v>5.5420824228909149</v>
      </c>
      <c r="AB77" s="21">
        <f>EXP(-LN(2)/2)*AB76+(1-EXP(-LN(2)/2))/(LN(2)/2)*V77*Y77*VLOOKUP('Données projet'!$B$9,Paramètres!$A$1:$I$89,3,0)*0.475*44/12</f>
        <v>4.7491455029970118E-8</v>
      </c>
      <c r="AC77" s="22">
        <f t="shared" si="57"/>
        <v>36.342428452299295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5.9</v>
      </c>
      <c r="AI77" s="13">
        <f>IF('Données projet'!$A$62&gt;35,AI76+AH77-AQ76,IF(A77&lt;'Données projet'!$A$62,$AF$205^A77,IF(A77='Données projet'!$A$62,'Données projet'!$B$62,AI76+AH77-AQ76)))</f>
        <v>170.40000000000009</v>
      </c>
      <c r="AJ77" s="13">
        <f>AI77*VLOOKUP('Données projet'!$B$10,Paramètres!$A$1:$I$89,3,0)*VLOOKUP('Données projet'!$B$10,Paramètres!$A$1:$I$89,5,0)</f>
        <v>154.17792000000009</v>
      </c>
      <c r="AK77" s="13">
        <f t="shared" si="89"/>
        <v>39.526509568829269</v>
      </c>
      <c r="AL77" s="20">
        <f t="shared" si="58"/>
        <v>337.3685481657111</v>
      </c>
      <c r="AM77" s="59">
        <f t="shared" si="59"/>
        <v>630.70188149904448</v>
      </c>
      <c r="AN77" s="59">
        <f ca="1">AVERAGE(OFFSET($AM$3,0,0,'Données projet'!$E$10+1,1))-AVERAGE(OFFSET($H$3,0,0,'Données projet'!$E$10+1,1))</f>
        <v>387.43382681395963</v>
      </c>
      <c r="AO77" s="59">
        <f t="shared" si="90"/>
        <v>184.78537400115721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5.919632064662733</v>
      </c>
      <c r="AV77" s="21">
        <f>EXP(-LN(2)/25)*AV76+(1-EXP(-LN(2)/25))/(LN(2)/25)*Calculateur!AQ77*Calculateur!AS77*VLOOKUP('Données projet'!$B$10,Paramètres!$A$1:$I$89,3,0)*0.475*44/12</f>
        <v>4.4981018609298538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10.417733925592586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169.26131760015181</v>
      </c>
      <c r="T78" s="59">
        <f t="shared" si="88"/>
        <v>395.66019987830481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30.196369983567582</v>
      </c>
      <c r="AA78" s="21">
        <f>EXP(-LN(2)/25)*AA77+(1-EXP(-LN(2)/25))/(LN(2)/25)*Calculateur!V78*Calculateur!X78*VLOOKUP('Données projet'!$B$9,Paramètres!$A$1:$I$89,3,0)*0.475*44/12</f>
        <v>5.3905338875915145</v>
      </c>
      <c r="AB78" s="21">
        <f>EXP(-LN(2)/2)*AB77+(1-EXP(-LN(2)/2))/(LN(2)/2)*V78*Y78*VLOOKUP('Données projet'!$B$9,Paramètres!$A$1:$I$89,3,0)*0.475*44/12</f>
        <v>3.3581529900107841E-8</v>
      </c>
      <c r="AC78" s="22">
        <f t="shared" si="57"/>
        <v>35.586903904740623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5.9</v>
      </c>
      <c r="AI78" s="13">
        <f>IF('Données projet'!$A$62&gt;35,AI77+AH78-AQ77,IF(A78&lt;'Données projet'!$A$62,$AF$205^A78,IF(A78='Données projet'!$A$62,'Données projet'!$B$62,AI77+AH78-AQ77)))</f>
        <v>176.3000000000001</v>
      </c>
      <c r="AJ78" s="13">
        <f>AI78*VLOOKUP('Données projet'!$B$10,Paramètres!$A$1:$I$89,3,0)*VLOOKUP('Données projet'!$B$10,Paramètres!$A$1:$I$89,5,0)</f>
        <v>159.51624000000007</v>
      </c>
      <c r="AK78" s="13">
        <f t="shared" si="89"/>
        <v>40.733382766285203</v>
      </c>
      <c r="AL78" s="20">
        <f t="shared" si="58"/>
        <v>348.76809298461347</v>
      </c>
      <c r="AM78" s="59">
        <f t="shared" si="59"/>
        <v>642.10142631794679</v>
      </c>
      <c r="AN78" s="59">
        <f ca="1">AVERAGE(OFFSET($AM$3,0,0,'Données projet'!$E$10+1,1))-AVERAGE(OFFSET($H$3,0,0,'Données projet'!$E$10+1,1))</f>
        <v>387.43382681395963</v>
      </c>
      <c r="AO78" s="59">
        <f t="shared" si="90"/>
        <v>184.78537400115721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5.8035516904937374</v>
      </c>
      <c r="AV78" s="21">
        <f>EXP(-LN(2)/25)*AV77+(1-EXP(-LN(2)/25))/(LN(2)/25)*Calculateur!AQ78*Calculateur!AS78*VLOOKUP('Données projet'!$B$10,Paramètres!$A$1:$I$89,3,0)*0.475*44/12</f>
        <v>4.3751010289978307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10.178652719491568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169.26131760015181</v>
      </c>
      <c r="T79" s="59">
        <f t="shared" si="88"/>
        <v>395.66019987830481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29.604237586156888</v>
      </c>
      <c r="AA79" s="21">
        <f>EXP(-LN(2)/25)*AA78+(1-EXP(-LN(2)/25))/(LN(2)/25)*Calculateur!V79*Calculateur!X79*VLOOKUP('Données projet'!$B$9,Paramètres!$A$1:$I$89,3,0)*0.475*44/12</f>
        <v>5.243129454959468</v>
      </c>
      <c r="AB79" s="21">
        <f>EXP(-LN(2)/2)*AB78+(1-EXP(-LN(2)/2))/(LN(2)/2)*V79*Y79*VLOOKUP('Données projet'!$B$9,Paramètres!$A$1:$I$89,3,0)*0.475*44/12</f>
        <v>2.3745727514985059E-8</v>
      </c>
      <c r="AC79" s="22">
        <f t="shared" si="57"/>
        <v>34.847367064862084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5.9</v>
      </c>
      <c r="AI79" s="13">
        <f>IF('Données projet'!$A$62&gt;35,AI78+AH79-AQ78,IF(A79&lt;'Données projet'!$A$62,$AF$205^A79,IF(A79='Données projet'!$A$62,'Données projet'!$B$62,AI78+AH79-AQ78)))</f>
        <v>182.2000000000001</v>
      </c>
      <c r="AJ79" s="13">
        <f>AI79*VLOOKUP('Données projet'!$B$10,Paramètres!$A$1:$I$89,3,0)*VLOOKUP('Données projet'!$B$10,Paramètres!$A$1:$I$89,5,0)</f>
        <v>164.85456000000011</v>
      </c>
      <c r="AK79" s="13">
        <f t="shared" si="89"/>
        <v>41.935562922532533</v>
      </c>
      <c r="AL79" s="20">
        <f t="shared" si="58"/>
        <v>360.15946409007773</v>
      </c>
      <c r="AM79" s="59">
        <f t="shared" si="59"/>
        <v>653.49279742341105</v>
      </c>
      <c r="AN79" s="59">
        <f ca="1">AVERAGE(OFFSET($AM$3,0,0,'Données projet'!$E$10+1,1))-AVERAGE(OFFSET($H$3,0,0,'Données projet'!$E$10+1,1))</f>
        <v>387.43382681395963</v>
      </c>
      <c r="AO79" s="59">
        <f t="shared" si="90"/>
        <v>184.78537400115721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5.6897475816601588</v>
      </c>
      <c r="AV79" s="21">
        <f>EXP(-LN(2)/25)*AV78+(1-EXP(-LN(2)/25))/(LN(2)/25)*Calculateur!AQ79*Calculateur!AS79*VLOOKUP('Données projet'!$B$10,Paramètres!$A$1:$I$89,3,0)*0.475*44/12</f>
        <v>4.2554636612833212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9.9452112429434791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169.26131760015181</v>
      </c>
      <c r="T80" s="59">
        <f t="shared" si="88"/>
        <v>395.66019987830481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29.023716543894317</v>
      </c>
      <c r="AA80" s="21">
        <f>EXP(-LN(2)/25)*AA79+(1-EXP(-LN(2)/25))/(LN(2)/25)*Calculateur!V80*Calculateur!X80*VLOOKUP('Données projet'!$B$9,Paramètres!$A$1:$I$89,3,0)*0.475*44/12</f>
        <v>5.0997558042894067</v>
      </c>
      <c r="AB80" s="21">
        <f>EXP(-LN(2)/2)*AB79+(1-EXP(-LN(2)/2))/(LN(2)/2)*V80*Y80*VLOOKUP('Données projet'!$B$9,Paramètres!$A$1:$I$89,3,0)*0.475*44/12</f>
        <v>1.6790764950053921E-8</v>
      </c>
      <c r="AC80" s="22">
        <f t="shared" si="57"/>
        <v>34.123472364974489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5.9</v>
      </c>
      <c r="AI80" s="13">
        <f>IF('Données projet'!$A$62&gt;35,AI79+AH80-AQ79,IF(A80&lt;'Données projet'!$A$62,$AF$205^A80,IF(A80='Données projet'!$A$62,'Données projet'!$B$62,AI79+AH80-AQ79)))</f>
        <v>188.10000000000011</v>
      </c>
      <c r="AJ80" s="13">
        <f>AI80*VLOOKUP('Données projet'!$B$10,Paramètres!$A$1:$I$89,3,0)*VLOOKUP('Données projet'!$B$10,Paramètres!$A$1:$I$89,5,0)</f>
        <v>170.19288000000009</v>
      </c>
      <c r="AK80" s="13">
        <f t="shared" si="89"/>
        <v>43.133219437696241</v>
      </c>
      <c r="AL80" s="20">
        <f t="shared" si="58"/>
        <v>371.5429565206544</v>
      </c>
      <c r="AM80" s="59">
        <f t="shared" si="59"/>
        <v>664.87628985398771</v>
      </c>
      <c r="AN80" s="59">
        <f ca="1">AVERAGE(OFFSET($AM$3,0,0,'Données projet'!$E$10+1,1))-AVERAGE(OFFSET($H$3,0,0,'Données projet'!$E$10+1,1))</f>
        <v>387.43382681395963</v>
      </c>
      <c r="AO80" s="59">
        <f t="shared" si="90"/>
        <v>184.78537400115721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5.5781751019871537</v>
      </c>
      <c r="AV80" s="21">
        <f>EXP(-LN(2)/25)*AV79+(1-EXP(-LN(2)/25))/(LN(2)/25)*Calculateur!AQ80*Calculateur!AS80*VLOOKUP('Données projet'!$B$10,Paramètres!$A$1:$I$89,3,0)*0.475*44/12</f>
        <v>4.1390977836804206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9.7172728856675743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169.26131760015181</v>
      </c>
      <c r="T81" s="59">
        <f t="shared" si="88"/>
        <v>395.66019987830481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28.454579165187642</v>
      </c>
      <c r="AA81" s="21">
        <f>EXP(-LN(2)/25)*AA80+(1-EXP(-LN(2)/25))/(LN(2)/25)*Calculateur!V81*Calculateur!X81*VLOOKUP('Données projet'!$B$9,Paramètres!$A$1:$I$89,3,0)*0.475*44/12</f>
        <v>4.9603027136366107</v>
      </c>
      <c r="AB81" s="21">
        <f>EXP(-LN(2)/2)*AB80+(1-EXP(-LN(2)/2))/(LN(2)/2)*V81*Y81*VLOOKUP('Données projet'!$B$9,Paramètres!$A$1:$I$89,3,0)*0.475*44/12</f>
        <v>1.1872863757492529E-8</v>
      </c>
      <c r="AC81" s="22">
        <f t="shared" si="57"/>
        <v>33.414881890697117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194</v>
      </c>
      <c r="AG81" s="12">
        <f>VLOOKUP(A81,'Données projet'!$A$61:$I$81,9,0)</f>
        <v>5.9</v>
      </c>
      <c r="AH81" s="12">
        <f t="array" ref="AH81">INDEX(AG:AG,MIN(IF(ISNUMBER(AG81:AG277),ROW(AG81:AG277),"")))</f>
        <v>5.9</v>
      </c>
      <c r="AI81" s="13">
        <f>IF('Données projet'!$A$62&gt;35,AI80+AH81-AQ80,IF(A81&lt;'Données projet'!$A$62,$AF$205^A81,IF(A81='Données projet'!$A$62,'Données projet'!$B$62,AI80+AH81-AQ80)))</f>
        <v>194.00000000000011</v>
      </c>
      <c r="AJ81" s="13">
        <f>AI81*VLOOKUP('Données projet'!$B$10,Paramètres!$A$1:$I$89,3,0)*VLOOKUP('Données projet'!$B$10,Paramètres!$A$1:$I$89,5,0)</f>
        <v>175.5312000000001</v>
      </c>
      <c r="AK81" s="13">
        <f t="shared" si="89"/>
        <v>44.326510481422531</v>
      </c>
      <c r="AL81" s="20">
        <f t="shared" si="58"/>
        <v>382.91884575514445</v>
      </c>
      <c r="AM81" s="59">
        <f t="shared" si="59"/>
        <v>676.25217908847776</v>
      </c>
      <c r="AN81" s="59">
        <f ca="1">AVERAGE(OFFSET($AM$3,0,0,'Données projet'!$E$10+1,1))-AVERAGE(OFFSET($H$3,0,0,'Données projet'!$E$10+1,1))</f>
        <v>387.43382681395963</v>
      </c>
      <c r="AO81" s="59">
        <f t="shared" si="90"/>
        <v>184.78537400115721</v>
      </c>
      <c r="AP81" s="15">
        <f>IF(ISNA(VLOOKUP(A81,'Données projet'!$A$61:$I$81,3,0)),0,VLOOKUP(A81,'Données projet'!$A$61:$I$81,3,0))</f>
        <v>4</v>
      </c>
      <c r="AQ81" s="15">
        <f>IF(ISNA(VLOOKUP(A81,'Données projet'!$A$61:$I$81,4,0)),0,VLOOKUP(A81,'Données projet'!$A$61:$I$81,4,0))</f>
        <v>32</v>
      </c>
      <c r="AR81" s="16">
        <f>IF(ISNA(VLOOKUP(A81,'Données projet'!$A$61:$I$81,5,0)),0%,VLOOKUP(A81,'Données projet'!$A$61:$I$81,5,0)*VLOOKUP('Données projet'!$B$10,Paramètres!$A$1:$I$89,7,0))</f>
        <v>0.215</v>
      </c>
      <c r="AS81" s="16">
        <f>IF(ISNA(VLOOKUP(A81,'Données projet'!$A$61:$I$81,6,0)),0%,VLOOKUP(A81,'Données projet'!$A$61:$I$81,6,0)*VLOOKUP('Données projet'!$B$10,Paramètres!$A$1:$I$89,7,0))</f>
        <v>0.17200000000000001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12.350370134469767</v>
      </c>
      <c r="AV81" s="21">
        <f>EXP(-LN(2)/25)*AV80+(1-EXP(-LN(2)/25))/(LN(2)/25)*Calculateur!AQ81*Calculateur!AS81*VLOOKUP('Données projet'!$B$10,Paramètres!$A$1:$I$89,3,0)*0.475*44/12</f>
        <v>9.5095013313090675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21.859871465778834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169.26131760015181</v>
      </c>
      <c r="T82" s="59">
        <f t="shared" si="88"/>
        <v>395.66019987830481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27.896602223337883</v>
      </c>
      <c r="AA82" s="21">
        <f>EXP(-LN(2)/25)*AA81+(1-EXP(-LN(2)/25))/(LN(2)/25)*Calculateur!V82*Calculateur!X82*VLOOKUP('Données projet'!$B$9,Paramètres!$A$1:$I$89,3,0)*0.475*44/12</f>
        <v>4.8246629750812344</v>
      </c>
      <c r="AB82" s="21">
        <f>EXP(-LN(2)/2)*AB81+(1-EXP(-LN(2)/2))/(LN(2)/2)*V82*Y82*VLOOKUP('Données projet'!$B$9,Paramètres!$A$1:$I$89,3,0)*0.475*44/12</f>
        <v>8.3953824750269603E-9</v>
      </c>
      <c r="AC82" s="22">
        <f t="shared" si="57"/>
        <v>32.7212652068145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5.7</v>
      </c>
      <c r="AI82" s="13">
        <f>IF('Données projet'!$A$62&gt;35,AI81+AH82-AQ81,IF(A82&lt;'Données projet'!$A$62,$AF$205^A82,IF(A82='Données projet'!$A$62,'Données projet'!$B$62,AI81+AH82-AQ81)))</f>
        <v>167.7000000000001</v>
      </c>
      <c r="AJ82" s="13">
        <f>AI82*VLOOKUP('Données projet'!$B$10,Paramètres!$A$1:$I$89,3,0)*VLOOKUP('Données projet'!$B$10,Paramètres!$A$1:$I$89,5,0)</f>
        <v>151.73496000000009</v>
      </c>
      <c r="AK82" s="13">
        <f t="shared" si="89"/>
        <v>38.972597229458756</v>
      </c>
      <c r="AL82" s="20">
        <f t="shared" si="58"/>
        <v>332.14899550797418</v>
      </c>
      <c r="AM82" s="59">
        <f t="shared" si="59"/>
        <v>625.48232884130744</v>
      </c>
      <c r="AN82" s="59">
        <f ca="1">AVERAGE(OFFSET($AM$3,0,0,'Données projet'!$E$10+1,1))-AVERAGE(OFFSET($H$3,0,0,'Données projet'!$E$10+1,1))</f>
        <v>387.43382681395963</v>
      </c>
      <c r="AO82" s="59">
        <f t="shared" si="90"/>
        <v>184.78537400115721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12.108186909114776</v>
      </c>
      <c r="AV82" s="21">
        <f>EXP(-LN(2)/25)*AV81+(1-EXP(-LN(2)/25))/(LN(2)/25)*Calculateur!AQ82*Calculateur!AS82*VLOOKUP('Données projet'!$B$10,Paramètres!$A$1:$I$89,3,0)*0.475*44/12</f>
        <v>9.2494635173214803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21.357650426436258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169.26131760015181</v>
      </c>
      <c r="T83" s="59">
        <f t="shared" si="88"/>
        <v>395.66019987830481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27.349566868985466</v>
      </c>
      <c r="AA83" s="21">
        <f>EXP(-LN(2)/25)*AA82+(1-EXP(-LN(2)/25))/(LN(2)/25)*Calculateur!V83*Calculateur!X83*VLOOKUP('Données projet'!$B$9,Paramètres!$A$1:$I$89,3,0)*0.475*44/12</f>
        <v>4.6927323123096389</v>
      </c>
      <c r="AB83" s="21">
        <f>EXP(-LN(2)/2)*AB82+(1-EXP(-LN(2)/2))/(LN(2)/2)*V83*Y83*VLOOKUP('Données projet'!$B$9,Paramètres!$A$1:$I$89,3,0)*0.475*44/12</f>
        <v>5.9364318787462647E-9</v>
      </c>
      <c r="AC83" s="22">
        <f t="shared" si="57"/>
        <v>32.042299187231542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5.7</v>
      </c>
      <c r="AI83" s="13">
        <f>IF('Données projet'!$A$62&gt;35,AI82+AH83-AQ82,IF(A83&lt;'Données projet'!$A$62,$AF$205^A83,IF(A83='Données projet'!$A$62,'Données projet'!$B$62,AI82+AH83-AQ82)))</f>
        <v>173.40000000000009</v>
      </c>
      <c r="AJ83" s="13">
        <f>AI83*VLOOKUP('Données projet'!$B$10,Paramètres!$A$1:$I$89,3,0)*VLOOKUP('Données projet'!$B$10,Paramètres!$A$1:$I$89,5,0)</f>
        <v>156.89232000000007</v>
      </c>
      <c r="AK83" s="13">
        <f t="shared" si="89"/>
        <v>40.140771359113288</v>
      </c>
      <c r="AL83" s="20">
        <f t="shared" si="58"/>
        <v>343.16596745045581</v>
      </c>
      <c r="AM83" s="59">
        <f t="shared" si="59"/>
        <v>636.49930078378907</v>
      </c>
      <c r="AN83" s="59">
        <f ca="1">AVERAGE(OFFSET($AM$3,0,0,'Données projet'!$E$10+1,1))-AVERAGE(OFFSET($H$3,0,0,'Données projet'!$E$10+1,1))</f>
        <v>387.43382681395963</v>
      </c>
      <c r="AO83" s="59">
        <f t="shared" si="90"/>
        <v>184.78537400115721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11.870752749091816</v>
      </c>
      <c r="AV83" s="21">
        <f>EXP(-LN(2)/25)*AV82+(1-EXP(-LN(2)/25))/(LN(2)/25)*Calculateur!AQ83*Calculateur!AS83*VLOOKUP('Données projet'!$B$10,Paramètres!$A$1:$I$89,3,0)*0.475*44/12</f>
        <v>8.9965364510321777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20.867289200123992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169.26131760015181</v>
      </c>
      <c r="T84" s="59">
        <f t="shared" si="88"/>
        <v>395.66019987830481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26.813258544273282</v>
      </c>
      <c r="AA84" s="21">
        <f>EXP(-LN(2)/25)*AA83+(1-EXP(-LN(2)/25))/(LN(2)/25)*Calculateur!V84*Calculateur!X84*VLOOKUP('Données projet'!$B$9,Paramètres!$A$1:$I$89,3,0)*0.475*44/12</f>
        <v>4.5644093004494648</v>
      </c>
      <c r="AB84" s="21">
        <f>EXP(-LN(2)/2)*AB83+(1-EXP(-LN(2)/2))/(LN(2)/2)*V84*Y84*VLOOKUP('Données projet'!$B$9,Paramètres!$A$1:$I$89,3,0)*0.475*44/12</f>
        <v>4.1976912375134801E-9</v>
      </c>
      <c r="AC84" s="22">
        <f t="shared" si="57"/>
        <v>31.377667848920439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5.7</v>
      </c>
      <c r="AI84" s="13">
        <f>IF('Données projet'!$A$62&gt;35,AI83+AH84-AQ83,IF(A84&lt;'Données projet'!$A$62,$AF$205^A84,IF(A84='Données projet'!$A$62,'Données projet'!$B$62,AI83+AH84-AQ83)))</f>
        <v>179.10000000000008</v>
      </c>
      <c r="AJ84" s="13">
        <f>AI84*VLOOKUP('Données projet'!$B$10,Paramètres!$A$1:$I$89,3,0)*VLOOKUP('Données projet'!$B$10,Paramètres!$A$1:$I$89,5,0)</f>
        <v>162.04968000000008</v>
      </c>
      <c r="AK84" s="13">
        <f t="shared" si="89"/>
        <v>41.304483398422938</v>
      </c>
      <c r="AL84" s="20">
        <f t="shared" si="58"/>
        <v>354.17516791892012</v>
      </c>
      <c r="AM84" s="59">
        <f t="shared" si="59"/>
        <v>647.50850125225338</v>
      </c>
      <c r="AN84" s="59">
        <f ca="1">AVERAGE(OFFSET($AM$3,0,0,'Données projet'!$E$10+1,1))-AVERAGE(OFFSET($H$3,0,0,'Données projet'!$E$10+1,1))</f>
        <v>387.43382681395963</v>
      </c>
      <c r="AO84" s="59">
        <f t="shared" si="90"/>
        <v>184.78537400115721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11.637974528126367</v>
      </c>
      <c r="AV84" s="21">
        <f>EXP(-LN(2)/25)*AV83+(1-EXP(-LN(2)/25))/(LN(2)/25)*Calculateur!AQ84*Calculateur!AS84*VLOOKUP('Données projet'!$B$10,Paramètres!$A$1:$I$89,3,0)*0.475*44/12</f>
        <v>8.7505256886714129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20.38850021679778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169.26131760015181</v>
      </c>
      <c r="T85" s="59">
        <f t="shared" si="88"/>
        <v>395.66019987830481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26.287466898692923</v>
      </c>
      <c r="AA85" s="21">
        <f>EXP(-LN(2)/25)*AA84+(1-EXP(-LN(2)/25))/(LN(2)/25)*Calculateur!V85*Calculateur!X85*VLOOKUP('Données projet'!$B$9,Paramètres!$A$1:$I$89,3,0)*0.475*44/12</f>
        <v>4.4395952880968208</v>
      </c>
      <c r="AB85" s="21">
        <f>EXP(-LN(2)/2)*AB84+(1-EXP(-LN(2)/2))/(LN(2)/2)*V85*Y85*VLOOKUP('Données projet'!$B$9,Paramètres!$A$1:$I$89,3,0)*0.475*44/12</f>
        <v>2.9682159393731324E-9</v>
      </c>
      <c r="AC85" s="22">
        <f t="shared" si="57"/>
        <v>30.727062189757962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5.7</v>
      </c>
      <c r="AI85" s="13">
        <f>IF('Données projet'!$A$62&gt;35,AI84+AH85-AQ84,IF(A85&lt;'Données projet'!$A$62,$AF$205^A85,IF(A85='Données projet'!$A$62,'Données projet'!$B$62,AI84+AH85-AQ84)))</f>
        <v>184.80000000000007</v>
      </c>
      <c r="AJ85" s="13">
        <f>AI85*VLOOKUP('Données projet'!$B$10,Paramètres!$A$1:$I$89,3,0)*VLOOKUP('Données projet'!$B$10,Paramètres!$A$1:$I$89,5,0)</f>
        <v>167.20704000000003</v>
      </c>
      <c r="AK85" s="13">
        <f t="shared" si="89"/>
        <v>42.463891647822834</v>
      </c>
      <c r="AL85" s="20">
        <f t="shared" si="58"/>
        <v>365.17687261995815</v>
      </c>
      <c r="AM85" s="59">
        <f t="shared" si="59"/>
        <v>658.51020595329146</v>
      </c>
      <c r="AN85" s="59">
        <f ca="1">AVERAGE(OFFSET($AM$3,0,0,'Données projet'!$E$10+1,1))-AVERAGE(OFFSET($H$3,0,0,'Données projet'!$E$10+1,1))</f>
        <v>387.43382681395963</v>
      </c>
      <c r="AO85" s="59">
        <f t="shared" si="90"/>
        <v>184.78537400115721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11.409760946093357</v>
      </c>
      <c r="AV85" s="21">
        <f>EXP(-LN(2)/25)*AV84+(1-EXP(-LN(2)/25))/(LN(2)/25)*Calculateur!AQ85*Calculateur!AS85*VLOOKUP('Données projet'!$B$10,Paramètres!$A$1:$I$89,3,0)*0.475*44/12</f>
        <v>8.5112421035445465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19.921003049637903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169.26131760015181</v>
      </c>
      <c r="T86" s="59">
        <f t="shared" si="88"/>
        <v>395.66019987830481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25.771985706581159</v>
      </c>
      <c r="AA86" s="21">
        <f>EXP(-LN(2)/25)*AA85+(1-EXP(-LN(2)/25))/(LN(2)/25)*Calculateur!V86*Calculateur!X86*VLOOKUP('Données projet'!$B$9,Paramètres!$A$1:$I$89,3,0)*0.475*44/12</f>
        <v>4.3181943214756435</v>
      </c>
      <c r="AB86" s="21">
        <f>EXP(-LN(2)/2)*AB85+(1-EXP(-LN(2)/2))/(LN(2)/2)*V86*Y86*VLOOKUP('Données projet'!$B$9,Paramètres!$A$1:$I$89,3,0)*0.475*44/12</f>
        <v>2.0988456187567401E-9</v>
      </c>
      <c r="AC86" s="22">
        <f t="shared" si="57"/>
        <v>30.090180030155651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5.7</v>
      </c>
      <c r="AI86" s="13">
        <f>IF('Données projet'!$A$62&gt;35,AI85+AH86-AQ85,IF(A86&lt;'Données projet'!$A$62,$AF$205^A86,IF(A86='Données projet'!$A$62,'Données projet'!$B$62,AI85+AH86-AQ85)))</f>
        <v>190.50000000000006</v>
      </c>
      <c r="AJ86" s="13">
        <f>AI86*VLOOKUP('Données projet'!$B$10,Paramètres!$A$1:$I$89,3,0)*VLOOKUP('Données projet'!$B$10,Paramètres!$A$1:$I$89,5,0)</f>
        <v>172.36440000000005</v>
      </c>
      <c r="AK86" s="13">
        <f t="shared" si="89"/>
        <v>43.619144087686877</v>
      </c>
      <c r="AL86" s="20">
        <f t="shared" si="58"/>
        <v>376.17133928605472</v>
      </c>
      <c r="AM86" s="59">
        <f t="shared" si="59"/>
        <v>669.50467261938797</v>
      </c>
      <c r="AN86" s="59">
        <f ca="1">AVERAGE(OFFSET($AM$3,0,0,'Données projet'!$E$10+1,1))-AVERAGE(OFFSET($H$3,0,0,'Données projet'!$E$10+1,1))</f>
        <v>387.43382681395963</v>
      </c>
      <c r="AO86" s="59">
        <f t="shared" si="90"/>
        <v>184.78537400115721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11.186022493207473</v>
      </c>
      <c r="AV86" s="21">
        <f>EXP(-LN(2)/25)*AV85+(1-EXP(-LN(2)/25))/(LN(2)/25)*Calculateur!AQ86*Calculateur!AS86*VLOOKUP('Données projet'!$B$10,Paramètres!$A$1:$I$89,3,0)*0.475*44/12</f>
        <v>8.2785017406363508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19.464524233843825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169.26131760015181</v>
      </c>
      <c r="T87" s="59">
        <f t="shared" si="88"/>
        <v>395.66019987830481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25.266612786234226</v>
      </c>
      <c r="AA87" s="21">
        <f>EXP(-LN(2)/25)*AA86+(1-EXP(-LN(2)/25))/(LN(2)/25)*Calculateur!V87*Calculateur!X87*VLOOKUP('Données projet'!$B$9,Paramètres!$A$1:$I$89,3,0)*0.475*44/12</f>
        <v>4.2001130706709224</v>
      </c>
      <c r="AB87" s="21">
        <f>EXP(-LN(2)/2)*AB86+(1-EXP(-LN(2)/2))/(LN(2)/2)*V87*Y87*VLOOKUP('Données projet'!$B$9,Paramètres!$A$1:$I$89,3,0)*0.475*44/12</f>
        <v>1.4841079696865662E-9</v>
      </c>
      <c r="AC87" s="22">
        <f t="shared" si="57"/>
        <v>29.466725858389257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5.7</v>
      </c>
      <c r="AI87" s="13">
        <f>IF('Données projet'!$A$62&gt;35,AI86+AH87-AQ86,IF(A87&lt;'Données projet'!$A$62,$AF$205^A87,IF(A87='Données projet'!$A$62,'Données projet'!$B$62,AI86+AH87-AQ86)))</f>
        <v>196.20000000000005</v>
      </c>
      <c r="AJ87" s="13">
        <f>AI87*VLOOKUP('Données projet'!$B$10,Paramètres!$A$1:$I$89,3,0)*VLOOKUP('Données projet'!$B$10,Paramètres!$A$1:$I$89,5,0)</f>
        <v>177.52176000000003</v>
      </c>
      <c r="AK87" s="13">
        <f t="shared" si="89"/>
        <v>44.770379339547972</v>
      </c>
      <c r="AL87" s="20">
        <f t="shared" si="58"/>
        <v>387.15880934971273</v>
      </c>
      <c r="AM87" s="59">
        <f t="shared" si="59"/>
        <v>680.49214268304604</v>
      </c>
      <c r="AN87" s="59">
        <f ca="1">AVERAGE(OFFSET($AM$3,0,0,'Données projet'!$E$10+1,1))-AVERAGE(OFFSET($H$3,0,0,'Données projet'!$E$10+1,1))</f>
        <v>387.43382681395963</v>
      </c>
      <c r="AO87" s="59">
        <f t="shared" si="90"/>
        <v>184.78537400115721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10.9666714149157</v>
      </c>
      <c r="AV87" s="21">
        <f>EXP(-LN(2)/25)*AV86+(1-EXP(-LN(2)/25))/(LN(2)/25)*Calculateur!AQ87*Calculateur!AS87*VLOOKUP('Données projet'!$B$10,Paramètres!$A$1:$I$89,3,0)*0.475*44/12</f>
        <v>8.0521256751911636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19.018797090106865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169.26131760015181</v>
      </c>
      <c r="T88" s="59">
        <f t="shared" si="88"/>
        <v>395.66019987830481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24.771149920608252</v>
      </c>
      <c r="AA88" s="21">
        <f>EXP(-LN(2)/25)*AA87+(1-EXP(-LN(2)/25))/(LN(2)/25)*Calculateur!V88*Calculateur!X88*VLOOKUP('Données projet'!$B$9,Paramètres!$A$1:$I$89,3,0)*0.475*44/12</f>
        <v>4.0852607578790794</v>
      </c>
      <c r="AB88" s="21">
        <f>EXP(-LN(2)/2)*AB87+(1-EXP(-LN(2)/2))/(LN(2)/2)*V88*Y88*VLOOKUP('Données projet'!$B$9,Paramètres!$A$1:$I$89,3,0)*0.475*44/12</f>
        <v>1.04942280937837E-9</v>
      </c>
      <c r="AC88" s="22">
        <f t="shared" si="57"/>
        <v>28.856410679536754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5.7</v>
      </c>
      <c r="AI88" s="13">
        <f>IF('Données projet'!$A$62&gt;35,AI87+AH88-AQ87,IF(A88&lt;'Données projet'!$A$62,$AF$205^A88,IF(A88='Données projet'!$A$62,'Données projet'!$B$62,AI87+AH88-AQ87)))</f>
        <v>201.90000000000003</v>
      </c>
      <c r="AJ88" s="13">
        <f>AI88*VLOOKUP('Données projet'!$B$10,Paramètres!$A$1:$I$89,3,0)*VLOOKUP('Données projet'!$B$10,Paramètres!$A$1:$I$89,5,0)</f>
        <v>182.67912000000004</v>
      </c>
      <c r="AK88" s="13">
        <f t="shared" si="89"/>
        <v>45.917727512477072</v>
      </c>
      <c r="AL88" s="20">
        <f t="shared" si="58"/>
        <v>398.13950941756428</v>
      </c>
      <c r="AM88" s="59">
        <f t="shared" si="59"/>
        <v>691.4728427508976</v>
      </c>
      <c r="AN88" s="59">
        <f ca="1">AVERAGE(OFFSET($AM$3,0,0,'Données projet'!$E$10+1,1))-AVERAGE(OFFSET($H$3,0,0,'Données projet'!$E$10+1,1))</f>
        <v>387.43382681395963</v>
      </c>
      <c r="AO88" s="59">
        <f t="shared" si="90"/>
        <v>184.78537400115721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10.751621677478282</v>
      </c>
      <c r="AV88" s="21">
        <f>EXP(-LN(2)/25)*AV87+(1-EXP(-LN(2)/25))/(LN(2)/25)*Calculateur!AQ88*Calculateur!AS88*VLOOKUP('Données projet'!$B$10,Paramètres!$A$1:$I$89,3,0)*0.475*44/12</f>
        <v>7.8319398751601756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18.583561552638457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169.26131760015181</v>
      </c>
      <c r="T89" s="59">
        <f t="shared" si="88"/>
        <v>395.66019987830481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24.285402779574696</v>
      </c>
      <c r="AA89" s="21">
        <f>EXP(-LN(2)/25)*AA88+(1-EXP(-LN(2)/25))/(LN(2)/25)*Calculateur!V89*Calculateur!X89*VLOOKUP('Données projet'!$B$9,Paramètres!$A$1:$I$89,3,0)*0.475*44/12</f>
        <v>3.9735490876203499</v>
      </c>
      <c r="AB89" s="21">
        <f>EXP(-LN(2)/2)*AB88+(1-EXP(-LN(2)/2))/(LN(2)/2)*V89*Y89*VLOOKUP('Données projet'!$B$9,Paramètres!$A$1:$I$89,3,0)*0.475*44/12</f>
        <v>7.4205398484328309E-10</v>
      </c>
      <c r="AC89" s="22">
        <f t="shared" si="57"/>
        <v>28.2589518679371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5.7</v>
      </c>
      <c r="AI89" s="13">
        <f>IF('Données projet'!$A$62&gt;35,AI88+AH89-AQ88,IF(A89&lt;'Données projet'!$A$62,$AF$205^A89,IF(A89='Données projet'!$A$62,'Données projet'!$B$62,AI88+AH89-AQ88)))</f>
        <v>207.60000000000002</v>
      </c>
      <c r="AJ89" s="13">
        <f>AI89*VLOOKUP('Données projet'!$B$10,Paramètres!$A$1:$I$89,3,0)*VLOOKUP('Données projet'!$B$10,Paramètres!$A$1:$I$89,5,0)</f>
        <v>187.83647999999999</v>
      </c>
      <c r="AK89" s="13">
        <f t="shared" si="89"/>
        <v>47.06131095119698</v>
      </c>
      <c r="AL89" s="20">
        <f t="shared" si="58"/>
        <v>409.11365257333472</v>
      </c>
      <c r="AM89" s="59">
        <f t="shared" si="59"/>
        <v>702.44698590666803</v>
      </c>
      <c r="AN89" s="59">
        <f ca="1">AVERAGE(OFFSET($AM$3,0,0,'Données projet'!$E$10+1,1))-AVERAGE(OFFSET($H$3,0,0,'Données projet'!$E$10+1,1))</f>
        <v>387.43382681395963</v>
      </c>
      <c r="AO89" s="59">
        <f t="shared" si="90"/>
        <v>184.78537400115721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10.540788934224622</v>
      </c>
      <c r="AV89" s="21">
        <f>EXP(-LN(2)/25)*AV88+(1-EXP(-LN(2)/25))/(LN(2)/25)*Calculateur!AQ89*Calculateur!AS89*VLOOKUP('Données projet'!$B$10,Paramètres!$A$1:$I$89,3,0)*0.475*44/12</f>
        <v>7.6177750674101024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18.158564001634723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169.26131760015181</v>
      </c>
      <c r="T90" s="59">
        <f t="shared" si="88"/>
        <v>395.66019987830481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23.809180843700304</v>
      </c>
      <c r="AA90" s="21">
        <f>EXP(-LN(2)/25)*AA89+(1-EXP(-LN(2)/25))/(LN(2)/25)*Calculateur!V90*Calculateur!X90*VLOOKUP('Données projet'!$B$9,Paramètres!$A$1:$I$89,3,0)*0.475*44/12</f>
        <v>3.8648921788595065</v>
      </c>
      <c r="AB90" s="21">
        <f>EXP(-LN(2)/2)*AB89+(1-EXP(-LN(2)/2))/(LN(2)/2)*V90*Y90*VLOOKUP('Données projet'!$B$9,Paramètres!$A$1:$I$89,3,0)*0.475*44/12</f>
        <v>5.2471140468918502E-10</v>
      </c>
      <c r="AC90" s="22">
        <f t="shared" si="57"/>
        <v>27.674073023084521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5.7</v>
      </c>
      <c r="AI90" s="13">
        <f>IF('Données projet'!$A$62&gt;35,AI89+AH90-AQ89,IF(A90&lt;'Données projet'!$A$62,$AF$205^A90,IF(A90='Données projet'!$A$62,'Données projet'!$B$62,AI89+AH90-AQ89)))</f>
        <v>213.3</v>
      </c>
      <c r="AJ90" s="13">
        <f>AI90*VLOOKUP('Données projet'!$B$10,Paramètres!$A$1:$I$89,3,0)*VLOOKUP('Données projet'!$B$10,Paramètres!$A$1:$I$89,5,0)</f>
        <v>192.99384000000001</v>
      </c>
      <c r="AK90" s="13">
        <f t="shared" si="89"/>
        <v>48.20124489972266</v>
      </c>
      <c r="AL90" s="20">
        <f t="shared" si="58"/>
        <v>420.08143953368364</v>
      </c>
      <c r="AM90" s="59">
        <f t="shared" si="59"/>
        <v>713.41477286701695</v>
      </c>
      <c r="AN90" s="59">
        <f ca="1">AVERAGE(OFFSET($AM$3,0,0,'Données projet'!$E$10+1,1))-AVERAGE(OFFSET($H$3,0,0,'Données projet'!$E$10+1,1))</f>
        <v>387.43382681395963</v>
      </c>
      <c r="AO90" s="59">
        <f t="shared" si="90"/>
        <v>184.78537400115721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10.334090492470892</v>
      </c>
      <c r="AV90" s="21">
        <f>EXP(-LN(2)/25)*AV89+(1-EXP(-LN(2)/25))/(LN(2)/25)*Calculateur!AQ90*Calculateur!AS90*VLOOKUP('Données projet'!$B$10,Paramètres!$A$1:$I$89,3,0)*0.475*44/12</f>
        <v>7.4094666075903932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17.743557100061285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169.26131760015181</v>
      </c>
      <c r="T91" s="59">
        <f t="shared" si="88"/>
        <v>395.66019987830481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23.34229732952171</v>
      </c>
      <c r="AA91" s="21">
        <f>EXP(-LN(2)/25)*AA90+(1-EXP(-LN(2)/25))/(LN(2)/25)*Calculateur!V91*Calculateur!X91*VLOOKUP('Données projet'!$B$9,Paramètres!$A$1:$I$89,3,0)*0.475*44/12</f>
        <v>3.7592064989827469</v>
      </c>
      <c r="AB91" s="21">
        <f>EXP(-LN(2)/2)*AB90+(1-EXP(-LN(2)/2))/(LN(2)/2)*V91*Y91*VLOOKUP('Données projet'!$B$9,Paramètres!$A$1:$I$89,3,0)*0.475*44/12</f>
        <v>3.7102699242164155E-10</v>
      </c>
      <c r="AC91" s="22">
        <f t="shared" si="57"/>
        <v>27.101503828875483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>
        <f>VLOOKUP(A91,'Données projet'!$A$61:$I$81,2,0)</f>
        <v>219</v>
      </c>
      <c r="AG91" s="12">
        <f>VLOOKUP(A91,'Données projet'!$A$61:$I$81,9,0)</f>
        <v>5.7</v>
      </c>
      <c r="AH91" s="12">
        <f t="array" ref="AH91">INDEX(AG:AG,MIN(IF(ISNUMBER(AG91:AG287),ROW(AG91:AG287),"")))</f>
        <v>5.7</v>
      </c>
      <c r="AI91" s="13">
        <f>IF('Données projet'!$A$62&gt;35,AI90+AH91-AQ90,IF(A91&lt;'Données projet'!$A$62,$AF$205^A91,IF(A91='Données projet'!$A$62,'Données projet'!$B$62,AI90+AH91-AQ90)))</f>
        <v>219</v>
      </c>
      <c r="AJ91" s="13">
        <f>AI91*VLOOKUP('Données projet'!$B$10,Paramètres!$A$1:$I$89,3,0)*VLOOKUP('Données projet'!$B$10,Paramètres!$A$1:$I$89,5,0)</f>
        <v>198.15119999999999</v>
      </c>
      <c r="AK91" s="13">
        <f t="shared" si="89"/>
        <v>49.337638092068957</v>
      </c>
      <c r="AL91" s="20">
        <f t="shared" si="58"/>
        <v>431.04305967702004</v>
      </c>
      <c r="AM91" s="59">
        <f t="shared" si="59"/>
        <v>724.37639301035335</v>
      </c>
      <c r="AN91" s="59">
        <f ca="1">AVERAGE(OFFSET($AM$3,0,0,'Données projet'!$E$10+1,1))-AVERAGE(OFFSET($H$3,0,0,'Données projet'!$E$10+1,1))</f>
        <v>387.43382681395963</v>
      </c>
      <c r="AO91" s="59">
        <f t="shared" si="90"/>
        <v>184.78537400115721</v>
      </c>
      <c r="AP91" s="15">
        <f>IF(ISNA(VLOOKUP(A91,'Données projet'!$A$61:$I$81,3,0)),0,VLOOKUP(A91,'Données projet'!$A$61:$I$81,3,0))</f>
        <v>5</v>
      </c>
      <c r="AQ91" s="15">
        <f>IF(ISNA(VLOOKUP(A91,'Données projet'!$A$61:$I$81,4,0)),0,VLOOKUP(A91,'Données projet'!$A$61:$I$81,4,0))</f>
        <v>35</v>
      </c>
      <c r="AR91" s="16">
        <f>IF(ISNA(VLOOKUP(A91,'Données projet'!$A$61:$I$81,5,0)),0%,VLOOKUP(A91,'Données projet'!$A$61:$I$81,5,0)*VLOOKUP('Données projet'!$B$10,Paramètres!$A$1:$I$89,7,0))</f>
        <v>0.215</v>
      </c>
      <c r="AS91" s="16">
        <f>IF(ISNA(VLOOKUP(A91,'Données projet'!$A$61:$I$81,6,0)),0%,VLOOKUP(A91,'Données projet'!$A$61:$I$81,6,0)*VLOOKUP('Données projet'!$B$10,Paramètres!$A$1:$I$89,7,0))</f>
        <v>0.17200000000000001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17.658173016581987</v>
      </c>
      <c r="AV91" s="21">
        <f>EXP(-LN(2)/25)*AV90+(1-EXP(-LN(2)/25))/(LN(2)/25)*Calculateur!AQ91*Calculateur!AS91*VLOOKUP('Données projet'!$B$10,Paramètres!$A$1:$I$89,3,0)*0.475*44/12</f>
        <v>13.204528065953225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30.86270108253521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169.26131760015181</v>
      </c>
      <c r="T92" s="59">
        <f t="shared" si="88"/>
        <v>395.66019987830481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22.884569116285334</v>
      </c>
      <c r="AA92" s="21">
        <f>EXP(-LN(2)/25)*AA91+(1-EXP(-LN(2)/25))/(LN(2)/25)*Calculateur!V92*Calculateur!X92*VLOOKUP('Données projet'!$B$9,Paramètres!$A$1:$I$89,3,0)*0.475*44/12</f>
        <v>3.6564107995799859</v>
      </c>
      <c r="AB92" s="21">
        <f>EXP(-LN(2)/2)*AB91+(1-EXP(-LN(2)/2))/(LN(2)/2)*V92*Y92*VLOOKUP('Données projet'!$B$9,Paramètres!$A$1:$I$89,3,0)*0.475*44/12</f>
        <v>2.6235570234459251E-10</v>
      </c>
      <c r="AC92" s="22">
        <f t="shared" si="57"/>
        <v>26.540979916127679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5.7</v>
      </c>
      <c r="AI92" s="13">
        <f>IF('Données projet'!$A$62&gt;35,AI91+AH92-AQ91,IF(A92&lt;'Données projet'!$A$62,$AF$205^A92,IF(A92='Données projet'!$A$62,'Données projet'!$B$62,AI91+AH92-AQ91)))</f>
        <v>189.7</v>
      </c>
      <c r="AJ92" s="13">
        <f>AI92*VLOOKUP('Données projet'!$B$10,Paramètres!$A$1:$I$89,3,0)*VLOOKUP('Données projet'!$B$10,Paramètres!$A$1:$I$89,5,0)</f>
        <v>171.64055999999997</v>
      </c>
      <c r="AK92" s="13">
        <f t="shared" si="89"/>
        <v>43.457248820627512</v>
      </c>
      <c r="AL92" s="20">
        <f t="shared" si="58"/>
        <v>374.62868369592616</v>
      </c>
      <c r="AM92" s="59">
        <f t="shared" si="59"/>
        <v>667.96201702925941</v>
      </c>
      <c r="AN92" s="59">
        <f ca="1">AVERAGE(OFFSET($AM$3,0,0,'Données projet'!$E$10+1,1))-AVERAGE(OFFSET($H$3,0,0,'Données projet'!$E$10+1,1))</f>
        <v>387.43382681395963</v>
      </c>
      <c r="AO92" s="59">
        <f t="shared" si="90"/>
        <v>184.78537400115721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17.311907014148865</v>
      </c>
      <c r="AV92" s="21">
        <f>EXP(-LN(2)/25)*AV91+(1-EXP(-LN(2)/25))/(LN(2)/25)*Calculateur!AQ92*Calculateur!AS92*VLOOKUP('Données projet'!$B$10,Paramètres!$A$1:$I$89,3,0)*0.475*44/12</f>
        <v>12.843449551593782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30.155356565742647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169.26131760015181</v>
      </c>
      <c r="T93" s="59">
        <f t="shared" si="88"/>
        <v>395.66019987830481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22.435816674123881</v>
      </c>
      <c r="AA93" s="21">
        <f>EXP(-LN(2)/25)*AA92+(1-EXP(-LN(2)/25))/(LN(2)/25)*Calculateur!V93*Calculateur!X93*VLOOKUP('Données projet'!$B$9,Paramètres!$A$1:$I$89,3,0)*0.475*44/12</f>
        <v>3.5564260539831842</v>
      </c>
      <c r="AB93" s="21">
        <f>EXP(-LN(2)/2)*AB92+(1-EXP(-LN(2)/2))/(LN(2)/2)*V93*Y93*VLOOKUP('Données projet'!$B$9,Paramètres!$A$1:$I$89,3,0)*0.475*44/12</f>
        <v>1.8551349621082077E-10</v>
      </c>
      <c r="AC93" s="22">
        <f t="shared" si="57"/>
        <v>25.992242728292577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5.7</v>
      </c>
      <c r="AI93" s="13">
        <f>IF('Données projet'!$A$62&gt;35,AI92+AH93-AQ92,IF(A93&lt;'Données projet'!$A$62,$AF$205^A93,IF(A93='Données projet'!$A$62,'Données projet'!$B$62,AI92+AH93-AQ92)))</f>
        <v>195.39999999999998</v>
      </c>
      <c r="AJ93" s="13">
        <f>AI93*VLOOKUP('Données projet'!$B$10,Paramètres!$A$1:$I$89,3,0)*VLOOKUP('Données projet'!$B$10,Paramètres!$A$1:$I$89,5,0)</f>
        <v>176.79791999999998</v>
      </c>
      <c r="AK93" s="13">
        <f t="shared" si="89"/>
        <v>44.609039852547795</v>
      </c>
      <c r="AL93" s="20">
        <f t="shared" si="58"/>
        <v>385.61712174318728</v>
      </c>
      <c r="AM93" s="59">
        <f t="shared" si="59"/>
        <v>678.9504550765206</v>
      </c>
      <c r="AN93" s="59">
        <f ca="1">AVERAGE(OFFSET($AM$3,0,0,'Données projet'!$E$10+1,1))-AVERAGE(OFFSET($H$3,0,0,'Données projet'!$E$10+1,1))</f>
        <v>387.43382681395963</v>
      </c>
      <c r="AO93" s="59">
        <f t="shared" si="90"/>
        <v>184.78537400115721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16.972431076822048</v>
      </c>
      <c r="AV93" s="21">
        <f>EXP(-LN(2)/25)*AV92+(1-EXP(-LN(2)/25))/(LN(2)/25)*Calculateur!AQ93*Calculateur!AS93*VLOOKUP('Données projet'!$B$10,Paramètres!$A$1:$I$89,3,0)*0.475*44/12</f>
        <v>12.492244748197793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29.464675825019839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169.26131760015181</v>
      </c>
      <c r="T94" s="59">
        <f t="shared" si="88"/>
        <v>395.66019987830481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21.995863993641251</v>
      </c>
      <c r="AA94" s="21">
        <f>EXP(-LN(2)/25)*AA93+(1-EXP(-LN(2)/25))/(LN(2)/25)*Calculateur!V94*Calculateur!X94*VLOOKUP('Données projet'!$B$9,Paramètres!$A$1:$I$89,3,0)*0.475*44/12</f>
        <v>3.4591753965126961</v>
      </c>
      <c r="AB94" s="21">
        <f>EXP(-LN(2)/2)*AB93+(1-EXP(-LN(2)/2))/(LN(2)/2)*V94*Y94*VLOOKUP('Données projet'!$B$9,Paramètres!$A$1:$I$89,3,0)*0.475*44/12</f>
        <v>1.3117785117229625E-10</v>
      </c>
      <c r="AC94" s="22">
        <f t="shared" si="57"/>
        <v>25.455039390285123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5.7</v>
      </c>
      <c r="AI94" s="13">
        <f>IF('Données projet'!$A$62&gt;35,AI93+AH94-AQ93,IF(A94&lt;'Données projet'!$A$62,$AF$205^A94,IF(A94='Données projet'!$A$62,'Données projet'!$B$62,AI93+AH94-AQ93)))</f>
        <v>201.09999999999997</v>
      </c>
      <c r="AJ94" s="13">
        <f>AI94*VLOOKUP('Données projet'!$B$10,Paramètres!$A$1:$I$89,3,0)*VLOOKUP('Données projet'!$B$10,Paramètres!$A$1:$I$89,5,0)</f>
        <v>181.95527999999996</v>
      </c>
      <c r="AK94" s="13">
        <f t="shared" si="89"/>
        <v>45.756926029204784</v>
      </c>
      <c r="AL94" s="20">
        <f t="shared" si="58"/>
        <v>396.59875883419824</v>
      </c>
      <c r="AM94" s="59">
        <f t="shared" si="59"/>
        <v>689.93209216753155</v>
      </c>
      <c r="AN94" s="59">
        <f ca="1">AVERAGE(OFFSET($AM$3,0,0,'Données projet'!$E$10+1,1))-AVERAGE(OFFSET($H$3,0,0,'Données projet'!$E$10+1,1))</f>
        <v>387.43382681395963</v>
      </c>
      <c r="AO94" s="59">
        <f t="shared" si="90"/>
        <v>184.78537400115721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16.639612055566332</v>
      </c>
      <c r="AV94" s="21">
        <f>EXP(-LN(2)/25)*AV93+(1-EXP(-LN(2)/25))/(LN(2)/25)*Calculateur!AQ94*Calculateur!AS94*VLOOKUP('Données projet'!$B$10,Paramètres!$A$1:$I$89,3,0)*0.475*44/12</f>
        <v>12.150643658619725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28.790255714186056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169.26131760015181</v>
      </c>
      <c r="T95" s="59">
        <f t="shared" si="88"/>
        <v>395.66019987830481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21.564538516878248</v>
      </c>
      <c r="AA95" s="21">
        <f>EXP(-LN(2)/25)*AA94+(1-EXP(-LN(2)/25))/(LN(2)/25)*Calculateur!V95*Calculateur!X95*VLOOKUP('Données projet'!$B$9,Paramètres!$A$1:$I$89,3,0)*0.475*44/12</f>
        <v>3.3645840633849282</v>
      </c>
      <c r="AB95" s="21">
        <f>EXP(-LN(2)/2)*AB94+(1-EXP(-LN(2)/2))/(LN(2)/2)*V95*Y95*VLOOKUP('Données projet'!$B$9,Paramètres!$A$1:$I$89,3,0)*0.475*44/12</f>
        <v>9.2756748105410386E-11</v>
      </c>
      <c r="AC95" s="22">
        <f t="shared" si="57"/>
        <v>24.929122580355934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5.7</v>
      </c>
      <c r="AI95" s="13">
        <f>IF('Données projet'!$A$62&gt;35,AI94+AH95-AQ94,IF(A95&lt;'Données projet'!$A$62,$AF$205^A95,IF(A95='Données projet'!$A$62,'Données projet'!$B$62,AI94+AH95-AQ94)))</f>
        <v>206.79999999999995</v>
      </c>
      <c r="AJ95" s="13">
        <f>AI95*VLOOKUP('Données projet'!$B$10,Paramètres!$A$1:$I$89,3,0)*VLOOKUP('Données projet'!$B$10,Paramètres!$A$1:$I$89,5,0)</f>
        <v>187.11263999999994</v>
      </c>
      <c r="AK95" s="13">
        <f t="shared" si="89"/>
        <v>46.901030743214655</v>
      </c>
      <c r="AL95" s="20">
        <f t="shared" si="58"/>
        <v>407.57380987776543</v>
      </c>
      <c r="AM95" s="59">
        <f t="shared" si="59"/>
        <v>700.90714321109874</v>
      </c>
      <c r="AN95" s="59">
        <f ca="1">AVERAGE(OFFSET($AM$3,0,0,'Données projet'!$E$10+1,1))-AVERAGE(OFFSET($H$3,0,0,'Données projet'!$E$10+1,1))</f>
        <v>387.43382681395963</v>
      </c>
      <c r="AO95" s="59">
        <f t="shared" si="90"/>
        <v>184.78537400115721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16.313319412317885</v>
      </c>
      <c r="AV95" s="21">
        <f>EXP(-LN(2)/25)*AV94+(1-EXP(-LN(2)/25))/(LN(2)/25)*Calculateur!AQ95*Calculateur!AS95*VLOOKUP('Données projet'!$B$10,Paramètres!$A$1:$I$89,3,0)*0.475*44/12</f>
        <v>11.818383668800189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28.131703081118076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169.26131760015181</v>
      </c>
      <c r="T96" s="59">
        <f t="shared" si="88"/>
        <v>395.66019987830481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21.141671069632004</v>
      </c>
      <c r="AA96" s="21">
        <f>EXP(-LN(2)/25)*AA95+(1-EXP(-LN(2)/25))/(LN(2)/25)*Calculateur!V96*Calculateur!X96*VLOOKUP('Données projet'!$B$9,Paramètres!$A$1:$I$89,3,0)*0.475*44/12</f>
        <v>3.2725793352358812</v>
      </c>
      <c r="AB96" s="21">
        <f>EXP(-LN(2)/2)*AB95+(1-EXP(-LN(2)/2))/(LN(2)/2)*V96*Y96*VLOOKUP('Données projet'!$B$9,Paramètres!$A$1:$I$89,3,0)*0.475*44/12</f>
        <v>6.5588925586148127E-11</v>
      </c>
      <c r="AC96" s="22">
        <f t="shared" si="57"/>
        <v>24.414250404933476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5.7</v>
      </c>
      <c r="AI96" s="13">
        <f>IF('Données projet'!$A$62&gt;35,AI95+AH96-AQ95,IF(A96&lt;'Données projet'!$A$62,$AF$205^A96,IF(A96='Données projet'!$A$62,'Données projet'!$B$62,AI95+AH96-AQ95)))</f>
        <v>212.49999999999994</v>
      </c>
      <c r="AJ96" s="13">
        <f>AI96*VLOOKUP('Données projet'!$B$10,Paramètres!$A$1:$I$89,3,0)*VLOOKUP('Données projet'!$B$10,Paramètres!$A$1:$I$89,5,0)</f>
        <v>192.26999999999995</v>
      </c>
      <c r="AK96" s="13">
        <f t="shared" si="89"/>
        <v>48.041470197986364</v>
      </c>
      <c r="AL96" s="20">
        <f t="shared" si="58"/>
        <v>418.54247726149282</v>
      </c>
      <c r="AM96" s="59">
        <f t="shared" si="59"/>
        <v>711.87581059482613</v>
      </c>
      <c r="AN96" s="59">
        <f ca="1">AVERAGE(OFFSET($AM$3,0,0,'Données projet'!$E$10+1,1))-AVERAGE(OFFSET($H$3,0,0,'Données projet'!$E$10+1,1))</f>
        <v>387.43382681395963</v>
      </c>
      <c r="AO96" s="59">
        <f t="shared" si="90"/>
        <v>184.78537400115721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15.993425168784677</v>
      </c>
      <c r="AV96" s="21">
        <f>EXP(-LN(2)/25)*AV95+(1-EXP(-LN(2)/25))/(LN(2)/25)*Calculateur!AQ96*Calculateur!AS96*VLOOKUP('Données projet'!$B$10,Paramètres!$A$1:$I$89,3,0)*0.475*44/12</f>
        <v>11.495209345875063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27.48863451465974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169.26131760015181</v>
      </c>
      <c r="T97" s="59">
        <f t="shared" si="88"/>
        <v>395.66019987830481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20.727095795102581</v>
      </c>
      <c r="AA97" s="21">
        <f>EXP(-LN(2)/25)*AA96+(1-EXP(-LN(2)/25))/(LN(2)/25)*Calculateur!V97*Calculateur!X97*VLOOKUP('Données projet'!$B$9,Paramètres!$A$1:$I$89,3,0)*0.475*44/12</f>
        <v>3.1830904812163885</v>
      </c>
      <c r="AB97" s="21">
        <f>EXP(-LN(2)/2)*AB96+(1-EXP(-LN(2)/2))/(LN(2)/2)*V97*Y97*VLOOKUP('Données projet'!$B$9,Paramètres!$A$1:$I$89,3,0)*0.475*44/12</f>
        <v>4.6378374052705193E-11</v>
      </c>
      <c r="AC97" s="22">
        <f t="shared" si="57"/>
        <v>23.910186276365348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5.7</v>
      </c>
      <c r="AI97" s="13">
        <f>IF('Données projet'!$A$62&gt;35,AI96+AH97-AQ96,IF(A97&lt;'Données projet'!$A$62,$AF$205^A97,IF(A97='Données projet'!$A$62,'Données projet'!$B$62,AI96+AH97-AQ96)))</f>
        <v>218.19999999999993</v>
      </c>
      <c r="AJ97" s="13">
        <f>AI97*VLOOKUP('Données projet'!$B$10,Paramètres!$A$1:$I$89,3,0)*VLOOKUP('Données projet'!$B$10,Paramètres!$A$1:$I$89,5,0)</f>
        <v>197.42735999999994</v>
      </c>
      <c r="AK97" s="13">
        <f t="shared" si="89"/>
        <v>49.178354008041829</v>
      </c>
      <c r="AL97" s="20">
        <f t="shared" si="58"/>
        <v>429.50495189733937</v>
      </c>
      <c r="AM97" s="59">
        <f t="shared" si="59"/>
        <v>722.83828523067268</v>
      </c>
      <c r="AN97" s="59">
        <f ca="1">AVERAGE(OFFSET($AM$3,0,0,'Données projet'!$E$10+1,1))-AVERAGE(OFFSET($H$3,0,0,'Données projet'!$E$10+1,1))</f>
        <v>387.43382681395963</v>
      </c>
      <c r="AO97" s="59">
        <f t="shared" si="90"/>
        <v>184.78537400115721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15.679803856250933</v>
      </c>
      <c r="AV97" s="21">
        <f>EXP(-LN(2)/25)*AV96+(1-EXP(-LN(2)/25))/(LN(2)/25)*Calculateur!AQ97*Calculateur!AS97*VLOOKUP('Données projet'!$B$10,Paramètres!$A$1:$I$89,3,0)*0.475*44/12</f>
        <v>11.180872241805323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26.860676098056256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169.26131760015181</v>
      </c>
      <c r="T98" s="59">
        <f t="shared" si="88"/>
        <v>395.66019987830481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20.320650088840733</v>
      </c>
      <c r="AA98" s="21">
        <f>EXP(-LN(2)/25)*AA97+(1-EXP(-LN(2)/25))/(LN(2)/25)*Calculateur!V98*Calculateur!X98*VLOOKUP('Données projet'!$B$9,Paramètres!$A$1:$I$89,3,0)*0.475*44/12</f>
        <v>3.0960487046160732</v>
      </c>
      <c r="AB98" s="21">
        <f>EXP(-LN(2)/2)*AB97+(1-EXP(-LN(2)/2))/(LN(2)/2)*V98*Y98*VLOOKUP('Données projet'!$B$9,Paramètres!$A$1:$I$89,3,0)*0.475*44/12</f>
        <v>3.2794462793074064E-11</v>
      </c>
      <c r="AC98" s="22">
        <f t="shared" si="57"/>
        <v>23.416698793489601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5.7</v>
      </c>
      <c r="AI98" s="13">
        <f>IF('Données projet'!$A$62&gt;35,AI97+AH98-AQ97,IF(A98&lt;'Données projet'!$A$62,$AF$205^A98,IF(A98='Données projet'!$A$62,'Données projet'!$B$62,AI97+AH98-AQ97)))</f>
        <v>223.89999999999992</v>
      </c>
      <c r="AJ98" s="13">
        <f>AI98*VLOOKUP('Données projet'!$B$10,Paramètres!$A$1:$I$89,3,0)*VLOOKUP('Données projet'!$B$10,Paramètres!$A$1:$I$89,5,0)</f>
        <v>202.58471999999992</v>
      </c>
      <c r="AK98" s="13">
        <f t="shared" si="89"/>
        <v>50.31178573484361</v>
      </c>
      <c r="AL98" s="20">
        <f t="shared" si="58"/>
        <v>440.46141415485243</v>
      </c>
      <c r="AM98" s="59">
        <f t="shared" si="59"/>
        <v>733.79474748818575</v>
      </c>
      <c r="AN98" s="59">
        <f ca="1">AVERAGE(OFFSET($AM$3,0,0,'Données projet'!$E$10+1,1))-AVERAGE(OFFSET($H$3,0,0,'Données projet'!$E$10+1,1))</f>
        <v>387.43382681395963</v>
      </c>
      <c r="AO98" s="59">
        <f t="shared" si="90"/>
        <v>184.78537400115721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15.372332466365863</v>
      </c>
      <c r="AV98" s="21">
        <f>EXP(-LN(2)/25)*AV97+(1-EXP(-LN(2)/25))/(LN(2)/25)*Calculateur!AQ98*Calculateur!AS98*VLOOKUP('Données projet'!$B$10,Paramètres!$A$1:$I$89,3,0)*0.475*44/12</f>
        <v>10.875130702376639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26.247463168742502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169.26131760015181</v>
      </c>
      <c r="T99" s="59">
        <f t="shared" si="88"/>
        <v>395.66019987830481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19.922174534971276</v>
      </c>
      <c r="AA99" s="21">
        <f>EXP(-LN(2)/25)*AA98+(1-EXP(-LN(2)/25))/(LN(2)/25)*Calculateur!V99*Calculateur!X99*VLOOKUP('Données projet'!$B$9,Paramètres!$A$1:$I$89,3,0)*0.475*44/12</f>
        <v>3.0113870899742214</v>
      </c>
      <c r="AB99" s="21">
        <f>EXP(-LN(2)/2)*AB98+(1-EXP(-LN(2)/2))/(LN(2)/2)*V99*Y99*VLOOKUP('Données projet'!$B$9,Paramètres!$A$1:$I$89,3,0)*0.475*44/12</f>
        <v>2.3189187026352597E-11</v>
      </c>
      <c r="AC99" s="22">
        <f t="shared" si="57"/>
        <v>22.933561624968686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5.7</v>
      </c>
      <c r="AI99" s="13">
        <f>IF('Données projet'!$A$62&gt;35,AI98+AH99-AQ98,IF(A99&lt;'Données projet'!$A$62,$AF$205^A99,IF(A99='Données projet'!$A$62,'Données projet'!$B$62,AI98+AH99-AQ98)))</f>
        <v>229.59999999999991</v>
      </c>
      <c r="AJ99" s="13">
        <f>AI99*VLOOKUP('Données projet'!$B$10,Paramètres!$A$1:$I$89,3,0)*VLOOKUP('Données projet'!$B$10,Paramètres!$A$1:$I$89,5,0)</f>
        <v>207.74207999999993</v>
      </c>
      <c r="AK99" s="13">
        <f t="shared" si="89"/>
        <v>51.441863366522369</v>
      </c>
      <c r="AL99" s="20">
        <f t="shared" si="58"/>
        <v>451.41203469669296</v>
      </c>
      <c r="AM99" s="59">
        <f t="shared" si="59"/>
        <v>744.74536803002627</v>
      </c>
      <c r="AN99" s="59">
        <f ca="1">AVERAGE(OFFSET($AM$3,0,0,'Données projet'!$E$10+1,1))-AVERAGE(OFFSET($H$3,0,0,'Données projet'!$E$10+1,1))</f>
        <v>387.43382681395963</v>
      </c>
      <c r="AO99" s="59">
        <f t="shared" si="90"/>
        <v>184.78537400115721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15.07089040289741</v>
      </c>
      <c r="AV99" s="21">
        <f>EXP(-LN(2)/25)*AV98+(1-EXP(-LN(2)/25))/(LN(2)/25)*Calculateur!AQ99*Calculateur!AS99*VLOOKUP('Données projet'!$B$10,Paramètres!$A$1:$I$89,3,0)*0.475*44/12</f>
        <v>10.577749681421881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25.64864008431929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169.26131760015181</v>
      </c>
      <c r="T100" s="59">
        <f t="shared" si="88"/>
        <v>395.66019987830481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19.531512843667112</v>
      </c>
      <c r="AA100" s="21">
        <f>EXP(-LN(2)/25)*AA99+(1-EXP(-LN(2)/25))/(LN(2)/25)*Calculateur!V100*Calculateur!X100*VLOOKUP('Données projet'!$B$9,Paramètres!$A$1:$I$89,3,0)*0.475*44/12</f>
        <v>2.9290405516369118</v>
      </c>
      <c r="AB100" s="21">
        <f>EXP(-LN(2)/2)*AB99+(1-EXP(-LN(2)/2))/(LN(2)/2)*V100*Y100*VLOOKUP('Données projet'!$B$9,Paramètres!$A$1:$I$89,3,0)*0.475*44/12</f>
        <v>1.6397231396537032E-11</v>
      </c>
      <c r="AC100" s="22">
        <f t="shared" si="57"/>
        <v>22.460553395320421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5.7</v>
      </c>
      <c r="AI100" s="13">
        <f>IF('Données projet'!$A$62&gt;35,AI99+AH100-AQ99,IF(A100&lt;'Données projet'!$A$62,$AF$205^A100,IF(A100='Données projet'!$A$62,'Données projet'!$B$62,AI99+AH100-AQ99)))</f>
        <v>235.2999999999999</v>
      </c>
      <c r="AJ100" s="13">
        <f>AI100*VLOOKUP('Données projet'!$B$10,Paramètres!$A$1:$I$89,3,0)*VLOOKUP('Données projet'!$B$10,Paramètres!$A$1:$I$89,5,0)</f>
        <v>212.89943999999991</v>
      </c>
      <c r="AK100" s="13">
        <f t="shared" si="89"/>
        <v>52.568679748625613</v>
      </c>
      <c r="AL100" s="20">
        <f t="shared" si="58"/>
        <v>462.35697522885613</v>
      </c>
      <c r="AM100" s="59">
        <f t="shared" si="59"/>
        <v>755.69030856218944</v>
      </c>
      <c r="AN100" s="59">
        <f ca="1">AVERAGE(OFFSET($AM$3,0,0,'Données projet'!$E$10+1,1))-AVERAGE(OFFSET($H$3,0,0,'Données projet'!$E$10+1,1))</f>
        <v>387.43382681395963</v>
      </c>
      <c r="AO100" s="59">
        <f t="shared" si="90"/>
        <v>184.78537400115721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14.775359434432071</v>
      </c>
      <c r="AV100" s="21">
        <f>EXP(-LN(2)/25)*AV99+(1-EXP(-LN(2)/25))/(LN(2)/25)*Calculateur!AQ100*Calculateur!AS100*VLOOKUP('Données projet'!$B$10,Paramètres!$A$1:$I$89,3,0)*0.475*44/12</f>
        <v>10.288500560123721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25.063859994555791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169.26131760015181</v>
      </c>
      <c r="T101" s="59">
        <f t="shared" si="88"/>
        <v>395.66019987830481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19.148511789849319</v>
      </c>
      <c r="AA101" s="21">
        <f>EXP(-LN(2)/25)*AA100+(1-EXP(-LN(2)/25))/(LN(2)/25)*Calculateur!V101*Calculateur!X101*VLOOKUP('Données projet'!$B$9,Paramètres!$A$1:$I$89,3,0)*0.475*44/12</f>
        <v>2.8489457837208523</v>
      </c>
      <c r="AB101" s="21">
        <f>EXP(-LN(2)/2)*AB100+(1-EXP(-LN(2)/2))/(LN(2)/2)*V101*Y101*VLOOKUP('Données projet'!$B$9,Paramètres!$A$1:$I$89,3,0)*0.475*44/12</f>
        <v>1.1594593513176298E-11</v>
      </c>
      <c r="AC101" s="22">
        <f t="shared" si="57"/>
        <v>21.997457573581769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>
        <f>VLOOKUP(A101,'Données projet'!$A$61:$I$81,2,0)</f>
        <v>241</v>
      </c>
      <c r="AG101" s="12">
        <f>VLOOKUP(A101,'Données projet'!$A$61:$I$81,9,0)</f>
        <v>5.7</v>
      </c>
      <c r="AH101" s="12">
        <f t="array" ref="AH101">INDEX(AG:AG,MIN(IF(ISNUMBER(AG101:AG297),ROW(AG101:AG297),"")))</f>
        <v>5.7</v>
      </c>
      <c r="AI101" s="13">
        <f>IF('Données projet'!$A$62&gt;35,AI100+AH101-AQ100,IF(A101&lt;'Données projet'!$A$62,$AF$205^A101,IF(A101='Données projet'!$A$62,'Données projet'!$B$62,AI100+AH101-AQ100)))</f>
        <v>240.99999999999989</v>
      </c>
      <c r="AJ101" s="13">
        <f>AI101*VLOOKUP('Données projet'!$B$10,Paramètres!$A$1:$I$89,3,0)*VLOOKUP('Données projet'!$B$10,Paramètres!$A$1:$I$89,5,0)</f>
        <v>218.05679999999987</v>
      </c>
      <c r="AK101" s="13">
        <f t="shared" si="89"/>
        <v>53.69232297195181</v>
      </c>
      <c r="AL101" s="20">
        <f t="shared" si="58"/>
        <v>473.29638917614921</v>
      </c>
      <c r="AM101" s="59">
        <f t="shared" si="59"/>
        <v>766.62972250948246</v>
      </c>
      <c r="AN101" s="59">
        <f ca="1">AVERAGE(OFFSET($AM$3,0,0,'Données projet'!$E$10+1,1))-AVERAGE(OFFSET($H$3,0,0,'Données projet'!$E$10+1,1))</f>
        <v>387.43382681395963</v>
      </c>
      <c r="AO101" s="59">
        <f t="shared" si="90"/>
        <v>184.78537400115721</v>
      </c>
      <c r="AP101" s="15">
        <f>IF(ISNA(VLOOKUP(A101,'Données projet'!$A$61:$I$81,3,0)),0,VLOOKUP(A101,'Données projet'!$A$61:$I$81,3,0))</f>
        <v>6</v>
      </c>
      <c r="AQ101" s="15">
        <f>IF(ISNA(VLOOKUP(A101,'Données projet'!$A$61:$I$81,4,0)),0,VLOOKUP(A101,'Données projet'!$A$61:$I$81,4,0))</f>
        <v>34</v>
      </c>
      <c r="AR101" s="16">
        <f>IF(ISNA(VLOOKUP(A101,'Données projet'!$A$61:$I$81,5,0)),0%,VLOOKUP(A101,'Données projet'!$A$61:$I$81,5,0)*VLOOKUP('Données projet'!$B$10,Paramètres!$A$1:$I$89,7,0))</f>
        <v>0.215</v>
      </c>
      <c r="AS101" s="16">
        <f>IF(ISNA(VLOOKUP(A101,'Données projet'!$A$61:$I$81,6,0)),0%,VLOOKUP(A101,'Données projet'!$A$61:$I$81,6,0)*VLOOKUP('Données projet'!$B$10,Paramètres!$A$1:$I$89,7,0))</f>
        <v>0.17200000000000001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21.797302019626571</v>
      </c>
      <c r="AV101" s="21">
        <f>EXP(-LN(2)/25)*AV100+(1-EXP(-LN(2)/25))/(LN(2)/25)*Calculateur!AQ101*Calculateur!AS101*VLOOKUP('Données projet'!$B$10,Paramètres!$A$1:$I$89,3,0)*0.475*44/12</f>
        <v>15.833472577584306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37.630774597210873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169.26131760015181</v>
      </c>
      <c r="T102" s="59">
        <f t="shared" si="88"/>
        <v>395.66019987830481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18.773021153089317</v>
      </c>
      <c r="AA102" s="21">
        <f>EXP(-LN(2)/25)*AA101+(1-EXP(-LN(2)/25))/(LN(2)/25)*Calculateur!V102*Calculateur!X102*VLOOKUP('Données projet'!$B$9,Paramètres!$A$1:$I$89,3,0)*0.475*44/12</f>
        <v>2.7710412114454583</v>
      </c>
      <c r="AB102" s="21">
        <f>EXP(-LN(2)/2)*AB101+(1-EXP(-LN(2)/2))/(LN(2)/2)*V102*Y102*VLOOKUP('Données projet'!$B$9,Paramètres!$A$1:$I$89,3,0)*0.475*44/12</f>
        <v>8.1986156982685159E-12</v>
      </c>
      <c r="AC102" s="22">
        <f t="shared" si="57"/>
        <v>21.544062364542974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5.7</v>
      </c>
      <c r="AI102" s="13">
        <f>IF('Données projet'!$A$62&gt;35,AI101+AH102-AQ101,IF(A102&lt;'Données projet'!$A$62,$AF$205^A102,IF(A102='Données projet'!$A$62,'Données projet'!$B$62,AI101+AH102-AQ101)))</f>
        <v>212.69999999999987</v>
      </c>
      <c r="AJ102" s="13">
        <f>AI102*VLOOKUP('Données projet'!$B$10,Paramètres!$A$1:$I$89,3,0)*VLOOKUP('Données projet'!$B$10,Paramètres!$A$1:$I$89,5,0)</f>
        <v>192.45095999999987</v>
      </c>
      <c r="AK102" s="13">
        <f t="shared" si="89"/>
        <v>48.081420427304188</v>
      </c>
      <c r="AL102" s="20">
        <f t="shared" si="58"/>
        <v>418.92722924422122</v>
      </c>
      <c r="AM102" s="59">
        <f t="shared" si="59"/>
        <v>712.26056257755454</v>
      </c>
      <c r="AN102" s="59">
        <f ca="1">AVERAGE(OFFSET($AM$3,0,0,'Données projet'!$E$10+1,1))-AVERAGE(OFFSET($H$3,0,0,'Données projet'!$E$10+1,1))</f>
        <v>387.43382681395963</v>
      </c>
      <c r="AO102" s="59">
        <f t="shared" si="90"/>
        <v>184.78537400115721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21.369870222063149</v>
      </c>
      <c r="AV102" s="21">
        <f>EXP(-LN(2)/25)*AV101+(1-EXP(-LN(2)/25))/(LN(2)/25)*Calculateur!AQ102*Calculateur!AS102*VLOOKUP('Données projet'!$B$10,Paramètres!$A$1:$I$89,3,0)*0.475*44/12</f>
        <v>15.400505437304128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36.770375659367275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169.26131760015181</v>
      </c>
      <c r="T103" s="59">
        <f t="shared" si="88"/>
        <v>395.66019987830481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18.404893658689506</v>
      </c>
      <c r="AA103" s="21">
        <f>EXP(-LN(2)/25)*AA102+(1-EXP(-LN(2)/25))/(LN(2)/25)*Calculateur!V103*Calculateur!X103*VLOOKUP('Données projet'!$B$9,Paramètres!$A$1:$I$89,3,0)*0.475*44/12</f>
        <v>2.6952669437957582</v>
      </c>
      <c r="AB103" s="21">
        <f>EXP(-LN(2)/2)*AB102+(1-EXP(-LN(2)/2))/(LN(2)/2)*V103*Y103*VLOOKUP('Données projet'!$B$9,Paramètres!$A$1:$I$89,3,0)*0.475*44/12</f>
        <v>5.7972967565881491E-12</v>
      </c>
      <c r="AC103" s="22">
        <f t="shared" si="57"/>
        <v>21.100160602491062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5.7</v>
      </c>
      <c r="AI103" s="13">
        <f>IF('Données projet'!$A$62&gt;35,AI102+AH103-AQ102,IF(A103&lt;'Données projet'!$A$62,$AF$205^A103,IF(A103='Données projet'!$A$62,'Données projet'!$B$62,AI102+AH103-AQ102)))</f>
        <v>218.39999999999986</v>
      </c>
      <c r="AJ103" s="13">
        <f>AI103*VLOOKUP('Données projet'!$B$10,Paramètres!$A$1:$I$89,3,0)*VLOOKUP('Données projet'!$B$10,Paramètres!$A$1:$I$89,5,0)</f>
        <v>197.60831999999988</v>
      </c>
      <c r="AK103" s="13">
        <f t="shared" si="89"/>
        <v>49.218181392381318</v>
      </c>
      <c r="AL103" s="20">
        <f t="shared" si="58"/>
        <v>429.88948992506386</v>
      </c>
      <c r="AM103" s="59">
        <f t="shared" si="59"/>
        <v>723.22282325839717</v>
      </c>
      <c r="AN103" s="59">
        <f ca="1">AVERAGE(OFFSET($AM$3,0,0,'Données projet'!$E$10+1,1))-AVERAGE(OFFSET($H$3,0,0,'Données projet'!$E$10+1,1))</f>
        <v>387.43382681395963</v>
      </c>
      <c r="AO103" s="59">
        <f t="shared" si="90"/>
        <v>184.78537400115721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20.950820101342291</v>
      </c>
      <c r="AV103" s="21">
        <f>EXP(-LN(2)/25)*AV102+(1-EXP(-LN(2)/25))/(LN(2)/25)*Calculateur!AQ103*Calculateur!AS103*VLOOKUP('Données projet'!$B$10,Paramètres!$A$1:$I$89,3,0)*0.475*44/12</f>
        <v>14.979377806243663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35.930197907585956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169.26131760015181</v>
      </c>
      <c r="T104" s="59">
        <f t="shared" si="88"/>
        <v>395.66019987830481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18.043984919919275</v>
      </c>
      <c r="AA104" s="21">
        <f>EXP(-LN(2)/25)*AA103+(1-EXP(-LN(2)/25))/(LN(2)/25)*Calculateur!V104*Calculateur!X104*VLOOKUP('Données projet'!$B$9,Paramètres!$A$1:$I$89,3,0)*0.475*44/12</f>
        <v>2.6215647274797349</v>
      </c>
      <c r="AB104" s="21">
        <f>EXP(-LN(2)/2)*AB103+(1-EXP(-LN(2)/2))/(LN(2)/2)*V104*Y104*VLOOKUP('Données projet'!$B$9,Paramètres!$A$1:$I$89,3,0)*0.475*44/12</f>
        <v>4.0993078491342579E-12</v>
      </c>
      <c r="AC104" s="22">
        <f t="shared" si="57"/>
        <v>20.665549647403111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5.7</v>
      </c>
      <c r="AI104" s="13">
        <f>IF('Données projet'!$A$62&gt;35,AI103+AH104-AQ103,IF(A104&lt;'Données projet'!$A$62,$AF$205^A104,IF(A104='Données projet'!$A$62,'Données projet'!$B$62,AI103+AH104-AQ103)))</f>
        <v>224.09999999999985</v>
      </c>
      <c r="AJ104" s="13">
        <f>AI104*VLOOKUP('Données projet'!$B$10,Paramètres!$A$1:$I$89,3,0)*VLOOKUP('Données projet'!$B$10,Paramètres!$A$1:$I$89,5,0)</f>
        <v>202.76567999999983</v>
      </c>
      <c r="AK104" s="13">
        <f t="shared" si="89"/>
        <v>50.351493804082907</v>
      </c>
      <c r="AL104" s="20">
        <f t="shared" si="58"/>
        <v>440.8457443754441</v>
      </c>
      <c r="AM104" s="59">
        <f t="shared" si="59"/>
        <v>734.17907770877741</v>
      </c>
      <c r="AN104" s="59">
        <f ca="1">AVERAGE(OFFSET($AM$3,0,0,'Données projet'!$E$10+1,1))-AVERAGE(OFFSET($H$3,0,0,'Données projet'!$E$10+1,1))</f>
        <v>387.43382681395963</v>
      </c>
      <c r="AO104" s="59">
        <f t="shared" si="90"/>
        <v>184.78537400115721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20.539987297893436</v>
      </c>
      <c r="AV104" s="21">
        <f>EXP(-LN(2)/25)*AV103+(1-EXP(-LN(2)/25))/(LN(2)/25)*Calculateur!AQ104*Calculateur!AS104*VLOOKUP('Données projet'!$B$10,Paramètres!$A$1:$I$89,3,0)*0.475*44/12</f>
        <v>14.569765932400687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35.109753230294125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169.26131760015181</v>
      </c>
      <c r="T105" s="59">
        <f t="shared" si="88"/>
        <v>395.66019987830481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17.690153381383734</v>
      </c>
      <c r="AA105" s="21">
        <f>EXP(-LN(2)/25)*AA104+(1-EXP(-LN(2)/25))/(LN(2)/25)*Calculateur!V105*Calculateur!X105*VLOOKUP('Données projet'!$B$9,Paramètres!$A$1:$I$89,3,0)*0.475*44/12</f>
        <v>2.5498779021447042</v>
      </c>
      <c r="AB105" s="21">
        <f>EXP(-LN(2)/2)*AB104+(1-EXP(-LN(2)/2))/(LN(2)/2)*V105*Y105*VLOOKUP('Données projet'!$B$9,Paramètres!$A$1:$I$89,3,0)*0.475*44/12</f>
        <v>2.8986483782940746E-12</v>
      </c>
      <c r="AC105" s="22">
        <f t="shared" si="57"/>
        <v>20.240031283531337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5.7</v>
      </c>
      <c r="AI105" s="13">
        <f>IF('Données projet'!$A$62&gt;35,AI104+AH105-AQ104,IF(A105&lt;'Données projet'!$A$62,$AF$205^A105,IF(A105='Données projet'!$A$62,'Données projet'!$B$62,AI104+AH105-AQ104)))</f>
        <v>229.79999999999984</v>
      </c>
      <c r="AJ105" s="13">
        <f>AI105*VLOOKUP('Données projet'!$B$10,Paramètres!$A$1:$I$89,3,0)*VLOOKUP('Données projet'!$B$10,Paramètres!$A$1:$I$89,5,0)</f>
        <v>207.92303999999987</v>
      </c>
      <c r="AK105" s="13">
        <f t="shared" si="89"/>
        <v>51.481455463073324</v>
      </c>
      <c r="AL105" s="20">
        <f t="shared" si="58"/>
        <v>451.79616293151918</v>
      </c>
      <c r="AM105" s="59">
        <f t="shared" si="59"/>
        <v>745.12949626485249</v>
      </c>
      <c r="AN105" s="59">
        <f ca="1">AVERAGE(OFFSET($AM$3,0,0,'Données projet'!$E$10+1,1))-AVERAGE(OFFSET($H$3,0,0,'Données projet'!$E$10+1,1))</f>
        <v>387.43382681395963</v>
      </c>
      <c r="AO105" s="59">
        <f t="shared" si="90"/>
        <v>184.78537400115721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20.137210675136945</v>
      </c>
      <c r="AV105" s="21">
        <f>EXP(-LN(2)/25)*AV104+(1-EXP(-LN(2)/25))/(LN(2)/25)*Calculateur!AQ105*Calculateur!AS105*VLOOKUP('Données projet'!$B$10,Paramètres!$A$1:$I$89,3,0)*0.475*44/12</f>
        <v>14.171354916788498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34.308565591925444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169.26131760015181</v>
      </c>
      <c r="T106" s="59">
        <f t="shared" si="88"/>
        <v>395.66019987830481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17.343260263502945</v>
      </c>
      <c r="AA106" s="21">
        <f>EXP(-LN(2)/25)*AA105+(1-EXP(-LN(2)/25))/(LN(2)/25)*Calculateur!V106*Calculateur!X106*VLOOKUP('Données projet'!$B$9,Paramètres!$A$1:$I$89,3,0)*0.475*44/12</f>
        <v>2.4801513568183062</v>
      </c>
      <c r="AB106" s="21">
        <f>EXP(-LN(2)/2)*AB105+(1-EXP(-LN(2)/2))/(LN(2)/2)*V106*Y106*VLOOKUP('Données projet'!$B$9,Paramètres!$A$1:$I$89,3,0)*0.475*44/12</f>
        <v>2.049653924567129E-12</v>
      </c>
      <c r="AC106" s="22">
        <f t="shared" si="57"/>
        <v>19.823411620323302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5.7</v>
      </c>
      <c r="AI106" s="13">
        <f>IF('Données projet'!$A$62&gt;35,AI105+AH106-AQ105,IF(A106&lt;'Données projet'!$A$62,$AF$205^A106,IF(A106='Données projet'!$A$62,'Données projet'!$B$62,AI105+AH106-AQ105)))</f>
        <v>235.49999999999983</v>
      </c>
      <c r="AJ106" s="13">
        <f>AI106*VLOOKUP('Données projet'!$B$10,Paramètres!$A$1:$I$89,3,0)*VLOOKUP('Données projet'!$B$10,Paramètres!$A$1:$I$89,5,0)</f>
        <v>213.08039999999983</v>
      </c>
      <c r="AK106" s="13">
        <f t="shared" si="89"/>
        <v>52.608159041735547</v>
      </c>
      <c r="AL106" s="20">
        <f t="shared" si="58"/>
        <v>462.74090699768914</v>
      </c>
      <c r="AM106" s="59">
        <f t="shared" si="59"/>
        <v>756.07424033102245</v>
      </c>
      <c r="AN106" s="59">
        <f ca="1">AVERAGE(OFFSET($AM$3,0,0,'Données projet'!$E$10+1,1))-AVERAGE(OFFSET($H$3,0,0,'Données projet'!$E$10+1,1))</f>
        <v>387.43382681395963</v>
      </c>
      <c r="AO106" s="59">
        <f t="shared" si="90"/>
        <v>184.78537400115721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19.742332256283227</v>
      </c>
      <c r="AV106" s="21">
        <f>EXP(-LN(2)/25)*AV105+(1-EXP(-LN(2)/25))/(LN(2)/25)*Calculateur!AQ106*Calculateur!AS106*VLOOKUP('Données projet'!$B$10,Paramètres!$A$1:$I$89,3,0)*0.475*44/12</f>
        <v>13.783838471349751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33.52617072763298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169.26131760015181</v>
      </c>
      <c r="T107" s="59">
        <f t="shared" si="88"/>
        <v>395.66019987830481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17.003169508079889</v>
      </c>
      <c r="AA107" s="21">
        <f>EXP(-LN(2)/25)*AA106+(1-EXP(-LN(2)/25))/(LN(2)/25)*Calculateur!V107*Calculateur!X107*VLOOKUP('Données projet'!$B$9,Paramètres!$A$1:$I$89,3,0)*0.475*44/12</f>
        <v>2.4123314875406181</v>
      </c>
      <c r="AB107" s="21">
        <f>EXP(-LN(2)/2)*AB106+(1-EXP(-LN(2)/2))/(LN(2)/2)*V107*Y107*VLOOKUP('Données projet'!$B$9,Paramètres!$A$1:$I$89,3,0)*0.475*44/12</f>
        <v>1.4493241891470373E-12</v>
      </c>
      <c r="AC107" s="22">
        <f t="shared" si="57"/>
        <v>19.415500995621958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5.7</v>
      </c>
      <c r="AI107" s="13">
        <f>IF('Données projet'!$A$62&gt;35,AI106+AH107-AQ106,IF(A107&lt;'Données projet'!$A$62,$AF$205^A107,IF(A107='Données projet'!$A$62,'Données projet'!$B$62,AI106+AH107-AQ106)))</f>
        <v>241.19999999999982</v>
      </c>
      <c r="AJ107" s="13">
        <f>AI107*VLOOKUP('Données projet'!$B$10,Paramètres!$A$1:$I$89,3,0)*VLOOKUP('Données projet'!$B$10,Paramètres!$A$1:$I$89,5,0)</f>
        <v>218.23775999999981</v>
      </c>
      <c r="AK107" s="13">
        <f t="shared" si="89"/>
        <v>53.731692470599022</v>
      </c>
      <c r="AL107" s="20">
        <f t="shared" si="58"/>
        <v>473.68012971962617</v>
      </c>
      <c r="AM107" s="59">
        <f t="shared" si="59"/>
        <v>767.01346305295942</v>
      </c>
      <c r="AN107" s="59">
        <f ca="1">AVERAGE(OFFSET($AM$3,0,0,'Données projet'!$E$10+1,1))-AVERAGE(OFFSET($H$3,0,0,'Données projet'!$E$10+1,1))</f>
        <v>387.43382681395963</v>
      </c>
      <c r="AO107" s="59">
        <f t="shared" si="90"/>
        <v>184.78537400115721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19.355197162371176</v>
      </c>
      <c r="AV107" s="21">
        <f>EXP(-LN(2)/25)*AV106+(1-EXP(-LN(2)/25))/(LN(2)/25)*Calculateur!AQ107*Calculateur!AS107*VLOOKUP('Données projet'!$B$10,Paramètres!$A$1:$I$89,3,0)*0.475*44/12</f>
        <v>13.406918683490131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32.76211584586131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169.26131760015181</v>
      </c>
      <c r="T108" s="59">
        <f t="shared" si="88"/>
        <v>395.66019987830481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16.669747724935799</v>
      </c>
      <c r="AA108" s="21">
        <f>EXP(-LN(2)/25)*AA107+(1-EXP(-LN(2)/25))/(LN(2)/25)*Calculateur!V108*Calculateur!X108*VLOOKUP('Données projet'!$B$9,Paramètres!$A$1:$I$89,3,0)*0.475*44/12</f>
        <v>2.3463661561548204</v>
      </c>
      <c r="AB108" s="21">
        <f>EXP(-LN(2)/2)*AB107+(1-EXP(-LN(2)/2))/(LN(2)/2)*V108*Y108*VLOOKUP('Données projet'!$B$9,Paramètres!$A$1:$I$89,3,0)*0.475*44/12</f>
        <v>1.0248269622835645E-12</v>
      </c>
      <c r="AC108" s="22">
        <f t="shared" si="57"/>
        <v>19.016113881091641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5.7</v>
      </c>
      <c r="AI108" s="13">
        <f>IF('Données projet'!$A$62&gt;35,AI107+AH108-AQ107,IF(A108&lt;'Données projet'!$A$62,$AF$205^A108,IF(A108='Données projet'!$A$62,'Données projet'!$B$62,AI107+AH108-AQ107)))</f>
        <v>246.89999999999981</v>
      </c>
      <c r="AJ108" s="13">
        <f>AI108*VLOOKUP('Données projet'!$B$10,Paramètres!$A$1:$I$89,3,0)*VLOOKUP('Données projet'!$B$10,Paramètres!$A$1:$I$89,5,0)</f>
        <v>223.39511999999982</v>
      </c>
      <c r="AK108" s="13">
        <f t="shared" si="89"/>
        <v>54.852139287210115</v>
      </c>
      <c r="AL108" s="20">
        <f t="shared" si="58"/>
        <v>484.61397659189061</v>
      </c>
      <c r="AM108" s="59">
        <f t="shared" si="59"/>
        <v>777.94730992522386</v>
      </c>
      <c r="AN108" s="59">
        <f ca="1">AVERAGE(OFFSET($AM$3,0,0,'Données projet'!$E$10+1,1))-AVERAGE(OFFSET($H$3,0,0,'Données projet'!$E$10+1,1))</f>
        <v>387.43382681395963</v>
      </c>
      <c r="AO108" s="59">
        <f t="shared" si="90"/>
        <v>184.78537400115721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18.975653551521649</v>
      </c>
      <c r="AV108" s="21">
        <f>EXP(-LN(2)/25)*AV107+(1-EXP(-LN(2)/25))/(LN(2)/25)*Calculateur!AQ108*Calculateur!AS108*VLOOKUP('Données projet'!$B$10,Paramètres!$A$1:$I$89,3,0)*0.475*44/12</f>
        <v>13.040305787050881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32.015959338572529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169.26131760015181</v>
      </c>
      <c r="T109" s="59">
        <f t="shared" si="88"/>
        <v>395.66019987830481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16.34286413959196</v>
      </c>
      <c r="AA109" s="21">
        <f>EXP(-LN(2)/25)*AA108+(1-EXP(-LN(2)/25))/(LN(2)/25)*Calculateur!V109*Calculateur!X109*VLOOKUP('Données projet'!$B$9,Paramètres!$A$1:$I$89,3,0)*0.475*44/12</f>
        <v>2.2822046502247333</v>
      </c>
      <c r="AB109" s="21">
        <f>EXP(-LN(2)/2)*AB108+(1-EXP(-LN(2)/2))/(LN(2)/2)*V109*Y109*VLOOKUP('Données projet'!$B$9,Paramètres!$A$1:$I$89,3,0)*0.475*44/12</f>
        <v>7.2466209457351864E-13</v>
      </c>
      <c r="AC109" s="22">
        <f t="shared" si="57"/>
        <v>18.625068789817419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5.7</v>
      </c>
      <c r="AI109" s="13">
        <f>IF('Données projet'!$A$62&gt;35,AI108+AH109-AQ108,IF(A109&lt;'Données projet'!$A$62,$AF$205^A109,IF(A109='Données projet'!$A$62,'Données projet'!$B$62,AI108+AH109-AQ108)))</f>
        <v>252.5999999999998</v>
      </c>
      <c r="AJ109" s="13">
        <f>AI109*VLOOKUP('Données projet'!$B$10,Paramètres!$A$1:$I$89,3,0)*VLOOKUP('Données projet'!$B$10,Paramètres!$A$1:$I$89,5,0)</f>
        <v>228.5524799999998</v>
      </c>
      <c r="AK109" s="13">
        <f t="shared" si="89"/>
        <v>55.969578951878503</v>
      </c>
      <c r="AL109" s="20">
        <f t="shared" si="58"/>
        <v>495.54258600785471</v>
      </c>
      <c r="AM109" s="59">
        <f t="shared" si="59"/>
        <v>788.87591934118802</v>
      </c>
      <c r="AN109" s="59">
        <f ca="1">AVERAGE(OFFSET($AM$3,0,0,'Données projet'!$E$10+1,1))-AVERAGE(OFFSET($H$3,0,0,'Données projet'!$E$10+1,1))</f>
        <v>387.43382681395963</v>
      </c>
      <c r="AO109" s="59">
        <f t="shared" si="90"/>
        <v>184.78537400115721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18.603552559382138</v>
      </c>
      <c r="AV109" s="21">
        <f>EXP(-LN(2)/25)*AV108+(1-EXP(-LN(2)/25))/(LN(2)/25)*Calculateur!AQ109*Calculateur!AS109*VLOOKUP('Données projet'!$B$10,Paramètres!$A$1:$I$89,3,0)*0.475*44/12</f>
        <v>12.683717939544097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31.287270498926233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169.26131760015181</v>
      </c>
      <c r="T110" s="59">
        <f t="shared" si="88"/>
        <v>395.66019987830481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16.022390541977412</v>
      </c>
      <c r="AA110" s="21">
        <f>EXP(-LN(2)/25)*AA109+(1-EXP(-LN(2)/25))/(LN(2)/25)*Calculateur!V110*Calculateur!X110*VLOOKUP('Données projet'!$B$9,Paramètres!$A$1:$I$89,3,0)*0.475*44/12</f>
        <v>2.2197976440484113</v>
      </c>
      <c r="AB110" s="21">
        <f>EXP(-LN(2)/2)*AB109+(1-EXP(-LN(2)/2))/(LN(2)/2)*V110*Y110*VLOOKUP('Données projet'!$B$9,Paramètres!$A$1:$I$89,3,0)*0.475*44/12</f>
        <v>5.1241348114178224E-13</v>
      </c>
      <c r="AC110" s="22">
        <f t="shared" si="57"/>
        <v>18.242188186026336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5.7</v>
      </c>
      <c r="AI110" s="13">
        <f>IF('Données projet'!$A$62&gt;35,AI109+AH110-AQ109,IF(A110&lt;'Données projet'!$A$62,$AF$205^A110,IF(A110='Données projet'!$A$62,'Données projet'!$B$62,AI109+AH110-AQ109)))</f>
        <v>258.29999999999978</v>
      </c>
      <c r="AJ110" s="13">
        <f>AI110*VLOOKUP('Données projet'!$B$10,Paramètres!$A$1:$I$89,3,0)*VLOOKUP('Données projet'!$B$10,Paramètres!$A$1:$I$89,5,0)</f>
        <v>233.70983999999979</v>
      </c>
      <c r="AK110" s="13">
        <f t="shared" si="89"/>
        <v>57.08408713412031</v>
      </c>
      <c r="AL110" s="20">
        <f t="shared" si="58"/>
        <v>506.46608975859249</v>
      </c>
      <c r="AM110" s="59">
        <f t="shared" si="59"/>
        <v>799.79942309192575</v>
      </c>
      <c r="AN110" s="59">
        <f ca="1">AVERAGE(OFFSET($AM$3,0,0,'Données projet'!$E$10+1,1))-AVERAGE(OFFSET($H$3,0,0,'Données projet'!$E$10+1,1))</f>
        <v>387.43382681395963</v>
      </c>
      <c r="AO110" s="59">
        <f t="shared" si="90"/>
        <v>184.78537400115721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18.238748240739287</v>
      </c>
      <c r="AV110" s="21">
        <f>EXP(-LN(2)/25)*AV109+(1-EXP(-LN(2)/25))/(LN(2)/25)*Calculateur!AQ110*Calculateur!AS110*VLOOKUP('Données projet'!$B$10,Paramètres!$A$1:$I$89,3,0)*0.475*44/12</f>
        <v>12.336881005479526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30.575629246218814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169.26131760015181</v>
      </c>
      <c r="T111" s="59">
        <f t="shared" si="88"/>
        <v>395.66019987830481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15.708201236142493</v>
      </c>
      <c r="AA111" s="21">
        <f>EXP(-LN(2)/25)*AA110+(1-EXP(-LN(2)/25))/(LN(2)/25)*Calculateur!V111*Calculateur!X111*VLOOKUP('Données projet'!$B$9,Paramètres!$A$1:$I$89,3,0)*0.475*44/12</f>
        <v>2.1590971607378227</v>
      </c>
      <c r="AB111" s="21">
        <f>EXP(-LN(2)/2)*AB110+(1-EXP(-LN(2)/2))/(LN(2)/2)*V111*Y111*VLOOKUP('Données projet'!$B$9,Paramètres!$A$1:$I$89,3,0)*0.475*44/12</f>
        <v>3.6233104728675932E-13</v>
      </c>
      <c r="AC111" s="22">
        <f t="shared" si="57"/>
        <v>17.867298396880678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>
        <f>VLOOKUP(A111,'Données projet'!$A$61:$I$81,2,0)</f>
        <v>264</v>
      </c>
      <c r="AG111" s="12">
        <f>VLOOKUP(A111,'Données projet'!$A$61:$I$81,9,0)</f>
        <v>5.7</v>
      </c>
      <c r="AH111" s="12">
        <f t="array" ref="AH111">INDEX(AG:AG,MIN(IF(ISNUMBER(AG111:AG307),ROW(AG111:AG307),"")))</f>
        <v>5.7</v>
      </c>
      <c r="AI111" s="13">
        <f>IF('Données projet'!$A$62&gt;35,AI110+AH111-AQ110,IF(A111&lt;'Données projet'!$A$62,$AF$205^A111,IF(A111='Données projet'!$A$62,'Données projet'!$B$62,AI110+AH111-AQ110)))</f>
        <v>263.99999999999977</v>
      </c>
      <c r="AJ111" s="13">
        <f>AI111*VLOOKUP('Données projet'!$B$10,Paramètres!$A$1:$I$89,3,0)*VLOOKUP('Données projet'!$B$10,Paramètres!$A$1:$I$89,5,0)</f>
        <v>238.8671999999998</v>
      </c>
      <c r="AK111" s="13">
        <f t="shared" si="89"/>
        <v>58.195735973104107</v>
      </c>
      <c r="AL111" s="20">
        <f t="shared" si="58"/>
        <v>517.38461348648923</v>
      </c>
      <c r="AM111" s="59">
        <f t="shared" si="59"/>
        <v>810.7179468198226</v>
      </c>
      <c r="AN111" s="59">
        <f ca="1">AVERAGE(OFFSET($AM$3,0,0,'Données projet'!$E$10+1,1))-AVERAGE(OFFSET($H$3,0,0,'Données projet'!$E$10+1,1))</f>
        <v>387.43382681395963</v>
      </c>
      <c r="AO111" s="59">
        <f t="shared" si="90"/>
        <v>184.78537400115721</v>
      </c>
      <c r="AP111" s="15">
        <f>IF(ISNA(VLOOKUP(A111,'Données projet'!$A$61:$I$81,3,0)),0,VLOOKUP(A111,'Données projet'!$A$61:$I$81,3,0))</f>
        <v>7</v>
      </c>
      <c r="AQ111" s="15">
        <f>IF(ISNA(VLOOKUP(A111,'Données projet'!$A$61:$I$81,4,0)),0,VLOOKUP(A111,'Données projet'!$A$61:$I$81,4,0))</f>
        <v>39</v>
      </c>
      <c r="AR111" s="16">
        <f>IF(ISNA(VLOOKUP(A111,'Données projet'!$A$61:$I$81,5,0)),0%,VLOOKUP(A111,'Données projet'!$A$61:$I$81,5,0)*VLOOKUP('Données projet'!$B$10,Paramètres!$A$1:$I$89,7,0))</f>
        <v>0.215</v>
      </c>
      <c r="AS111" s="16">
        <f>IF(ISNA(VLOOKUP(A111,'Données projet'!$A$61:$I$81,6,0)),0%,VLOOKUP(A111,'Données projet'!$A$61:$I$81,6,0)*VLOOKUP('Données projet'!$B$10,Paramètres!$A$1:$I$89,7,0))</f>
        <v>0.17200000000000001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26.268022703257209</v>
      </c>
      <c r="AV111" s="21">
        <f>EXP(-LN(2)/25)*AV110+(1-EXP(-LN(2)/25))/(LN(2)/25)*Calculateur!AQ111*Calculateur!AS111*VLOOKUP('Données projet'!$B$10,Paramètres!$A$1:$I$89,3,0)*0.475*44/12</f>
        <v>18.682650482284252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44.950673185541461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169.26131760015181</v>
      </c>
      <c r="T112" s="59">
        <f t="shared" si="88"/>
        <v>395.66019987830481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15.400172990958442</v>
      </c>
      <c r="AA112" s="21">
        <f>EXP(-LN(2)/25)*AA111+(1-EXP(-LN(2)/25))/(LN(2)/25)*Calculateur!V112*Calculateur!X112*VLOOKUP('Données projet'!$B$9,Paramètres!$A$1:$I$89,3,0)*0.475*44/12</f>
        <v>2.1000565353354621</v>
      </c>
      <c r="AB112" s="21">
        <f>EXP(-LN(2)/2)*AB111+(1-EXP(-LN(2)/2))/(LN(2)/2)*V112*Y112*VLOOKUP('Données projet'!$B$9,Paramètres!$A$1:$I$89,3,0)*0.475*44/12</f>
        <v>2.5620674057089112E-13</v>
      </c>
      <c r="AC112" s="22">
        <f t="shared" si="57"/>
        <v>17.500229526294159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5.6</v>
      </c>
      <c r="AI112" s="13">
        <f>IF('Données projet'!$A$62&gt;35,AI111+AH112-AQ111,IF(A112&lt;'Données projet'!$A$62,$AF$205^A112,IF(A112='Données projet'!$A$62,'Données projet'!$B$62,AI111+AH112-AQ111)))</f>
        <v>230.5999999999998</v>
      </c>
      <c r="AJ112" s="13">
        <f>AI112*VLOOKUP('Données projet'!$B$10,Paramètres!$A$1:$I$89,3,0)*VLOOKUP('Données projet'!$B$10,Paramètres!$A$1:$I$89,5,0)</f>
        <v>208.64687999999981</v>
      </c>
      <c r="AK112" s="13">
        <f t="shared" si="89"/>
        <v>51.639783781236048</v>
      </c>
      <c r="AL112" s="20">
        <f t="shared" si="58"/>
        <v>453.33260608565246</v>
      </c>
      <c r="AM112" s="59">
        <f t="shared" si="59"/>
        <v>746.66593941898577</v>
      </c>
      <c r="AN112" s="59">
        <f ca="1">AVERAGE(OFFSET($AM$3,0,0,'Données projet'!$E$10+1,1))-AVERAGE(OFFSET($H$3,0,0,'Données projet'!$E$10+1,1))</f>
        <v>387.43382681395963</v>
      </c>
      <c r="AO112" s="59">
        <f t="shared" si="90"/>
        <v>184.78537400115721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25.752922799958153</v>
      </c>
      <c r="AV112" s="21">
        <f>EXP(-LN(2)/25)*AV111+(1-EXP(-LN(2)/25))/(LN(2)/25)*Calculateur!AQ112*Calculateur!AS112*VLOOKUP('Données projet'!$B$10,Paramètres!$A$1:$I$89,3,0)*0.475*44/12</f>
        <v>18.171772422368299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43.924695222326449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169.26131760015181</v>
      </c>
      <c r="T113" s="59">
        <f t="shared" si="88"/>
        <v>395.66019987830481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15.098184991783771</v>
      </c>
      <c r="AA113" s="21">
        <f>EXP(-LN(2)/25)*AA112+(1-EXP(-LN(2)/25))/(LN(2)/25)*Calculateur!V113*Calculateur!X113*VLOOKUP('Données projet'!$B$9,Paramètres!$A$1:$I$89,3,0)*0.475*44/12</f>
        <v>2.0426303789395406</v>
      </c>
      <c r="AB113" s="21">
        <f>EXP(-LN(2)/2)*AB112+(1-EXP(-LN(2)/2))/(LN(2)/2)*V113*Y113*VLOOKUP('Données projet'!$B$9,Paramètres!$A$1:$I$89,3,0)*0.475*44/12</f>
        <v>1.8116552364337966E-13</v>
      </c>
      <c r="AC113" s="22">
        <f t="shared" si="57"/>
        <v>17.140815370723494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5.6</v>
      </c>
      <c r="AI113" s="13">
        <f>IF('Données projet'!$A$62&gt;35,AI112+AH113-AQ112,IF(A113&lt;'Données projet'!$A$62,$AF$205^A113,IF(A113='Données projet'!$A$62,'Données projet'!$B$62,AI112+AH113-AQ112)))</f>
        <v>236.19999999999979</v>
      </c>
      <c r="AJ113" s="13">
        <f>AI113*VLOOKUP('Données projet'!$B$10,Paramètres!$A$1:$I$89,3,0)*VLOOKUP('Données projet'!$B$10,Paramètres!$A$1:$I$89,5,0)</f>
        <v>213.71375999999981</v>
      </c>
      <c r="AK113" s="13">
        <f t="shared" si="89"/>
        <v>52.746305859880394</v>
      </c>
      <c r="AL113" s="20">
        <f t="shared" si="58"/>
        <v>464.08461470595802</v>
      </c>
      <c r="AM113" s="59">
        <f t="shared" si="59"/>
        <v>757.41794803929133</v>
      </c>
      <c r="AN113" s="59">
        <f ca="1">AVERAGE(OFFSET($AM$3,0,0,'Données projet'!$E$10+1,1))-AVERAGE(OFFSET($H$3,0,0,'Données projet'!$E$10+1,1))</f>
        <v>387.43382681395963</v>
      </c>
      <c r="AO113" s="59">
        <f t="shared" si="90"/>
        <v>184.78537400115721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25.247923691582873</v>
      </c>
      <c r="AV113" s="21">
        <f>EXP(-LN(2)/25)*AV112+(1-EXP(-LN(2)/25))/(LN(2)/25)*Calculateur!AQ113*Calculateur!AS113*VLOOKUP('Données projet'!$B$10,Paramètres!$A$1:$I$89,3,0)*0.475*44/12</f>
        <v>17.67486434986666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42.922788041449536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169.26131760015181</v>
      </c>
      <c r="T114" s="59">
        <f t="shared" si="88"/>
        <v>395.66019987830481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14.802118793078424</v>
      </c>
      <c r="AA114" s="21">
        <f>EXP(-LN(2)/25)*AA113+(1-EXP(-LN(2)/25))/(LN(2)/25)*Calculateur!V114*Calculateur!X114*VLOOKUP('Données projet'!$B$9,Paramètres!$A$1:$I$89,3,0)*0.475*44/12</f>
        <v>1.9867745438101758</v>
      </c>
      <c r="AB114" s="21">
        <f>EXP(-LN(2)/2)*AB113+(1-EXP(-LN(2)/2))/(LN(2)/2)*V114*Y114*VLOOKUP('Données projet'!$B$9,Paramètres!$A$1:$I$89,3,0)*0.475*44/12</f>
        <v>1.2810337028544556E-13</v>
      </c>
      <c r="AC114" s="22">
        <f t="shared" si="57"/>
        <v>16.788893336888727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5.6</v>
      </c>
      <c r="AI114" s="13">
        <f>IF('Données projet'!$A$62&gt;35,AI113+AH114-AQ113,IF(A114&lt;'Données projet'!$A$62,$AF$205^A114,IF(A114='Données projet'!$A$62,'Données projet'!$B$62,AI113+AH114-AQ113)))</f>
        <v>241.79999999999978</v>
      </c>
      <c r="AJ114" s="13">
        <f>AI114*VLOOKUP('Données projet'!$B$10,Paramètres!$A$1:$I$89,3,0)*VLOOKUP('Données projet'!$B$10,Paramètres!$A$1:$I$89,5,0)</f>
        <v>218.78063999999978</v>
      </c>
      <c r="AK114" s="13">
        <f t="shared" si="89"/>
        <v>53.849778182636094</v>
      </c>
      <c r="AL114" s="20">
        <f t="shared" si="58"/>
        <v>474.83131166809085</v>
      </c>
      <c r="AM114" s="59">
        <f t="shared" si="59"/>
        <v>768.16464500142411</v>
      </c>
      <c r="AN114" s="59">
        <f ca="1">AVERAGE(OFFSET($AM$3,0,0,'Données projet'!$E$10+1,1))-AVERAGE(OFFSET($H$3,0,0,'Données projet'!$E$10+1,1))</f>
        <v>387.43382681395963</v>
      </c>
      <c r="AO114" s="59">
        <f t="shared" si="90"/>
        <v>184.78537400115721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24.752827307703789</v>
      </c>
      <c r="AV114" s="21">
        <f>EXP(-LN(2)/25)*AV113+(1-EXP(-LN(2)/25))/(LN(2)/25)*Calculateur!AQ114*Calculateur!AS114*VLOOKUP('Données projet'!$B$10,Paramètres!$A$1:$I$89,3,0)*0.475*44/12</f>
        <v>17.191544254738837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41.944371562442626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169.26131760015181</v>
      </c>
      <c r="T115" s="59">
        <f t="shared" si="88"/>
        <v>395.66019987830481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14.511858271947141</v>
      </c>
      <c r="AA115" s="21">
        <f>EXP(-LN(2)/25)*AA114+(1-EXP(-LN(2)/25))/(LN(2)/25)*Calculateur!V115*Calculateur!X115*VLOOKUP('Données projet'!$B$9,Paramètres!$A$1:$I$89,3,0)*0.475*44/12</f>
        <v>1.9324460894297542</v>
      </c>
      <c r="AB115" s="21">
        <f>EXP(-LN(2)/2)*AB114+(1-EXP(-LN(2)/2))/(LN(2)/2)*V115*Y115*VLOOKUP('Données projet'!$B$9,Paramètres!$A$1:$I$89,3,0)*0.475*44/12</f>
        <v>9.058276182168983E-14</v>
      </c>
      <c r="AC115" s="22">
        <f t="shared" si="57"/>
        <v>16.444304361376982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5.6</v>
      </c>
      <c r="AI115" s="13">
        <f>IF('Données projet'!$A$62&gt;35,AI114+AH115-AQ114,IF(A115&lt;'Données projet'!$A$62,$AF$205^A115,IF(A115='Données projet'!$A$62,'Données projet'!$B$62,AI114+AH115-AQ114)))</f>
        <v>247.39999999999978</v>
      </c>
      <c r="AJ115" s="13">
        <f>AI115*VLOOKUP('Données projet'!$B$10,Paramètres!$A$1:$I$89,3,0)*VLOOKUP('Données projet'!$B$10,Paramètres!$A$1:$I$89,5,0)</f>
        <v>223.84751999999978</v>
      </c>
      <c r="AK115" s="13">
        <f t="shared" si="89"/>
        <v>54.950279510257438</v>
      </c>
      <c r="AL115" s="20">
        <f t="shared" si="58"/>
        <v>485.5728341470313</v>
      </c>
      <c r="AM115" s="59">
        <f t="shared" si="59"/>
        <v>778.90616748036462</v>
      </c>
      <c r="AN115" s="59">
        <f ca="1">AVERAGE(OFFSET($AM$3,0,0,'Données projet'!$E$10+1,1))-AVERAGE(OFFSET($H$3,0,0,'Données projet'!$E$10+1,1))</f>
        <v>387.43382681395963</v>
      </c>
      <c r="AO115" s="59">
        <f t="shared" si="90"/>
        <v>184.78537400115721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24.267439461933598</v>
      </c>
      <c r="AV115" s="21">
        <f>EXP(-LN(2)/25)*AV114+(1-EXP(-LN(2)/25))/(LN(2)/25)*Calculateur!AQ115*Calculateur!AS115*VLOOKUP('Données projet'!$B$10,Paramètres!$A$1:$I$89,3,0)*0.475*44/12</f>
        <v>16.721440573028982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40.988880034962577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169.26131760015181</v>
      </c>
      <c r="T116" s="59">
        <f t="shared" si="88"/>
        <v>395.66019987830481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14.227289582593803</v>
      </c>
      <c r="AA116" s="21">
        <f>EXP(-LN(2)/25)*AA115+(1-EXP(-LN(2)/25))/(LN(2)/25)*Calculateur!V116*Calculateur!X116*VLOOKUP('Données projet'!$B$9,Paramètres!$A$1:$I$89,3,0)*0.475*44/12</f>
        <v>1.8796032494913744</v>
      </c>
      <c r="AB116" s="21">
        <f>EXP(-LN(2)/2)*AB115+(1-EXP(-LN(2)/2))/(LN(2)/2)*V116*Y116*VLOOKUP('Données projet'!$B$9,Paramètres!$A$1:$I$89,3,0)*0.475*44/12</f>
        <v>6.405168514272278E-14</v>
      </c>
      <c r="AC116" s="22">
        <f t="shared" si="57"/>
        <v>16.10689283208524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5.6</v>
      </c>
      <c r="AI116" s="13">
        <f>IF('Données projet'!$A$62&gt;35,AI115+AH116-AQ115,IF(A116&lt;'Données projet'!$A$62,$AF$205^A116,IF(A116='Données projet'!$A$62,'Données projet'!$B$62,AI115+AH116-AQ115)))</f>
        <v>252.99999999999977</v>
      </c>
      <c r="AJ116" s="13">
        <f>AI116*VLOOKUP('Données projet'!$B$10,Paramètres!$A$1:$I$89,3,0)*VLOOKUP('Données projet'!$B$10,Paramètres!$A$1:$I$89,5,0)</f>
        <v>228.9143999999998</v>
      </c>
      <c r="AK116" s="13">
        <f t="shared" si="89"/>
        <v>56.047884834417424</v>
      </c>
      <c r="AL116" s="20">
        <f t="shared" si="58"/>
        <v>496.30931275327663</v>
      </c>
      <c r="AM116" s="59">
        <f t="shared" si="59"/>
        <v>789.64264608660994</v>
      </c>
      <c r="AN116" s="59">
        <f ca="1">AVERAGE(OFFSET($AM$3,0,0,'Données projet'!$E$10+1,1))-AVERAGE(OFFSET($H$3,0,0,'Données projet'!$E$10+1,1))</f>
        <v>387.43382681395963</v>
      </c>
      <c r="AO116" s="59">
        <f t="shared" si="90"/>
        <v>184.78537400115721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23.791569775761609</v>
      </c>
      <c r="AV116" s="21">
        <f>EXP(-LN(2)/25)*AV115+(1-EXP(-LN(2)/25))/(LN(2)/25)*Calculateur!AQ116*Calculateur!AS116*VLOOKUP('Données projet'!$B$10,Paramètres!$A$1:$I$89,3,0)*0.475*44/12</f>
        <v>16.264191901217163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40.055761676978776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169.26131760015181</v>
      </c>
      <c r="T117" s="59">
        <f t="shared" si="88"/>
        <v>395.66019987830481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13.948301111668924</v>
      </c>
      <c r="AA117" s="21">
        <f>EXP(-LN(2)/25)*AA116+(1-EXP(-LN(2)/25))/(LN(2)/25)*Calculateur!V117*Calculateur!X117*VLOOKUP('Données projet'!$B$9,Paramètres!$A$1:$I$89,3,0)*0.475*44/12</f>
        <v>1.8282053997899936</v>
      </c>
      <c r="AB117" s="21">
        <f>EXP(-LN(2)/2)*AB116+(1-EXP(-LN(2)/2))/(LN(2)/2)*V117*Y117*VLOOKUP('Données projet'!$B$9,Paramètres!$A$1:$I$89,3,0)*0.475*44/12</f>
        <v>4.5291380910844915E-14</v>
      </c>
      <c r="AC117" s="22">
        <f t="shared" si="57"/>
        <v>15.776506511458962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5.6</v>
      </c>
      <c r="AI117" s="13">
        <f>IF('Données projet'!$A$62&gt;35,AI116+AH117-AQ116,IF(A117&lt;'Données projet'!$A$62,$AF$205^A117,IF(A117='Données projet'!$A$62,'Données projet'!$B$62,AI116+AH117-AQ116)))</f>
        <v>258.5999999999998</v>
      </c>
      <c r="AJ117" s="13">
        <f>AI117*VLOOKUP('Données projet'!$B$10,Paramètres!$A$1:$I$89,3,0)*VLOOKUP('Données projet'!$B$10,Paramètres!$A$1:$I$89,5,0)</f>
        <v>233.9812799999998</v>
      </c>
      <c r="AK117" s="13">
        <f t="shared" si="89"/>
        <v>57.14266563744799</v>
      </c>
      <c r="AL117" s="20">
        <f t="shared" si="58"/>
        <v>507.04087198522149</v>
      </c>
      <c r="AM117" s="59">
        <f t="shared" si="59"/>
        <v>800.3742053185548</v>
      </c>
      <c r="AN117" s="59">
        <f ca="1">AVERAGE(OFFSET($AM$3,0,0,'Données projet'!$E$10+1,1))-AVERAGE(OFFSET($H$3,0,0,'Données projet'!$E$10+1,1))</f>
        <v>387.43382681395963</v>
      </c>
      <c r="AO117" s="59">
        <f t="shared" si="90"/>
        <v>184.78537400115721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23.325031603883602</v>
      </c>
      <c r="AV117" s="21">
        <f>EXP(-LN(2)/25)*AV116+(1-EXP(-LN(2)/25))/(LN(2)/25)*Calculateur!AQ117*Calculateur!AS117*VLOOKUP('Données projet'!$B$10,Paramètres!$A$1:$I$89,3,0)*0.475*44/12</f>
        <v>15.8194467183817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39.1444783222653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169.26131760015181</v>
      </c>
      <c r="T118" s="59">
        <f t="shared" si="88"/>
        <v>395.66019987830481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13.674783434492717</v>
      </c>
      <c r="AA118" s="21">
        <f>EXP(-LN(2)/25)*AA117+(1-EXP(-LN(2)/25))/(LN(2)/25)*Calculateur!V118*Calculateur!X118*VLOOKUP('Données projet'!$B$9,Paramètres!$A$1:$I$89,3,0)*0.475*44/12</f>
        <v>1.7782130269915928</v>
      </c>
      <c r="AB118" s="21">
        <f>EXP(-LN(2)/2)*AB117+(1-EXP(-LN(2)/2))/(LN(2)/2)*V118*Y118*VLOOKUP('Données projet'!$B$9,Paramètres!$A$1:$I$89,3,0)*0.475*44/12</f>
        <v>3.202584257136139E-14</v>
      </c>
      <c r="AC118" s="22">
        <f t="shared" si="57"/>
        <v>15.452996461484341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5.6</v>
      </c>
      <c r="AI118" s="13">
        <f>IF('Données projet'!$A$62&gt;35,AI117+AH118-AQ117,IF(A118&lt;'Données projet'!$A$62,$AF$205^A118,IF(A118='Données projet'!$A$62,'Données projet'!$B$62,AI117+AH118-AQ117)))</f>
        <v>264.19999999999982</v>
      </c>
      <c r="AJ118" s="13">
        <f>AI118*VLOOKUP('Données projet'!$B$10,Paramètres!$A$1:$I$89,3,0)*VLOOKUP('Données projet'!$B$10,Paramètres!$A$1:$I$89,5,0)</f>
        <v>239.04815999999983</v>
      </c>
      <c r="AK118" s="13">
        <f t="shared" si="89"/>
        <v>58.234690128947292</v>
      </c>
      <c r="AL118" s="20">
        <f t="shared" si="58"/>
        <v>517.76763064124964</v>
      </c>
      <c r="AM118" s="59">
        <f t="shared" si="59"/>
        <v>811.10096397458301</v>
      </c>
      <c r="AN118" s="59">
        <f ca="1">AVERAGE(OFFSET($AM$3,0,0,'Données projet'!$E$10+1,1))-AVERAGE(OFFSET($H$3,0,0,'Données projet'!$E$10+1,1))</f>
        <v>387.43382681395963</v>
      </c>
      <c r="AO118" s="59">
        <f t="shared" si="90"/>
        <v>184.78537400115721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22.867641960995936</v>
      </c>
      <c r="AV118" s="21">
        <f>EXP(-LN(2)/25)*AV117+(1-EXP(-LN(2)/25))/(LN(2)/25)*Calculateur!AQ118*Calculateur!AS118*VLOOKUP('Données projet'!$B$10,Paramètres!$A$1:$I$89,3,0)*0.475*44/12</f>
        <v>15.386863115959006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38.254505076954942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169.26131760015181</v>
      </c>
      <c r="T119" s="59">
        <f t="shared" si="88"/>
        <v>395.66019987830481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13.406629272136625</v>
      </c>
      <c r="AA119" s="21">
        <f>EXP(-LN(2)/25)*AA118+(1-EXP(-LN(2)/25))/(LN(2)/25)*Calculateur!V119*Calculateur!X119*VLOOKUP('Données projet'!$B$9,Paramètres!$A$1:$I$89,3,0)*0.475*44/12</f>
        <v>1.7295876982563487</v>
      </c>
      <c r="AB119" s="21">
        <f>EXP(-LN(2)/2)*AB118+(1-EXP(-LN(2)/2))/(LN(2)/2)*V119*Y119*VLOOKUP('Données projet'!$B$9,Paramètres!$A$1:$I$89,3,0)*0.475*44/12</f>
        <v>2.2645690455422458E-14</v>
      </c>
      <c r="AC119" s="22">
        <f t="shared" si="57"/>
        <v>15.136216970392997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5.6</v>
      </c>
      <c r="AI119" s="13">
        <f>IF('Données projet'!$A$62&gt;35,AI118+AH119-AQ118,IF(A119&lt;'Données projet'!$A$62,$AF$205^A119,IF(A119='Données projet'!$A$62,'Données projet'!$B$62,AI118+AH119-AQ118)))</f>
        <v>269.79999999999984</v>
      </c>
      <c r="AJ119" s="13">
        <f>AI119*VLOOKUP('Données projet'!$B$10,Paramètres!$A$1:$I$89,3,0)*VLOOKUP('Données projet'!$B$10,Paramètres!$A$1:$I$89,5,0)</f>
        <v>244.11503999999985</v>
      </c>
      <c r="AK119" s="13">
        <f t="shared" si="89"/>
        <v>59.324023461759012</v>
      </c>
      <c r="AL119" s="20">
        <f t="shared" si="58"/>
        <v>528.48970219589671</v>
      </c>
      <c r="AM119" s="59">
        <f t="shared" si="59"/>
        <v>821.82303552923008</v>
      </c>
      <c r="AN119" s="59">
        <f ca="1">AVERAGE(OFFSET($AM$3,0,0,'Données projet'!$E$10+1,1))-AVERAGE(OFFSET($H$3,0,0,'Données projet'!$E$10+1,1))</f>
        <v>387.43382681395963</v>
      </c>
      <c r="AO119" s="59">
        <f t="shared" si="90"/>
        <v>184.78537400115721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22.419221450025162</v>
      </c>
      <c r="AV119" s="21">
        <f>EXP(-LN(2)/25)*AV118+(1-EXP(-LN(2)/25))/(LN(2)/25)*Calculateur!AQ119*Calculateur!AS119*VLOOKUP('Données projet'!$B$10,Paramètres!$A$1:$I$89,3,0)*0.475*44/12</f>
        <v>14.966108534893143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37.385329984918307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169.26131760015181</v>
      </c>
      <c r="T120" s="59">
        <f t="shared" si="88"/>
        <v>395.66019987830481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13.143733449346447</v>
      </c>
      <c r="AA120" s="21">
        <f>EXP(-LN(2)/25)*AA119+(1-EXP(-LN(2)/25))/(LN(2)/25)*Calculateur!V120*Calculateur!X120*VLOOKUP('Données projet'!$B$9,Paramètres!$A$1:$I$89,3,0)*0.475*44/12</f>
        <v>1.6822920316924648</v>
      </c>
      <c r="AB120" s="21">
        <f>EXP(-LN(2)/2)*AB119+(1-EXP(-LN(2)/2))/(LN(2)/2)*V120*Y120*VLOOKUP('Données projet'!$B$9,Paramètres!$A$1:$I$89,3,0)*0.475*44/12</f>
        <v>1.6012921285680695E-14</v>
      </c>
      <c r="AC120" s="22">
        <f t="shared" si="57"/>
        <v>14.826025481038927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5.6</v>
      </c>
      <c r="AI120" s="13">
        <f>IF('Données projet'!$A$62&gt;35,AI119+AH120-AQ119,IF(A120&lt;'Données projet'!$A$62,$AF$205^A120,IF(A120='Données projet'!$A$62,'Données projet'!$B$62,AI119+AH120-AQ119)))</f>
        <v>275.39999999999986</v>
      </c>
      <c r="AJ120" s="13">
        <f>AI120*VLOOKUP('Données projet'!$B$10,Paramètres!$A$1:$I$89,3,0)*VLOOKUP('Données projet'!$B$10,Paramètres!$A$1:$I$89,5,0)</f>
        <v>249.18191999999988</v>
      </c>
      <c r="AK120" s="13">
        <f t="shared" si="89"/>
        <v>60.410727929515545</v>
      </c>
      <c r="AL120" s="20">
        <f t="shared" si="58"/>
        <v>539.20719514390601</v>
      </c>
      <c r="AM120" s="59">
        <f t="shared" si="59"/>
        <v>832.54052847723938</v>
      </c>
      <c r="AN120" s="59">
        <f ca="1">AVERAGE(OFFSET($AM$3,0,0,'Données projet'!$E$10+1,1))-AVERAGE(OFFSET($H$3,0,0,'Données projet'!$E$10+1,1))</f>
        <v>387.43382681395963</v>
      </c>
      <c r="AO120" s="59">
        <f t="shared" si="90"/>
        <v>184.78537400115721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21.97959419176502</v>
      </c>
      <c r="AV120" s="21">
        <f>EXP(-LN(2)/25)*AV119+(1-EXP(-LN(2)/25))/(LN(2)/25)*Calculateur!AQ120*Calculateur!AS120*VLOOKUP('Données projet'!$B$10,Paramètres!$A$1:$I$89,3,0)*0.475*44/12</f>
        <v>14.556859509973048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36.536453701738068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169.26131760015181</v>
      </c>
      <c r="T121" s="59">
        <f t="shared" si="88"/>
        <v>395.66019987830481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12.885992853290565</v>
      </c>
      <c r="AA121" s="21">
        <f>EXP(-LN(2)/25)*AA120+(1-EXP(-LN(2)/25))/(LN(2)/25)*Calculateur!V121*Calculateur!X121*VLOOKUP('Données projet'!$B$9,Paramètres!$A$1:$I$89,3,0)*0.475*44/12</f>
        <v>1.6362896676179413</v>
      </c>
      <c r="AB121" s="21">
        <f>EXP(-LN(2)/2)*AB120+(1-EXP(-LN(2)/2))/(LN(2)/2)*V121*Y121*VLOOKUP('Données projet'!$B$9,Paramètres!$A$1:$I$89,3,0)*0.475*44/12</f>
        <v>1.1322845227711229E-14</v>
      </c>
      <c r="AC121" s="22">
        <f t="shared" si="57"/>
        <v>14.522282520908517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>
        <f>VLOOKUP(A121,'Données projet'!$A$61:$I$81,2,0)</f>
        <v>281</v>
      </c>
      <c r="AG121" s="12">
        <f>VLOOKUP(A121,'Données projet'!$A$61:$I$81,9,0)</f>
        <v>5.6</v>
      </c>
      <c r="AH121" s="12">
        <f t="array" ref="AH121">INDEX(AG:AG,MIN(IF(ISNUMBER(AG121:AG317),ROW(AG121:AG317),"")))</f>
        <v>5.6</v>
      </c>
      <c r="AI121" s="13">
        <f>IF('Données projet'!$A$62&gt;35,AI120+AH121-AQ120,IF(A121&lt;'Données projet'!$A$62,$AF$205^A121,IF(A121='Données projet'!$A$62,'Données projet'!$B$62,AI120+AH121-AQ120)))</f>
        <v>280.99999999999989</v>
      </c>
      <c r="AJ121" s="13">
        <f>AI121*VLOOKUP('Données projet'!$B$10,Paramètres!$A$1:$I$89,3,0)*VLOOKUP('Données projet'!$B$10,Paramètres!$A$1:$I$89,5,0)</f>
        <v>254.2487999999999</v>
      </c>
      <c r="AK121" s="13">
        <f t="shared" si="89"/>
        <v>61.494863147658862</v>
      </c>
      <c r="AL121" s="20">
        <f t="shared" si="58"/>
        <v>549.92021331550563</v>
      </c>
      <c r="AM121" s="59">
        <f t="shared" si="59"/>
        <v>843.25354664883889</v>
      </c>
      <c r="AN121" s="59">
        <f ca="1">AVERAGE(OFFSET($AM$3,0,0,'Données projet'!$E$10+1,1))-AVERAGE(OFFSET($H$3,0,0,'Données projet'!$E$10+1,1))</f>
        <v>387.43382681395963</v>
      </c>
      <c r="AO121" s="59">
        <f t="shared" si="90"/>
        <v>184.78537400115721</v>
      </c>
      <c r="AP121" s="15">
        <f>IF(ISNA(VLOOKUP(A121,'Données projet'!$A$61:$I$81,3,0)),0,VLOOKUP(A121,'Données projet'!$A$61:$I$81,3,0))</f>
        <v>8</v>
      </c>
      <c r="AQ121" s="15">
        <f>IF(ISNA(VLOOKUP(A121,'Données projet'!$A$61:$I$81,4,0)),0,VLOOKUP(A121,'Données projet'!$A$61:$I$81,4,0))</f>
        <v>40</v>
      </c>
      <c r="AR121" s="16">
        <f>IF(ISNA(VLOOKUP(A121,'Données projet'!$A$61:$I$81,5,0)),0%,VLOOKUP(A121,'Données projet'!$A$61:$I$81,5,0)*VLOOKUP('Données projet'!$B$10,Paramètres!$A$1:$I$89,7,0))</f>
        <v>0.215</v>
      </c>
      <c r="AS121" s="16">
        <f>IF(ISNA(VLOOKUP(A121,'Données projet'!$A$61:$I$81,6,0)),0%,VLOOKUP(A121,'Données projet'!$A$61:$I$81,6,0)*VLOOKUP('Données projet'!$B$10,Paramètres!$A$1:$I$89,7,0))</f>
        <v>0.17200000000000001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30.150562310745361</v>
      </c>
      <c r="AV121" s="21">
        <f>EXP(-LN(2)/25)*AV120+(1-EXP(-LN(2)/25))/(LN(2)/25)*Calculateur!AQ121*Calculateur!AS121*VLOOKUP('Données projet'!$B$10,Paramètres!$A$1:$I$89,3,0)*0.475*44/12</f>
        <v>21.013285663897211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51.163847974642572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169.26131760015181</v>
      </c>
      <c r="T122" s="59">
        <f t="shared" si="88"/>
        <v>395.66019987830481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12.633306393117099</v>
      </c>
      <c r="AA122" s="21">
        <f>EXP(-LN(2)/25)*AA121+(1-EXP(-LN(2)/25))/(LN(2)/25)*Calculateur!V122*Calculateur!X122*VLOOKUP('Données projet'!$B$9,Paramètres!$A$1:$I$89,3,0)*0.475*44/12</f>
        <v>1.5915452406081949</v>
      </c>
      <c r="AB122" s="21">
        <f>EXP(-LN(2)/2)*AB121+(1-EXP(-LN(2)/2))/(LN(2)/2)*V122*Y122*VLOOKUP('Données projet'!$B$9,Paramètres!$A$1:$I$89,3,0)*0.475*44/12</f>
        <v>8.0064606428403476E-15</v>
      </c>
      <c r="AC122" s="22">
        <f t="shared" si="57"/>
        <v>14.224851633725303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5.6</v>
      </c>
      <c r="AI122" s="13">
        <f>IF('Données projet'!$A$62&gt;35,AI121+AH122-AQ121,IF(A122&lt;'Données projet'!$A$62,$AF$205^A122,IF(A122='Données projet'!$A$62,'Données projet'!$B$62,AI121+AH122-AQ121)))</f>
        <v>246.59999999999991</v>
      </c>
      <c r="AJ122" s="13">
        <f>AI122*VLOOKUP('Données projet'!$B$10,Paramètres!$A$1:$I$89,3,0)*VLOOKUP('Données projet'!$B$10,Paramètres!$A$1:$I$89,5,0)</f>
        <v>223.12367999999989</v>
      </c>
      <c r="AK122" s="13">
        <f t="shared" si="89"/>
        <v>54.793244051140597</v>
      </c>
      <c r="AL122" s="20">
        <f t="shared" si="58"/>
        <v>484.03864272240298</v>
      </c>
      <c r="AM122" s="59">
        <f t="shared" si="59"/>
        <v>777.37197605573624</v>
      </c>
      <c r="AN122" s="59">
        <f ca="1">AVERAGE(OFFSET($AM$3,0,0,'Données projet'!$E$10+1,1))-AVERAGE(OFFSET($H$3,0,0,'Données projet'!$E$10+1,1))</f>
        <v>387.43382681395963</v>
      </c>
      <c r="AO122" s="59">
        <f t="shared" si="90"/>
        <v>184.78537400115721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29.559328173858791</v>
      </c>
      <c r="AV122" s="21">
        <f>EXP(-LN(2)/25)*AV121+(1-EXP(-LN(2)/25))/(LN(2)/25)*Calculateur!AQ122*Calculateur!AS122*VLOOKUP('Données projet'!$B$10,Paramètres!$A$1:$I$89,3,0)*0.475*44/12</f>
        <v>20.438676262377275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49.998004436236066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169.26131760015181</v>
      </c>
      <c r="T123" s="59">
        <f t="shared" si="88"/>
        <v>395.66019987830481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12.385574960304112</v>
      </c>
      <c r="AA123" s="21">
        <f>EXP(-LN(2)/25)*AA122+(1-EXP(-LN(2)/25))/(LN(2)/25)*Calculateur!V123*Calculateur!X123*VLOOKUP('Données projet'!$B$9,Paramètres!$A$1:$I$89,3,0)*0.475*44/12</f>
        <v>1.548024352308037</v>
      </c>
      <c r="AB123" s="21">
        <f>EXP(-LN(2)/2)*AB122+(1-EXP(-LN(2)/2))/(LN(2)/2)*V123*Y123*VLOOKUP('Données projet'!$B$9,Paramètres!$A$1:$I$89,3,0)*0.475*44/12</f>
        <v>5.6614226138556144E-15</v>
      </c>
      <c r="AC123" s="22">
        <f t="shared" si="57"/>
        <v>13.933599312612154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5.6</v>
      </c>
      <c r="AI123" s="13">
        <f>IF('Données projet'!$A$62&gt;35,AI122+AH123-AQ122,IF(A123&lt;'Données projet'!$A$62,$AF$205^A123,IF(A123='Données projet'!$A$62,'Données projet'!$B$62,AI122+AH123-AQ122)))</f>
        <v>252.1999999999999</v>
      </c>
      <c r="AJ123" s="13">
        <f>AI123*VLOOKUP('Données projet'!$B$10,Paramètres!$A$1:$I$89,3,0)*VLOOKUP('Données projet'!$B$10,Paramètres!$A$1:$I$89,5,0)</f>
        <v>228.19055999999989</v>
      </c>
      <c r="AK123" s="13">
        <f t="shared" si="89"/>
        <v>55.89125863442456</v>
      </c>
      <c r="AL123" s="20">
        <f t="shared" si="58"/>
        <v>494.77583412162261</v>
      </c>
      <c r="AM123" s="59">
        <f t="shared" si="59"/>
        <v>788.10916745495592</v>
      </c>
      <c r="AN123" s="59">
        <f ca="1">AVERAGE(OFFSET($AM$3,0,0,'Données projet'!$E$10+1,1))-AVERAGE(OFFSET($H$3,0,0,'Données projet'!$E$10+1,1))</f>
        <v>387.43382681395963</v>
      </c>
      <c r="AO123" s="59">
        <f t="shared" si="90"/>
        <v>184.78537400115721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28.97968777777935</v>
      </c>
      <c r="AV123" s="21">
        <f>EXP(-LN(2)/25)*AV122+(1-EXP(-LN(2)/25))/(LN(2)/25)*Calculateur!AQ123*Calculateur!AS123*VLOOKUP('Données projet'!$B$10,Paramètres!$A$1:$I$89,3,0)*0.475*44/12</f>
        <v>19.879779585159298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48.859467362938645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169.26131760015181</v>
      </c>
      <c r="T124" s="59">
        <f t="shared" si="88"/>
        <v>395.66019987830481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12.142701389787334</v>
      </c>
      <c r="AA124" s="21">
        <f>EXP(-LN(2)/25)*AA123+(1-EXP(-LN(2)/25))/(LN(2)/25)*Calculateur!V124*Calculateur!X124*VLOOKUP('Données projet'!$B$9,Paramètres!$A$1:$I$89,3,0)*0.475*44/12</f>
        <v>1.5056935449871112</v>
      </c>
      <c r="AB124" s="21">
        <f>EXP(-LN(2)/2)*AB123+(1-EXP(-LN(2)/2))/(LN(2)/2)*V124*Y124*VLOOKUP('Données projet'!$B$9,Paramètres!$A$1:$I$89,3,0)*0.475*44/12</f>
        <v>4.0032303214201738E-15</v>
      </c>
      <c r="AC124" s="22">
        <f t="shared" si="57"/>
        <v>13.648394934774448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5.6</v>
      </c>
      <c r="AI124" s="13">
        <f>IF('Données projet'!$A$62&gt;35,AI123+AH124-AQ123,IF(A124&lt;'Données projet'!$A$62,$AF$205^A124,IF(A124='Données projet'!$A$62,'Données projet'!$B$62,AI123+AH124-AQ123)))</f>
        <v>257.7999999999999</v>
      </c>
      <c r="AJ124" s="13">
        <f>AI124*VLOOKUP('Données projet'!$B$10,Paramètres!$A$1:$I$89,3,0)*VLOOKUP('Données projet'!$B$10,Paramètres!$A$1:$I$89,5,0)</f>
        <v>233.25743999999992</v>
      </c>
      <c r="AK124" s="13">
        <f t="shared" si="89"/>
        <v>56.98643869047325</v>
      </c>
      <c r="AL124" s="20">
        <f t="shared" si="58"/>
        <v>505.50808871924067</v>
      </c>
      <c r="AM124" s="59">
        <f t="shared" si="59"/>
        <v>798.84142205257399</v>
      </c>
      <c r="AN124" s="59">
        <f ca="1">AVERAGE(OFFSET($AM$3,0,0,'Données projet'!$E$10+1,1))-AVERAGE(OFFSET($H$3,0,0,'Données projet'!$E$10+1,1))</f>
        <v>387.43382681395963</v>
      </c>
      <c r="AO124" s="59">
        <f t="shared" si="90"/>
        <v>184.78537400115721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28.411413776321297</v>
      </c>
      <c r="AV124" s="21">
        <f>EXP(-LN(2)/25)*AV123+(1-EXP(-LN(2)/25))/(LN(2)/25)*Calculateur!AQ124*Calculateur!AS124*VLOOKUP('Données projet'!$B$10,Paramètres!$A$1:$I$89,3,0)*0.475*44/12</f>
        <v>19.336165966970945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47.747579743292242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169.26131760015181</v>
      </c>
      <c r="T125" s="59">
        <f t="shared" si="88"/>
        <v>395.66019987830481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11.904590421850139</v>
      </c>
      <c r="AA125" s="21">
        <f>EXP(-LN(2)/25)*AA124+(1-EXP(-LN(2)/25))/(LN(2)/25)*Calculateur!V125*Calculateur!X125*VLOOKUP('Données projet'!$B$9,Paramètres!$A$1:$I$89,3,0)*0.475*44/12</f>
        <v>1.4645202758184563</v>
      </c>
      <c r="AB125" s="21">
        <f>EXP(-LN(2)/2)*AB124+(1-EXP(-LN(2)/2))/(LN(2)/2)*V125*Y125*VLOOKUP('Données projet'!$B$9,Paramètres!$A$1:$I$89,3,0)*0.475*44/12</f>
        <v>2.8307113069278072E-15</v>
      </c>
      <c r="AC125" s="22">
        <f t="shared" si="57"/>
        <v>13.369110697668599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5.6</v>
      </c>
      <c r="AI125" s="13">
        <f>IF('Données projet'!$A$62&gt;35,AI124+AH125-AQ124,IF(A125&lt;'Données projet'!$A$62,$AF$205^A125,IF(A125='Données projet'!$A$62,'Données projet'!$B$62,AI124+AH125-AQ124)))</f>
        <v>263.39999999999992</v>
      </c>
      <c r="AJ125" s="13">
        <f>AI125*VLOOKUP('Données projet'!$B$10,Paramètres!$A$1:$I$89,3,0)*VLOOKUP('Données projet'!$B$10,Paramètres!$A$1:$I$89,5,0)</f>
        <v>238.32431999999991</v>
      </c>
      <c r="AK125" s="13">
        <f t="shared" si="89"/>
        <v>58.078852882738758</v>
      </c>
      <c r="AL125" s="20">
        <f t="shared" si="58"/>
        <v>516.23552610410309</v>
      </c>
      <c r="AM125" s="59">
        <f t="shared" si="59"/>
        <v>809.56885943743646</v>
      </c>
      <c r="AN125" s="59">
        <f ca="1">AVERAGE(OFFSET($AM$3,0,0,'Données projet'!$E$10+1,1))-AVERAGE(OFFSET($H$3,0,0,'Données projet'!$E$10+1,1))</f>
        <v>387.43382681395963</v>
      </c>
      <c r="AO125" s="59">
        <f t="shared" si="90"/>
        <v>184.78537400115721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27.854283281418919</v>
      </c>
      <c r="AV125" s="21">
        <f>EXP(-LN(2)/25)*AV124+(1-EXP(-LN(2)/25))/(LN(2)/25)*Calculateur!AQ125*Calculateur!AS125*VLOOKUP('Données projet'!$B$10,Paramètres!$A$1:$I$89,3,0)*0.475*44/12</f>
        <v>18.807417491759349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46.661700773178268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169.26131760015181</v>
      </c>
      <c r="T126" s="59">
        <f t="shared" si="88"/>
        <v>395.66019987830481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11.671148664760842</v>
      </c>
      <c r="AA126" s="21">
        <f>EXP(-LN(2)/25)*AA125+(1-EXP(-LN(2)/25))/(LN(2)/25)*Calculateur!V126*Calculateur!X126*VLOOKUP('Données projet'!$B$9,Paramètres!$A$1:$I$89,3,0)*0.475*44/12</f>
        <v>1.4244728918604266</v>
      </c>
      <c r="AB126" s="21">
        <f>EXP(-LN(2)/2)*AB125+(1-EXP(-LN(2)/2))/(LN(2)/2)*V126*Y126*VLOOKUP('Données projet'!$B$9,Paramètres!$A$1:$I$89,3,0)*0.475*44/12</f>
        <v>2.0016151607100869E-15</v>
      </c>
      <c r="AC126" s="22">
        <f t="shared" si="57"/>
        <v>13.095621556621271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5.6</v>
      </c>
      <c r="AI126" s="13">
        <f>IF('Données projet'!$A$62&gt;35,AI125+AH126-AQ125,IF(A126&lt;'Données projet'!$A$62,$AF$205^A126,IF(A126='Données projet'!$A$62,'Données projet'!$B$62,AI125+AH126-AQ125)))</f>
        <v>268.99999999999994</v>
      </c>
      <c r="AJ126" s="13">
        <f>AI126*VLOOKUP('Données projet'!$B$10,Paramètres!$A$1:$I$89,3,0)*VLOOKUP('Données projet'!$B$10,Paramètres!$A$1:$I$89,5,0)</f>
        <v>243.39119999999994</v>
      </c>
      <c r="AK126" s="13">
        <f t="shared" si="89"/>
        <v>59.168566788241527</v>
      </c>
      <c r="AL126" s="20">
        <f t="shared" si="58"/>
        <v>526.95826048952051</v>
      </c>
      <c r="AM126" s="59">
        <f t="shared" si="59"/>
        <v>820.29159382285388</v>
      </c>
      <c r="AN126" s="59">
        <f ca="1">AVERAGE(OFFSET($AM$3,0,0,'Données projet'!$E$10+1,1))-AVERAGE(OFFSET($H$3,0,0,'Données projet'!$E$10+1,1))</f>
        <v>387.43382681395963</v>
      </c>
      <c r="AO126" s="59">
        <f t="shared" si="90"/>
        <v>184.78537400115721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27.308077775705527</v>
      </c>
      <c r="AV126" s="21">
        <f>EXP(-LN(2)/25)*AV125+(1-EXP(-LN(2)/25))/(LN(2)/25)*Calculateur!AQ126*Calculateur!AS126*VLOOKUP('Données projet'!$B$10,Paramètres!$A$1:$I$89,3,0)*0.475*44/12</f>
        <v>18.29312767140809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45.601205447113614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169.26131760015181</v>
      </c>
      <c r="T127" s="59">
        <f t="shared" si="88"/>
        <v>395.66019987830481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11.442284558142655</v>
      </c>
      <c r="AA127" s="21">
        <f>EXP(-LN(2)/25)*AA126+(1-EXP(-LN(2)/25))/(LN(2)/25)*Calculateur!V127*Calculateur!X127*VLOOKUP('Données projet'!$B$9,Paramètres!$A$1:$I$89,3,0)*0.475*44/12</f>
        <v>1.3855206057227296</v>
      </c>
      <c r="AB127" s="21">
        <f>EXP(-LN(2)/2)*AB126+(1-EXP(-LN(2)/2))/(LN(2)/2)*V127*Y127*VLOOKUP('Données projet'!$B$9,Paramètres!$A$1:$I$89,3,0)*0.475*44/12</f>
        <v>1.4153556534639036E-15</v>
      </c>
      <c r="AC127" s="22">
        <f t="shared" si="57"/>
        <v>12.827805163865387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5.6</v>
      </c>
      <c r="AI127" s="13">
        <f>IF('Données projet'!$A$62&gt;35,AI126+AH127-AQ126,IF(A127&lt;'Données projet'!$A$62,$AF$205^A127,IF(A127='Données projet'!$A$62,'Données projet'!$B$62,AI126+AH127-AQ126)))</f>
        <v>274.59999999999997</v>
      </c>
      <c r="AJ127" s="13">
        <f>AI127*VLOOKUP('Données projet'!$B$10,Paramètres!$A$1:$I$89,3,0)*VLOOKUP('Données projet'!$B$10,Paramètres!$A$1:$I$89,5,0)</f>
        <v>248.45807999999997</v>
      </c>
      <c r="AK127" s="13">
        <f t="shared" si="89"/>
        <v>60.25564309762369</v>
      </c>
      <c r="AL127" s="20">
        <f t="shared" si="58"/>
        <v>537.67640106169449</v>
      </c>
      <c r="AM127" s="59">
        <f t="shared" si="59"/>
        <v>831.00973439502786</v>
      </c>
      <c r="AN127" s="59">
        <f ca="1">AVERAGE(OFFSET($AM$3,0,0,'Données projet'!$E$10+1,1))-AVERAGE(OFFSET($H$3,0,0,'Données projet'!$E$10+1,1))</f>
        <v>387.43382681395963</v>
      </c>
      <c r="AO127" s="59">
        <f t="shared" si="90"/>
        <v>184.78537400115721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26.772583026806714</v>
      </c>
      <c r="AV127" s="21">
        <f>EXP(-LN(2)/25)*AV126+(1-EXP(-LN(2)/25))/(LN(2)/25)*Calculateur!AQ127*Calculateur!AS127*VLOOKUP('Données projet'!$B$10,Paramètres!$A$1:$I$89,3,0)*0.475*44/12</f>
        <v>17.79290113323966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44.565484160046374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169.26131760015181</v>
      </c>
      <c r="T128" s="59">
        <f t="shared" si="88"/>
        <v>395.66019987830481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11.217908337061928</v>
      </c>
      <c r="AA128" s="21">
        <f>EXP(-LN(2)/25)*AA127+(1-EXP(-LN(2)/25))/(LN(2)/25)*Calculateur!V128*Calculateur!X128*VLOOKUP('Données projet'!$B$9,Paramètres!$A$1:$I$89,3,0)*0.475*44/12</f>
        <v>1.3476334718978795</v>
      </c>
      <c r="AB128" s="21">
        <f>EXP(-LN(2)/2)*AB127+(1-EXP(-LN(2)/2))/(LN(2)/2)*V128*Y128*VLOOKUP('Données projet'!$B$9,Paramètres!$A$1:$I$89,3,0)*0.475*44/12</f>
        <v>1.0008075803550434E-15</v>
      </c>
      <c r="AC128" s="22">
        <f t="shared" si="57"/>
        <v>12.565541808959809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5.6</v>
      </c>
      <c r="AI128" s="13">
        <f>IF('Données projet'!$A$62&gt;35,AI127+AH128-AQ127,IF(A128&lt;'Données projet'!$A$62,$AF$205^A128,IF(A128='Données projet'!$A$62,'Données projet'!$B$62,AI127+AH128-AQ127)))</f>
        <v>280.2</v>
      </c>
      <c r="AJ128" s="13">
        <f>AI128*VLOOKUP('Données projet'!$B$10,Paramètres!$A$1:$I$89,3,0)*VLOOKUP('Données projet'!$B$10,Paramètres!$A$1:$I$89,5,0)</f>
        <v>253.52495999999999</v>
      </c>
      <c r="AK128" s="13">
        <f t="shared" si="89"/>
        <v>61.340141798422209</v>
      </c>
      <c r="AL128" s="20">
        <f t="shared" si="58"/>
        <v>548.39005229891859</v>
      </c>
      <c r="AM128" s="59">
        <f t="shared" si="59"/>
        <v>841.72338563225185</v>
      </c>
      <c r="AN128" s="59">
        <f ca="1">AVERAGE(OFFSET($AM$3,0,0,'Données projet'!$E$10+1,1))-AVERAGE(OFFSET($H$3,0,0,'Données projet'!$E$10+1,1))</f>
        <v>387.43382681395963</v>
      </c>
      <c r="AO128" s="59">
        <f t="shared" si="90"/>
        <v>184.78537400115721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26.24758900331426</v>
      </c>
      <c r="AV128" s="21">
        <f>EXP(-LN(2)/25)*AV127+(1-EXP(-LN(2)/25))/(LN(2)/25)*Calculateur!AQ128*Calculateur!AS128*VLOOKUP('Données projet'!$B$10,Paramètres!$A$1:$I$89,3,0)*0.475*44/12</f>
        <v>17.306353316063216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43.553942319377477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169.26131760015181</v>
      </c>
      <c r="T129" s="59">
        <f t="shared" si="88"/>
        <v>395.66019987830481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10.997931996820613</v>
      </c>
      <c r="AA129" s="21">
        <f>EXP(-LN(2)/25)*AA128+(1-EXP(-LN(2)/25))/(LN(2)/25)*Calculateur!V129*Calculateur!X129*VLOOKUP('Données projet'!$B$9,Paramètres!$A$1:$I$89,3,0)*0.475*44/12</f>
        <v>1.3107823637398677</v>
      </c>
      <c r="AB129" s="21">
        <f>EXP(-LN(2)/2)*AB128+(1-EXP(-LN(2)/2))/(LN(2)/2)*V129*Y129*VLOOKUP('Données projet'!$B$9,Paramètres!$A$1:$I$89,3,0)*0.475*44/12</f>
        <v>7.076778267319518E-16</v>
      </c>
      <c r="AC129" s="22">
        <f t="shared" si="57"/>
        <v>12.308714360560481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5.6</v>
      </c>
      <c r="AI129" s="13">
        <f>IF('Données projet'!$A$62&gt;35,AI128+AH129-AQ128,IF(A129&lt;'Données projet'!$A$62,$AF$205^A129,IF(A129='Données projet'!$A$62,'Données projet'!$B$62,AI128+AH129-AQ128)))</f>
        <v>285.8</v>
      </c>
      <c r="AJ129" s="13">
        <f>AI129*VLOOKUP('Données projet'!$B$10,Paramètres!$A$1:$I$89,3,0)*VLOOKUP('Données projet'!$B$10,Paramètres!$A$1:$I$89,5,0)</f>
        <v>258.59183999999999</v>
      </c>
      <c r="AK129" s="13">
        <f t="shared" si="89"/>
        <v>62.422120343276589</v>
      </c>
      <c r="AL129" s="20">
        <f t="shared" si="58"/>
        <v>559.09931426454011</v>
      </c>
      <c r="AM129" s="59">
        <f t="shared" si="59"/>
        <v>852.43264759787348</v>
      </c>
      <c r="AN129" s="59">
        <f ca="1">AVERAGE(OFFSET($AM$3,0,0,'Données projet'!$E$10+1,1))-AVERAGE(OFFSET($H$3,0,0,'Données projet'!$E$10+1,1))</f>
        <v>387.43382681395963</v>
      </c>
      <c r="AO129" s="59">
        <f t="shared" si="90"/>
        <v>184.78537400115721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25.732889792407757</v>
      </c>
      <c r="AV129" s="21">
        <f>EXP(-LN(2)/25)*AV128+(1-EXP(-LN(2)/25))/(LN(2)/25)*Calculateur!AQ129*Calculateur!AS129*VLOOKUP('Données projet'!$B$10,Paramètres!$A$1:$I$89,3,0)*0.475*44/12</f>
        <v>16.8331101745339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42.565999966941661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169.26131760015181</v>
      </c>
      <c r="T130" s="59">
        <f t="shared" si="88"/>
        <v>395.66019987830481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10.782269258439111</v>
      </c>
      <c r="AA130" s="21">
        <f>EXP(-LN(2)/25)*AA129+(1-EXP(-LN(2)/25))/(LN(2)/25)*Calculateur!V130*Calculateur!X130*VLOOKUP('Données projet'!$B$9,Paramètres!$A$1:$I$89,3,0)*0.475*44/12</f>
        <v>1.2749389510723523</v>
      </c>
      <c r="AB130" s="21">
        <f>EXP(-LN(2)/2)*AB129+(1-EXP(-LN(2)/2))/(LN(2)/2)*V130*Y130*VLOOKUP('Données projet'!$B$9,Paramètres!$A$1:$I$89,3,0)*0.475*44/12</f>
        <v>5.0040379017752172E-16</v>
      </c>
      <c r="AC130" s="22">
        <f t="shared" si="57"/>
        <v>12.057208209511463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5.6</v>
      </c>
      <c r="AI130" s="13">
        <f>IF('Données projet'!$A$62&gt;35,AI129+AH130-AQ129,IF(A130&lt;'Données projet'!$A$62,$AF$205^A130,IF(A130='Données projet'!$A$62,'Données projet'!$B$62,AI129+AH130-AQ129)))</f>
        <v>291.40000000000003</v>
      </c>
      <c r="AJ130" s="13">
        <f>AI130*VLOOKUP('Données projet'!$B$10,Paramètres!$A$1:$I$89,3,0)*VLOOKUP('Données projet'!$B$10,Paramètres!$A$1:$I$89,5,0)</f>
        <v>263.65872000000002</v>
      </c>
      <c r="AK130" s="13">
        <f t="shared" si="89"/>
        <v>63.50163380458158</v>
      </c>
      <c r="AL130" s="20">
        <f t="shared" si="58"/>
        <v>569.80428287631287</v>
      </c>
      <c r="AM130" s="59">
        <f t="shared" si="59"/>
        <v>863.13761620964624</v>
      </c>
      <c r="AN130" s="59">
        <f ca="1">AVERAGE(OFFSET($AM$3,0,0,'Données projet'!$E$10+1,1))-AVERAGE(OFFSET($H$3,0,0,'Données projet'!$E$10+1,1))</f>
        <v>387.43382681395963</v>
      </c>
      <c r="AO130" s="59">
        <f t="shared" si="90"/>
        <v>184.78537400115721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25.228283519091612</v>
      </c>
      <c r="AV130" s="21">
        <f>EXP(-LN(2)/25)*AV129+(1-EXP(-LN(2)/25))/(LN(2)/25)*Calculateur!AQ130*Calculateur!AS130*VLOOKUP('Données projet'!$B$10,Paramètres!$A$1:$I$89,3,0)*0.475*44/12</f>
        <v>16.37280789159648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41.601091410688092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169.26131760015181</v>
      </c>
      <c r="T131" s="59">
        <f t="shared" si="88"/>
        <v>395.66019987830481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10.570835534815989</v>
      </c>
      <c r="AA131" s="21">
        <f>EXP(-LN(2)/25)*AA130+(1-EXP(-LN(2)/25))/(LN(2)/25)*Calculateur!V131*Calculateur!X131*VLOOKUP('Données projet'!$B$9,Paramètres!$A$1:$I$89,3,0)*0.475*44/12</f>
        <v>1.2400756784091533</v>
      </c>
      <c r="AB131" s="21">
        <f>EXP(-LN(2)/2)*AB130+(1-EXP(-LN(2)/2))/(LN(2)/2)*V131*Y131*VLOOKUP('Données projet'!$B$9,Paramètres!$A$1:$I$89,3,0)*0.475*44/12</f>
        <v>3.538389133659759E-16</v>
      </c>
      <c r="AC131" s="22">
        <f t="shared" si="57"/>
        <v>11.810911213225143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>
        <f>VLOOKUP(A131,'Données projet'!$A$61:$I$81,2,0)</f>
        <v>297</v>
      </c>
      <c r="AG131" s="12">
        <f>VLOOKUP(A131,'Données projet'!$A$61:$I$81,9,0)</f>
        <v>5.6</v>
      </c>
      <c r="AH131" s="12">
        <f t="array" ref="AH131">INDEX(AG:AG,MIN(IF(ISNUMBER(AG131:AG327),ROW(AG131:AG327),"")))</f>
        <v>5.6</v>
      </c>
      <c r="AI131" s="13">
        <f>IF('Données projet'!$A$62&gt;35,AI130+AH131-AQ130,IF(A131&lt;'Données projet'!$A$62,$AF$205^A131,IF(A131='Données projet'!$A$62,'Données projet'!$B$62,AI130+AH131-AQ130)))</f>
        <v>297.00000000000006</v>
      </c>
      <c r="AJ131" s="13">
        <f>AI131*VLOOKUP('Données projet'!$B$10,Paramètres!$A$1:$I$89,3,0)*VLOOKUP('Données projet'!$B$10,Paramètres!$A$1:$I$89,5,0)</f>
        <v>268.72560000000004</v>
      </c>
      <c r="AK131" s="13">
        <f t="shared" si="89"/>
        <v>64.578735016913868</v>
      </c>
      <c r="AL131" s="20">
        <f t="shared" si="58"/>
        <v>580.50505015445833</v>
      </c>
      <c r="AM131" s="59">
        <f t="shared" si="59"/>
        <v>873.83838348779159</v>
      </c>
      <c r="AN131" s="59">
        <f ca="1">AVERAGE(OFFSET($AM$3,0,0,'Données projet'!$E$10+1,1))-AVERAGE(OFFSET($H$3,0,0,'Données projet'!$E$10+1,1))</f>
        <v>387.43382681395963</v>
      </c>
      <c r="AO131" s="59">
        <f t="shared" si="90"/>
        <v>184.78537400115721</v>
      </c>
      <c r="AP131" s="15">
        <f>IF(ISNA(VLOOKUP(A131,'Données projet'!$A$61:$I$81,3,0)),0,VLOOKUP(A131,'Données projet'!$A$61:$I$81,3,0))</f>
        <v>9</v>
      </c>
      <c r="AQ131" s="15">
        <f>IF(ISNA(VLOOKUP(A131,'Données projet'!$A$61:$I$81,4,0)),0,VLOOKUP(A131,'Données projet'!$A$61:$I$81,4,0))</f>
        <v>39</v>
      </c>
      <c r="AR131" s="16">
        <f>IF(ISNA(VLOOKUP(A131,'Données projet'!$A$61:$I$81,5,0)),0%,VLOOKUP(A131,'Données projet'!$A$61:$I$81,5,0)*VLOOKUP('Données projet'!$B$10,Paramètres!$A$1:$I$89,7,0))</f>
        <v>0.215</v>
      </c>
      <c r="AS131" s="16">
        <f>IF(ISNA(VLOOKUP(A131,'Données projet'!$A$61:$I$81,6,0)),0%,VLOOKUP(A131,'Données projet'!$A$61:$I$81,6,0)*VLOOKUP('Données projet'!$B$10,Paramètres!$A$1:$I$89,7,0))</f>
        <v>0.17200000000000001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33.120497457996606</v>
      </c>
      <c r="AV131" s="21">
        <f>EXP(-LN(2)/25)*AV130+(1-EXP(-LN(2)/25))/(LN(2)/25)*Calculateur!AQ131*Calculateur!AS131*VLOOKUP('Données projet'!$B$10,Paramètres!$A$1:$I$89,3,0)*0.475*44/12</f>
        <v>22.608214735460166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55.728712193456772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169.26131760015181</v>
      </c>
      <c r="T132" s="59">
        <f t="shared" si="88"/>
        <v>395.66019987830481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10.36354789755128</v>
      </c>
      <c r="AA132" s="21">
        <f>EXP(-LN(2)/25)*AA131+(1-EXP(-LN(2)/25))/(LN(2)/25)*Calculateur!V132*Calculateur!X132*VLOOKUP('Données projet'!$B$9,Paramètres!$A$1:$I$89,3,0)*0.475*44/12</f>
        <v>1.2061657437703093</v>
      </c>
      <c r="AB132" s="21">
        <f>EXP(-LN(2)/2)*AB131+(1-EXP(-LN(2)/2))/(LN(2)/2)*V132*Y132*VLOOKUP('Données projet'!$B$9,Paramètres!$A$1:$I$89,3,0)*0.475*44/12</f>
        <v>2.5020189508876086E-16</v>
      </c>
      <c r="AC132" s="22">
        <f t="shared" ref="AC132:AC153" si="111">SUM(Z132:AB132)</f>
        <v>11.56971364132159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5.7</v>
      </c>
      <c r="AI132" s="13">
        <f>IF('Données projet'!$A$62&gt;35,AI131+AH132-AQ131,IF(A132&lt;'Données projet'!$A$62,$AF$205^A132,IF(A132='Données projet'!$A$62,'Données projet'!$B$62,AI131+AH132-AQ131)))</f>
        <v>263.70000000000005</v>
      </c>
      <c r="AJ132" s="13">
        <f>AI132*VLOOKUP('Données projet'!$B$10,Paramètres!$A$1:$I$89,3,0)*VLOOKUP('Données projet'!$B$10,Paramètres!$A$1:$I$89,5,0)</f>
        <v>238.59576000000004</v>
      </c>
      <c r="AK132" s="13">
        <f t="shared" si="89"/>
        <v>58.137298297430824</v>
      </c>
      <c r="AL132" s="20">
        <f t="shared" ref="AL132:AL153" si="112">(AJ132+AK132)*0.475*44/12</f>
        <v>516.81007653469214</v>
      </c>
      <c r="AM132" s="59">
        <f t="shared" ref="AM132:AM195" si="113">AL132+(AD132+AE132)*44/12</f>
        <v>810.1434098680254</v>
      </c>
      <c r="AN132" s="59">
        <f ca="1">AVERAGE(OFFSET($AM$3,0,0,'Données projet'!$E$10+1,1))-AVERAGE(OFFSET($H$3,0,0,'Données projet'!$E$10+1,1))</f>
        <v>387.43382681395963</v>
      </c>
      <c r="AO132" s="59">
        <f t="shared" si="90"/>
        <v>184.78537400115721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32.471024704354008</v>
      </c>
      <c r="AV132" s="21">
        <f>EXP(-LN(2)/25)*AV131+(1-EXP(-LN(2)/25))/(LN(2)/25)*Calculateur!AQ132*Calculateur!AS132*VLOOKUP('Données projet'!$B$10,Paramètres!$A$1:$I$89,3,0)*0.475*44/12</f>
        <v>21.989991914604666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54.461016618958674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169.26131760015181</v>
      </c>
      <c r="T133" s="59">
        <f t="shared" ref="T133:T196" si="142">$T$3</f>
        <v>395.66019987830481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10.160325044420356</v>
      </c>
      <c r="AA133" s="21">
        <f>EXP(-LN(2)/25)*AA132+(1-EXP(-LN(2)/25))/(LN(2)/25)*Calculateur!V133*Calculateur!X133*VLOOKUP('Données projet'!$B$9,Paramètres!$A$1:$I$89,3,0)*0.475*44/12</f>
        <v>1.1731830780774104</v>
      </c>
      <c r="AB133" s="21">
        <f>EXP(-LN(2)/2)*AB132+(1-EXP(-LN(2)/2))/(LN(2)/2)*V133*Y133*VLOOKUP('Données projet'!$B$9,Paramètres!$A$1:$I$89,3,0)*0.475*44/12</f>
        <v>1.7691945668298795E-16</v>
      </c>
      <c r="AC133" s="22">
        <f t="shared" si="111"/>
        <v>11.333508122497767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5.7</v>
      </c>
      <c r="AI133" s="13">
        <f>IF('Données projet'!$A$62&gt;35,AI132+AH133-AQ132,IF(A133&lt;'Données projet'!$A$62,$AF$205^A133,IF(A133='Données projet'!$A$62,'Données projet'!$B$62,AI132+AH133-AQ132)))</f>
        <v>269.40000000000003</v>
      </c>
      <c r="AJ133" s="13">
        <f>AI133*VLOOKUP('Données projet'!$B$10,Paramètres!$A$1:$I$89,3,0)*VLOOKUP('Données projet'!$B$10,Paramètres!$A$1:$I$89,5,0)</f>
        <v>243.75312000000002</v>
      </c>
      <c r="AK133" s="13">
        <f t="shared" ref="AK133:AK153" si="143">EXP(-1.0587+0.8836*LN(AJ133)+0.284)</f>
        <v>59.246301841839156</v>
      </c>
      <c r="AL133" s="20">
        <f t="shared" si="112"/>
        <v>527.72399304120324</v>
      </c>
      <c r="AM133" s="59">
        <f t="shared" si="113"/>
        <v>821.05732637453661</v>
      </c>
      <c r="AN133" s="59">
        <f ca="1">AVERAGE(OFFSET($AM$3,0,0,'Données projet'!$E$10+1,1))-AVERAGE(OFFSET($H$3,0,0,'Données projet'!$E$10+1,1))</f>
        <v>387.43382681395963</v>
      </c>
      <c r="AO133" s="59">
        <f t="shared" ref="AO133:AO196" si="144">$AO$3</f>
        <v>184.78537400115721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31.834287715271078</v>
      </c>
      <c r="AV133" s="21">
        <f>EXP(-LN(2)/25)*AV132+(1-EXP(-LN(2)/25))/(LN(2)/25)*Calculateur!AQ133*Calculateur!AS133*VLOOKUP('Données projet'!$B$10,Paramètres!$A$1:$I$89,3,0)*0.475*44/12</f>
        <v>21.388674429296383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53.222962144567461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169.26131760015181</v>
      </c>
      <c r="T134" s="59">
        <f t="shared" si="142"/>
        <v>395.66019987830481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9.9610872674856275</v>
      </c>
      <c r="AA134" s="21">
        <f>EXP(-LN(2)/25)*AA133+(1-EXP(-LN(2)/25))/(LN(2)/25)*Calculateur!V134*Calculateur!X134*VLOOKUP('Données projet'!$B$9,Paramètres!$A$1:$I$89,3,0)*0.475*44/12</f>
        <v>1.1411023251123669</v>
      </c>
      <c r="AB134" s="21">
        <f>EXP(-LN(2)/2)*AB133+(1-EXP(-LN(2)/2))/(LN(2)/2)*V134*Y134*VLOOKUP('Données projet'!$B$9,Paramètres!$A$1:$I$89,3,0)*0.475*44/12</f>
        <v>1.2510094754438043E-16</v>
      </c>
      <c r="AC134" s="22">
        <f t="shared" si="111"/>
        <v>11.102189592597995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5.7</v>
      </c>
      <c r="AI134" s="13">
        <f>IF('Données projet'!$A$62&gt;35,AI133+AH134-AQ133,IF(A134&lt;'Données projet'!$A$62,$AF$205^A134,IF(A134='Données projet'!$A$62,'Données projet'!$B$62,AI133+AH134-AQ133)))</f>
        <v>275.10000000000002</v>
      </c>
      <c r="AJ134" s="13">
        <f>AI134*VLOOKUP('Données projet'!$B$10,Paramètres!$A$1:$I$89,3,0)*VLOOKUP('Données projet'!$B$10,Paramètres!$A$1:$I$89,5,0)</f>
        <v>248.91048000000001</v>
      </c>
      <c r="AK134" s="13">
        <f t="shared" si="143"/>
        <v>60.352577270773921</v>
      </c>
      <c r="AL134" s="20">
        <f t="shared" si="112"/>
        <v>538.63315807993115</v>
      </c>
      <c r="AM134" s="59">
        <f t="shared" si="113"/>
        <v>831.96649141326452</v>
      </c>
      <c r="AN134" s="59">
        <f ca="1">AVERAGE(OFFSET($AM$3,0,0,'Données projet'!$E$10+1,1))-AVERAGE(OFFSET($H$3,0,0,'Données projet'!$E$10+1,1))</f>
        <v>387.43382681395963</v>
      </c>
      <c r="AO134" s="59">
        <f t="shared" si="144"/>
        <v>184.78537400115721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31.210036750172851</v>
      </c>
      <c r="AV134" s="21">
        <f>EXP(-LN(2)/25)*AV133+(1-EXP(-LN(2)/25))/(LN(2)/25)*Calculateur!AQ134*Calculateur!AS134*VLOOKUP('Données projet'!$B$10,Paramètres!$A$1:$I$89,3,0)*0.475*44/12</f>
        <v>20.803800002245769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52.013836752418619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169.26131760015181</v>
      </c>
      <c r="T135" s="59">
        <f t="shared" si="142"/>
        <v>395.66019987830481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9.7657564218335455</v>
      </c>
      <c r="AA135" s="21">
        <f>EXP(-LN(2)/25)*AA134+(1-EXP(-LN(2)/25))/(LN(2)/25)*Calculateur!V135*Calculateur!X135*VLOOKUP('Données projet'!$B$9,Paramètres!$A$1:$I$89,3,0)*0.475*44/12</f>
        <v>1.1098988220242059</v>
      </c>
      <c r="AB135" s="21">
        <f>EXP(-LN(2)/2)*AB134+(1-EXP(-LN(2)/2))/(LN(2)/2)*V135*Y135*VLOOKUP('Données projet'!$B$9,Paramètres!$A$1:$I$89,3,0)*0.475*44/12</f>
        <v>8.8459728341493975E-17</v>
      </c>
      <c r="AC135" s="22">
        <f t="shared" si="111"/>
        <v>10.875655243857752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5.7</v>
      </c>
      <c r="AI135" s="13">
        <f>IF('Données projet'!$A$62&gt;35,AI134+AH135-AQ134,IF(A135&lt;'Données projet'!$A$62,$AF$205^A135,IF(A135='Données projet'!$A$62,'Données projet'!$B$62,AI134+AH135-AQ134)))</f>
        <v>280.8</v>
      </c>
      <c r="AJ135" s="13">
        <f>AI135*VLOOKUP('Données projet'!$B$10,Paramètres!$A$1:$I$89,3,0)*VLOOKUP('Données projet'!$B$10,Paramètres!$A$1:$I$89,5,0)</f>
        <v>254.06784000000002</v>
      </c>
      <c r="AK135" s="13">
        <f t="shared" si="143"/>
        <v>61.456187622750775</v>
      </c>
      <c r="AL135" s="20">
        <f t="shared" si="112"/>
        <v>549.53768144295771</v>
      </c>
      <c r="AM135" s="59">
        <f t="shared" si="113"/>
        <v>842.87101477629108</v>
      </c>
      <c r="AN135" s="59">
        <f ca="1">AVERAGE(OFFSET($AM$3,0,0,'Données projet'!$E$10+1,1))-AVERAGE(OFFSET($H$3,0,0,'Données projet'!$E$10+1,1))</f>
        <v>387.43382681395963</v>
      </c>
      <c r="AO135" s="59">
        <f t="shared" si="144"/>
        <v>184.78537400115721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30.598026965744705</v>
      </c>
      <c r="AV135" s="21">
        <f>EXP(-LN(2)/25)*AV134+(1-EXP(-LN(2)/25))/(LN(2)/25)*Calculateur!AQ135*Calculateur!AS135*VLOOKUP('Données projet'!$B$10,Paramètres!$A$1:$I$89,3,0)*0.475*44/12</f>
        <v>20.234918997160065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50.832945962904773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169.26131760015181</v>
      </c>
      <c r="T136" s="59">
        <f t="shared" si="142"/>
        <v>395.66019987830481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9.574255894924649</v>
      </c>
      <c r="AA136" s="21">
        <f>EXP(-LN(2)/25)*AA135+(1-EXP(-LN(2)/25))/(LN(2)/25)*Calculateur!V136*Calculateur!X136*VLOOKUP('Données projet'!$B$9,Paramètres!$A$1:$I$89,3,0)*0.475*44/12</f>
        <v>1.0795485803689115</v>
      </c>
      <c r="AB136" s="21">
        <f>EXP(-LN(2)/2)*AB135+(1-EXP(-LN(2)/2))/(LN(2)/2)*V136*Y136*VLOOKUP('Données projet'!$B$9,Paramètres!$A$1:$I$89,3,0)*0.475*44/12</f>
        <v>6.2550473772190215E-17</v>
      </c>
      <c r="AC136" s="22">
        <f t="shared" si="111"/>
        <v>10.65380447529356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5.7</v>
      </c>
      <c r="AI136" s="13">
        <f>IF('Données projet'!$A$62&gt;35,AI135+AH136-AQ135,IF(A136&lt;'Données projet'!$A$62,$AF$205^A136,IF(A136='Données projet'!$A$62,'Données projet'!$B$62,AI135+AH136-AQ135)))</f>
        <v>286.5</v>
      </c>
      <c r="AJ136" s="13">
        <f>AI136*VLOOKUP('Données projet'!$B$10,Paramètres!$A$1:$I$89,3,0)*VLOOKUP('Données projet'!$B$10,Paramètres!$A$1:$I$89,5,0)</f>
        <v>259.22519999999997</v>
      </c>
      <c r="AK136" s="13">
        <f t="shared" si="143"/>
        <v>62.557193230719982</v>
      </c>
      <c r="AL136" s="20">
        <f t="shared" si="112"/>
        <v>560.4376682101705</v>
      </c>
      <c r="AM136" s="59">
        <f t="shared" si="113"/>
        <v>853.77100154350387</v>
      </c>
      <c r="AN136" s="59">
        <f ca="1">AVERAGE(OFFSET($AM$3,0,0,'Données projet'!$E$10+1,1))-AVERAGE(OFFSET($H$3,0,0,'Données projet'!$E$10+1,1))</f>
        <v>387.43382681395963</v>
      </c>
      <c r="AO136" s="59">
        <f t="shared" si="144"/>
        <v>184.78537400115721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29.998018319900087</v>
      </c>
      <c r="AV136" s="21">
        <f>EXP(-LN(2)/25)*AV135+(1-EXP(-LN(2)/25))/(LN(2)/25)*Calculateur!AQ136*Calculateur!AS136*VLOOKUP('Données projet'!$B$10,Paramètres!$A$1:$I$89,3,0)*0.475*44/12</f>
        <v>19.681594073074582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49.679612392974668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169.26131760015181</v>
      </c>
      <c r="T137" s="59">
        <f t="shared" si="142"/>
        <v>395.66019987830481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9.3865105765446479</v>
      </c>
      <c r="AA137" s="21">
        <f>EXP(-LN(2)/25)*AA136+(1-EXP(-LN(2)/25))/(LN(2)/25)*Calculateur!V137*Calculateur!X137*VLOOKUP('Données projet'!$B$9,Paramètres!$A$1:$I$89,3,0)*0.475*44/12</f>
        <v>1.0500282676677311</v>
      </c>
      <c r="AB137" s="21">
        <f>EXP(-LN(2)/2)*AB136+(1-EXP(-LN(2)/2))/(LN(2)/2)*V137*Y137*VLOOKUP('Données projet'!$B$9,Paramètres!$A$1:$I$89,3,0)*0.475*44/12</f>
        <v>4.4229864170746987E-17</v>
      </c>
      <c r="AC137" s="22">
        <f t="shared" si="111"/>
        <v>10.436538844212379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5.7</v>
      </c>
      <c r="AI137" s="13">
        <f>IF('Données projet'!$A$62&gt;35,AI136+AH137-AQ136,IF(A137&lt;'Données projet'!$A$62,$AF$205^A137,IF(A137='Données projet'!$A$62,'Données projet'!$B$62,AI136+AH137-AQ136)))</f>
        <v>292.2</v>
      </c>
      <c r="AJ137" s="13">
        <f>AI137*VLOOKUP('Données projet'!$B$10,Paramètres!$A$1:$I$89,3,0)*VLOOKUP('Données projet'!$B$10,Paramètres!$A$1:$I$89,5,0)</f>
        <v>264.38255999999996</v>
      </c>
      <c r="AK137" s="13">
        <f t="shared" si="143"/>
        <v>63.655651889666466</v>
      </c>
      <c r="AL137" s="20">
        <f t="shared" si="112"/>
        <v>571.33321904116895</v>
      </c>
      <c r="AM137" s="59">
        <f t="shared" si="113"/>
        <v>864.66655237450232</v>
      </c>
      <c r="AN137" s="59">
        <f ca="1">AVERAGE(OFFSET($AM$3,0,0,'Données projet'!$E$10+1,1))-AVERAGE(OFFSET($H$3,0,0,'Données projet'!$E$10+1,1))</f>
        <v>387.43382681395963</v>
      </c>
      <c r="AO137" s="59">
        <f t="shared" si="144"/>
        <v>184.78537400115721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29.409775477631346</v>
      </c>
      <c r="AV137" s="21">
        <f>EXP(-LN(2)/25)*AV136+(1-EXP(-LN(2)/25))/(LN(2)/25)*Calculateur!AQ137*Calculateur!AS137*VLOOKUP('Données projet'!$B$10,Paramètres!$A$1:$I$89,3,0)*0.475*44/12</f>
        <v>19.143399848136308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48.553175325767654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169.26131760015181</v>
      </c>
      <c r="T138" s="59">
        <f t="shared" si="142"/>
        <v>395.66019987830481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9.2024468293447423</v>
      </c>
      <c r="AA138" s="21">
        <f>EXP(-LN(2)/25)*AA137+(1-EXP(-LN(2)/25))/(LN(2)/25)*Calculateur!V138*Calculateur!X138*VLOOKUP('Données projet'!$B$9,Paramètres!$A$1:$I$89,3,0)*0.475*44/12</f>
        <v>1.0213151894697703</v>
      </c>
      <c r="AB138" s="21">
        <f>EXP(-LN(2)/2)*AB137+(1-EXP(-LN(2)/2))/(LN(2)/2)*V138*Y138*VLOOKUP('Données projet'!$B$9,Paramètres!$A$1:$I$89,3,0)*0.475*44/12</f>
        <v>3.1275236886095108E-17</v>
      </c>
      <c r="AC138" s="22">
        <f t="shared" si="111"/>
        <v>10.223762018814513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5.7</v>
      </c>
      <c r="AI138" s="13">
        <f>IF('Données projet'!$A$62&gt;35,AI137+AH138-AQ137,IF(A138&lt;'Données projet'!$A$62,$AF$205^A138,IF(A138='Données projet'!$A$62,'Données projet'!$B$62,AI137+AH138-AQ137)))</f>
        <v>297.89999999999998</v>
      </c>
      <c r="AJ138" s="13">
        <f>AI138*VLOOKUP('Données projet'!$B$10,Paramètres!$A$1:$I$89,3,0)*VLOOKUP('Données projet'!$B$10,Paramètres!$A$1:$I$89,5,0)</f>
        <v>269.53992</v>
      </c>
      <c r="AK138" s="13">
        <f t="shared" si="143"/>
        <v>64.751619010762369</v>
      </c>
      <c r="AL138" s="20">
        <f t="shared" si="112"/>
        <v>582.22443044374438</v>
      </c>
      <c r="AM138" s="59">
        <f t="shared" si="113"/>
        <v>875.55776377707775</v>
      </c>
      <c r="AN138" s="59">
        <f ca="1">AVERAGE(OFFSET($AM$3,0,0,'Données projet'!$E$10+1,1))-AVERAGE(OFFSET($H$3,0,0,'Données projet'!$E$10+1,1))</f>
        <v>387.43382681395963</v>
      </c>
      <c r="AO138" s="59">
        <f t="shared" si="144"/>
        <v>184.78537400115721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28.833067718706786</v>
      </c>
      <c r="AV138" s="21">
        <f>EXP(-LN(2)/25)*AV137+(1-EXP(-LN(2)/25))/(LN(2)/25)*Calculateur!AQ138*Calculateur!AS138*VLOOKUP('Données projet'!$B$10,Paramètres!$A$1:$I$89,3,0)*0.475*44/12</f>
        <v>18.619922572581377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47.45299029128816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169.26131760015181</v>
      </c>
      <c r="T139" s="59">
        <f t="shared" si="142"/>
        <v>395.66019987830481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9.0219924599596268</v>
      </c>
      <c r="AA139" s="21">
        <f>EXP(-LN(2)/25)*AA138+(1-EXP(-LN(2)/25))/(LN(2)/25)*Calculateur!V139*Calculateur!X139*VLOOKUP('Données projet'!$B$9,Paramètres!$A$1:$I$89,3,0)*0.475*44/12</f>
        <v>0.99338727190508791</v>
      </c>
      <c r="AB139" s="21">
        <f>EXP(-LN(2)/2)*AB138+(1-EXP(-LN(2)/2))/(LN(2)/2)*V139*Y139*VLOOKUP('Données projet'!$B$9,Paramètres!$A$1:$I$89,3,0)*0.475*44/12</f>
        <v>2.2114932085373494E-17</v>
      </c>
      <c r="AC139" s="22">
        <f t="shared" si="111"/>
        <v>10.015379731864714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5.7</v>
      </c>
      <c r="AI139" s="13">
        <f>IF('Données projet'!$A$62&gt;35,AI138+AH139-AQ138,IF(A139&lt;'Données projet'!$A$62,$AF$205^A139,IF(A139='Données projet'!$A$62,'Données projet'!$B$62,AI138+AH139-AQ138)))</f>
        <v>303.59999999999997</v>
      </c>
      <c r="AJ139" s="13">
        <f>AI139*VLOOKUP('Données projet'!$B$10,Paramètres!$A$1:$I$89,3,0)*VLOOKUP('Données projet'!$B$10,Paramètres!$A$1:$I$89,5,0)</f>
        <v>274.69727999999998</v>
      </c>
      <c r="AK139" s="13">
        <f t="shared" si="143"/>
        <v>65.845147763387502</v>
      </c>
      <c r="AL139" s="20">
        <f t="shared" si="112"/>
        <v>593.11139502123308</v>
      </c>
      <c r="AM139" s="59">
        <f t="shared" si="113"/>
        <v>886.44472835456645</v>
      </c>
      <c r="AN139" s="59">
        <f ca="1">AVERAGE(OFFSET($AM$3,0,0,'Données projet'!$E$10+1,1))-AVERAGE(OFFSET($H$3,0,0,'Données projet'!$E$10+1,1))</f>
        <v>387.43382681395963</v>
      </c>
      <c r="AO139" s="59">
        <f t="shared" si="144"/>
        <v>184.78537400115721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28.267668847177738</v>
      </c>
      <c r="AV139" s="21">
        <f>EXP(-LN(2)/25)*AV138+(1-EXP(-LN(2)/25))/(LN(2)/25)*Calculateur!AQ139*Calculateur!AS139*VLOOKUP('Données projet'!$B$10,Paramètres!$A$1:$I$89,3,0)*0.475*44/12</f>
        <v>18.110759810654969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46.378428657832707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169.26131760015181</v>
      </c>
      <c r="T140" s="59">
        <f t="shared" si="142"/>
        <v>395.66019987830481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8.8450766906918563</v>
      </c>
      <c r="AA140" s="21">
        <f>EXP(-LN(2)/25)*AA139+(1-EXP(-LN(2)/25))/(LN(2)/25)*Calculateur!V140*Calculateur!X140*VLOOKUP('Données projet'!$B$9,Paramètres!$A$1:$I$89,3,0)*0.475*44/12</f>
        <v>0.96622304471487708</v>
      </c>
      <c r="AB140" s="21">
        <f>EXP(-LN(2)/2)*AB139+(1-EXP(-LN(2)/2))/(LN(2)/2)*V140*Y140*VLOOKUP('Données projet'!$B$9,Paramètres!$A$1:$I$89,3,0)*0.475*44/12</f>
        <v>1.5637618443047554E-17</v>
      </c>
      <c r="AC140" s="22">
        <f t="shared" si="111"/>
        <v>9.8112997354067328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5.7</v>
      </c>
      <c r="AI140" s="13">
        <f>IF('Données projet'!$A$62&gt;35,AI139+AH140-AQ139,IF(A140&lt;'Données projet'!$A$62,$AF$205^A140,IF(A140='Données projet'!$A$62,'Données projet'!$B$62,AI139+AH140-AQ139)))</f>
        <v>309.29999999999995</v>
      </c>
      <c r="AJ140" s="13">
        <f>AI140*VLOOKUP('Données projet'!$B$10,Paramètres!$A$1:$I$89,3,0)*VLOOKUP('Données projet'!$B$10,Paramètres!$A$1:$I$89,5,0)</f>
        <v>279.8546399999999</v>
      </c>
      <c r="AK140" s="13">
        <f t="shared" si="143"/>
        <v>66.936289206183446</v>
      </c>
      <c r="AL140" s="20">
        <f t="shared" si="112"/>
        <v>603.99420170076939</v>
      </c>
      <c r="AM140" s="59">
        <f t="shared" si="113"/>
        <v>897.32753503410277</v>
      </c>
      <c r="AN140" s="59">
        <f ca="1">AVERAGE(OFFSET($AM$3,0,0,'Données projet'!$E$10+1,1))-AVERAGE(OFFSET($H$3,0,0,'Données projet'!$E$10+1,1))</f>
        <v>387.43382681395963</v>
      </c>
      <c r="AO140" s="59">
        <f t="shared" si="144"/>
        <v>184.78537400115721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27.713357102660115</v>
      </c>
      <c r="AV140" s="21">
        <f>EXP(-LN(2)/25)*AV139+(1-EXP(-LN(2)/25))/(LN(2)/25)*Calculateur!AQ140*Calculateur!AS140*VLOOKUP('Données projet'!$B$10,Paramètres!$A$1:$I$89,3,0)*0.475*44/12</f>
        <v>17.615520131229143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45.328877233889258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169.26131760015181</v>
      </c>
      <c r="T141" s="59">
        <f t="shared" si="142"/>
        <v>395.66019987830481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8.6716301317514617</v>
      </c>
      <c r="AA141" s="21">
        <f>EXP(-LN(2)/25)*AA140+(1-EXP(-LN(2)/25))/(LN(2)/25)*Calculateur!V141*Calculateur!X141*VLOOKUP('Données projet'!$B$9,Paramètres!$A$1:$I$89,3,0)*0.475*44/12</f>
        <v>0.93980162474568718</v>
      </c>
      <c r="AB141" s="21">
        <f>EXP(-LN(2)/2)*AB140+(1-EXP(-LN(2)/2))/(LN(2)/2)*V141*Y141*VLOOKUP('Données projet'!$B$9,Paramètres!$A$1:$I$89,3,0)*0.475*44/12</f>
        <v>1.1057466042686747E-17</v>
      </c>
      <c r="AC141" s="22">
        <f t="shared" si="111"/>
        <v>9.611431756497149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>
        <f>VLOOKUP(A141,'Données projet'!$A$61:$I$81,2,0)</f>
        <v>315</v>
      </c>
      <c r="AG141" s="12">
        <f>VLOOKUP(A141,'Données projet'!$A$61:$I$81,9,0)</f>
        <v>5.7</v>
      </c>
      <c r="AH141" s="12">
        <f t="array" ref="AH141">INDEX(AG:AG,MIN(IF(ISNUMBER(AG141:AG337),ROW(AG141:AG337),"")))</f>
        <v>5.7</v>
      </c>
      <c r="AI141" s="13">
        <f>IF('Données projet'!$A$62&gt;35,AI140+AH141-AQ140,IF(A141&lt;'Données projet'!$A$62,$AF$205^A141,IF(A141='Données projet'!$A$62,'Données projet'!$B$62,AI140+AH141-AQ140)))</f>
        <v>314.99999999999994</v>
      </c>
      <c r="AJ141" s="13">
        <f>AI141*VLOOKUP('Données projet'!$B$10,Paramètres!$A$1:$I$89,3,0)*VLOOKUP('Données projet'!$B$10,Paramètres!$A$1:$I$89,5,0)</f>
        <v>285.01199999999994</v>
      </c>
      <c r="AK141" s="13">
        <f t="shared" si="143"/>
        <v>68.025092408173109</v>
      </c>
      <c r="AL141" s="20">
        <f t="shared" si="112"/>
        <v>614.87293594423477</v>
      </c>
      <c r="AM141" s="59">
        <f t="shared" si="113"/>
        <v>908.20626927756803</v>
      </c>
      <c r="AN141" s="59">
        <f ca="1">AVERAGE(OFFSET($AM$3,0,0,'Données projet'!$E$10+1,1))-AVERAGE(OFFSET($H$3,0,0,'Données projet'!$E$10+1,1))</f>
        <v>387.43382681395963</v>
      </c>
      <c r="AO141" s="59">
        <f t="shared" si="144"/>
        <v>184.78537400115721</v>
      </c>
      <c r="AP141" s="15">
        <f>IF(ISNA(VLOOKUP(A141,'Données projet'!$A$61:$I$81,3,0)),0,VLOOKUP(A141,'Données projet'!$A$61:$I$81,3,0))</f>
        <v>10</v>
      </c>
      <c r="AQ141" s="15">
        <f>IF(ISNA(VLOOKUP(A141,'Données projet'!$A$61:$I$81,4,0)),0,VLOOKUP(A141,'Données projet'!$A$61:$I$81,4,0))</f>
        <v>39</v>
      </c>
      <c r="AR141" s="16">
        <f>IF(ISNA(VLOOKUP(A141,'Données projet'!$A$61:$I$81,5,0)),0%,VLOOKUP(A141,'Données projet'!$A$61:$I$81,5,0)*VLOOKUP('Données projet'!$B$10,Paramètres!$A$1:$I$89,7,0))</f>
        <v>0.215</v>
      </c>
      <c r="AS141" s="16">
        <f>IF(ISNA(VLOOKUP(A141,'Données projet'!$A$61:$I$81,6,0)),0%,VLOOKUP(A141,'Données projet'!$A$61:$I$81,6,0)*VLOOKUP('Données projet'!$B$10,Paramètres!$A$1:$I$89,7,0))</f>
        <v>0.17200000000000001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35.556840264336557</v>
      </c>
      <c r="AV141" s="21">
        <f>EXP(-LN(2)/25)*AV140+(1-EXP(-LN(2)/25))/(LN(2)/25)*Calculateur!AQ141*Calculateur!AS141*VLOOKUP('Données projet'!$B$10,Paramètres!$A$1:$I$89,3,0)*0.475*44/12</f>
        <v>23.81694494354868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59.373785207885234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169.26131760015181</v>
      </c>
      <c r="T142" s="59">
        <f t="shared" si="142"/>
        <v>395.66019987830481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8.5015847540399339</v>
      </c>
      <c r="AA142" s="21">
        <f>EXP(-LN(2)/25)*AA141+(1-EXP(-LN(2)/25))/(LN(2)/25)*Calculateur!V142*Calculateur!X142*VLOOKUP('Données projet'!$B$9,Paramètres!$A$1:$I$89,3,0)*0.475*44/12</f>
        <v>0.91410269989499682</v>
      </c>
      <c r="AB142" s="21">
        <f>EXP(-LN(2)/2)*AB141+(1-EXP(-LN(2)/2))/(LN(2)/2)*V142*Y142*VLOOKUP('Données projet'!$B$9,Paramètres!$A$1:$I$89,3,0)*0.475*44/12</f>
        <v>7.8188092215237769E-18</v>
      </c>
      <c r="AC142" s="22">
        <f t="shared" si="111"/>
        <v>9.4156874539349307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5.8</v>
      </c>
      <c r="AI142" s="13">
        <f>IF('Données projet'!$A$62&gt;35,AI141+AH142-AQ141,IF(A142&lt;'Données projet'!$A$62,$AF$205^A142,IF(A142='Données projet'!$A$62,'Données projet'!$B$62,AI141+AH142-AQ141)))</f>
        <v>281.79999999999995</v>
      </c>
      <c r="AJ142" s="13">
        <f>AI142*VLOOKUP('Données projet'!$B$10,Paramètres!$A$1:$I$89,3,0)*VLOOKUP('Données projet'!$B$10,Paramètres!$A$1:$I$89,5,0)</f>
        <v>254.97263999999996</v>
      </c>
      <c r="AK142" s="13">
        <f t="shared" si="143"/>
        <v>61.649533232533919</v>
      </c>
      <c r="AL142" s="20">
        <f t="shared" si="112"/>
        <v>551.45028504666311</v>
      </c>
      <c r="AM142" s="59">
        <f t="shared" si="113"/>
        <v>844.78361837999637</v>
      </c>
      <c r="AN142" s="59">
        <f ca="1">AVERAGE(OFFSET($AM$3,0,0,'Données projet'!$E$10+1,1))-AVERAGE(OFFSET($H$3,0,0,'Données projet'!$E$10+1,1))</f>
        <v>387.43382681395963</v>
      </c>
      <c r="AO142" s="59">
        <f t="shared" si="144"/>
        <v>184.78537400115721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34.859592314284015</v>
      </c>
      <c r="AV142" s="21">
        <f>EXP(-LN(2)/25)*AV141+(1-EXP(-LN(2)/25))/(LN(2)/25)*Calculateur!AQ142*Calculateur!AS142*VLOOKUP('Données projet'!$B$10,Paramètres!$A$1:$I$89,3,0)*0.475*44/12</f>
        <v>23.165669331588642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58.025261645872661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169.26131760015181</v>
      </c>
      <c r="T143" s="59">
        <f t="shared" si="142"/>
        <v>395.66019987830481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8.3348738624678891</v>
      </c>
      <c r="AA143" s="21">
        <f>EXP(-LN(2)/25)*AA142+(1-EXP(-LN(2)/25))/(LN(2)/25)*Calculateur!V143*Calculateur!X143*VLOOKUP('Données projet'!$B$9,Paramètres!$A$1:$I$89,3,0)*0.475*44/12</f>
        <v>0.88910651349579639</v>
      </c>
      <c r="AB143" s="21">
        <f>EXP(-LN(2)/2)*AB142+(1-EXP(-LN(2)/2))/(LN(2)/2)*V143*Y143*VLOOKUP('Données projet'!$B$9,Paramètres!$A$1:$I$89,3,0)*0.475*44/12</f>
        <v>5.5287330213433734E-18</v>
      </c>
      <c r="AC143" s="22">
        <f t="shared" si="111"/>
        <v>9.223980375963686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5.8</v>
      </c>
      <c r="AI143" s="13">
        <f>IF('Données projet'!$A$62&gt;35,AI142+AH143-AQ142,IF(A143&lt;'Données projet'!$A$62,$AF$205^A143,IF(A143='Données projet'!$A$62,'Données projet'!$B$62,AI142+AH143-AQ142)))</f>
        <v>287.59999999999997</v>
      </c>
      <c r="AJ143" s="13">
        <f>AI143*VLOOKUP('Données projet'!$B$10,Paramètres!$A$1:$I$89,3,0)*VLOOKUP('Données projet'!$B$10,Paramètres!$A$1:$I$89,5,0)</f>
        <v>260.22047999999995</v>
      </c>
      <c r="AK143" s="13">
        <f t="shared" si="143"/>
        <v>62.769373063603602</v>
      </c>
      <c r="AL143" s="20">
        <f t="shared" si="112"/>
        <v>562.54066075244293</v>
      </c>
      <c r="AM143" s="59">
        <f t="shared" si="113"/>
        <v>855.8739940857763</v>
      </c>
      <c r="AN143" s="59">
        <f ca="1">AVERAGE(OFFSET($AM$3,0,0,'Données projet'!$E$10+1,1))-AVERAGE(OFFSET($H$3,0,0,'Données projet'!$E$10+1,1))</f>
        <v>387.43382681395963</v>
      </c>
      <c r="AO143" s="59">
        <f t="shared" si="144"/>
        <v>184.78537400115721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34.176016971252743</v>
      </c>
      <c r="AV143" s="21">
        <f>EXP(-LN(2)/25)*AV142+(1-EXP(-LN(2)/25))/(LN(2)/25)*Calculateur!AQ143*Calculateur!AS143*VLOOKUP('Données projet'!$B$10,Paramètres!$A$1:$I$89,3,0)*0.475*44/12</f>
        <v>22.532202885486747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56.70821985673949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169.26131760015181</v>
      </c>
      <c r="T144" s="59">
        <f t="shared" si="142"/>
        <v>395.66019987830481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8.1714320697959693</v>
      </c>
      <c r="AA144" s="21">
        <f>EXP(-LN(2)/25)*AA143+(1-EXP(-LN(2)/25))/(LN(2)/25)*Calculateur!V144*Calculateur!X144*VLOOKUP('Données projet'!$B$9,Paramètres!$A$1:$I$89,3,0)*0.475*44/12</f>
        <v>0.86479384912817436</v>
      </c>
      <c r="AB144" s="21">
        <f>EXP(-LN(2)/2)*AB143+(1-EXP(-LN(2)/2))/(LN(2)/2)*V144*Y144*VLOOKUP('Données projet'!$B$9,Paramètres!$A$1:$I$89,3,0)*0.475*44/12</f>
        <v>3.9094046107618885E-18</v>
      </c>
      <c r="AC144" s="22">
        <f t="shared" si="111"/>
        <v>9.0362259189241438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5.8</v>
      </c>
      <c r="AI144" s="13">
        <f>IF('Données projet'!$A$62&gt;35,AI143+AH144-AQ143,IF(A144&lt;'Données projet'!$A$62,$AF$205^A144,IF(A144='Données projet'!$A$62,'Données projet'!$B$62,AI143+AH144-AQ143)))</f>
        <v>293.39999999999998</v>
      </c>
      <c r="AJ144" s="13">
        <f>AI144*VLOOKUP('Données projet'!$B$10,Paramètres!$A$1:$I$89,3,0)*VLOOKUP('Données projet'!$B$10,Paramètres!$A$1:$I$89,5,0)</f>
        <v>265.46831999999995</v>
      </c>
      <c r="AK144" s="13">
        <f t="shared" si="143"/>
        <v>63.886587047268755</v>
      </c>
      <c r="AL144" s="20">
        <f t="shared" si="112"/>
        <v>573.62646310732623</v>
      </c>
      <c r="AM144" s="59">
        <f t="shared" si="113"/>
        <v>866.9597964406596</v>
      </c>
      <c r="AN144" s="59">
        <f ca="1">AVERAGE(OFFSET($AM$3,0,0,'Données projet'!$E$10+1,1))-AVERAGE(OFFSET($H$3,0,0,'Données projet'!$E$10+1,1))</f>
        <v>387.43382681395963</v>
      </c>
      <c r="AO144" s="59">
        <f t="shared" si="144"/>
        <v>184.78537400115721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33.505846123758523</v>
      </c>
      <c r="AV144" s="21">
        <f>EXP(-LN(2)/25)*AV143+(1-EXP(-LN(2)/25))/(LN(2)/25)*Calculateur!AQ144*Calculateur!AS144*VLOOKUP('Données projet'!$B$10,Paramètres!$A$1:$I$89,3,0)*0.475*44/12</f>
        <v>21.91605861266606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55.42190473642458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169.26131760015181</v>
      </c>
      <c r="T145" s="59">
        <f t="shared" si="142"/>
        <v>395.66019987830481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8.0111952709886953</v>
      </c>
      <c r="AA145" s="21">
        <f>EXP(-LN(2)/25)*AA144+(1-EXP(-LN(2)/25))/(LN(2)/25)*Calculateur!V145*Calculateur!X145*VLOOKUP('Données projet'!$B$9,Paramètres!$A$1:$I$89,3,0)*0.475*44/12</f>
        <v>0.84114601584623239</v>
      </c>
      <c r="AB145" s="21">
        <f>EXP(-LN(2)/2)*AB144+(1-EXP(-LN(2)/2))/(LN(2)/2)*V145*Y145*VLOOKUP('Données projet'!$B$9,Paramètres!$A$1:$I$89,3,0)*0.475*44/12</f>
        <v>2.7643665106716867E-18</v>
      </c>
      <c r="AC145" s="22">
        <f t="shared" si="111"/>
        <v>8.8523412868349283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5.8</v>
      </c>
      <c r="AI145" s="13">
        <f>IF('Données projet'!$A$62&gt;35,AI144+AH145-AQ144,IF(A145&lt;'Données projet'!$A$62,$AF$205^A145,IF(A145='Données projet'!$A$62,'Données projet'!$B$62,AI144+AH145-AQ144)))</f>
        <v>299.2</v>
      </c>
      <c r="AJ145" s="13">
        <f>AI145*VLOOKUP('Données projet'!$B$10,Paramètres!$A$1:$I$89,3,0)*VLOOKUP('Données projet'!$B$10,Paramètres!$A$1:$I$89,5,0)</f>
        <v>270.71615999999995</v>
      </c>
      <c r="AK145" s="13">
        <f t="shared" si="143"/>
        <v>65.001233075018177</v>
      </c>
      <c r="AL145" s="20">
        <f t="shared" si="112"/>
        <v>584.70779293898988</v>
      </c>
      <c r="AM145" s="59">
        <f t="shared" si="113"/>
        <v>878.04112627232325</v>
      </c>
      <c r="AN145" s="59">
        <f ca="1">AVERAGE(OFFSET($AM$3,0,0,'Données projet'!$E$10+1,1))-AVERAGE(OFFSET($H$3,0,0,'Données projet'!$E$10+1,1))</f>
        <v>387.43382681395963</v>
      </c>
      <c r="AO145" s="59">
        <f t="shared" si="144"/>
        <v>184.78537400115721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32.848816917819811</v>
      </c>
      <c r="AV145" s="21">
        <f>EXP(-LN(2)/25)*AV144+(1-EXP(-LN(2)/25))/(LN(2)/25)*Calculateur!AQ145*Calculateur!AS145*VLOOKUP('Données projet'!$B$10,Paramètres!$A$1:$I$89,3,0)*0.475*44/12</f>
        <v>21.316762837387273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54.165579755207084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169.26131760015181</v>
      </c>
      <c r="T146" s="59">
        <f t="shared" si="142"/>
        <v>395.66019987830481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7.8541006180712358</v>
      </c>
      <c r="AA146" s="21">
        <f>EXP(-LN(2)/25)*AA145+(1-EXP(-LN(2)/25))/(LN(2)/25)*Calculateur!V146*Calculateur!X146*VLOOKUP('Données projet'!$B$9,Paramètres!$A$1:$I$89,3,0)*0.475*44/12</f>
        <v>0.81814483380897063</v>
      </c>
      <c r="AB146" s="21">
        <f>EXP(-LN(2)/2)*AB145+(1-EXP(-LN(2)/2))/(LN(2)/2)*V146*Y146*VLOOKUP('Données projet'!$B$9,Paramètres!$A$1:$I$89,3,0)*0.475*44/12</f>
        <v>1.9547023053809442E-18</v>
      </c>
      <c r="AC146" s="22">
        <f t="shared" si="111"/>
        <v>8.6722454518802063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5.8</v>
      </c>
      <c r="AI146" s="13">
        <f>IF('Données projet'!$A$62&gt;35,AI145+AH146-AQ145,IF(A146&lt;'Données projet'!$A$62,$AF$205^A146,IF(A146='Données projet'!$A$62,'Données projet'!$B$62,AI145+AH146-AQ145)))</f>
        <v>305</v>
      </c>
      <c r="AJ146" s="13">
        <f>AI146*VLOOKUP('Données projet'!$B$10,Paramètres!$A$1:$I$89,3,0)*VLOOKUP('Données projet'!$B$10,Paramètres!$A$1:$I$89,5,0)</f>
        <v>275.964</v>
      </c>
      <c r="AK146" s="13">
        <f t="shared" si="143"/>
        <v>66.113366665488911</v>
      </c>
      <c r="AL146" s="20">
        <f t="shared" si="112"/>
        <v>595.7847469423931</v>
      </c>
      <c r="AM146" s="59">
        <f t="shared" si="113"/>
        <v>889.11808027572647</v>
      </c>
      <c r="AN146" s="59">
        <f ca="1">AVERAGE(OFFSET($AM$3,0,0,'Données projet'!$E$10+1,1))-AVERAGE(OFFSET($H$3,0,0,'Données projet'!$E$10+1,1))</f>
        <v>387.43382681395963</v>
      </c>
      <c r="AO146" s="59">
        <f t="shared" si="144"/>
        <v>184.78537400115721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32.204671653861311</v>
      </c>
      <c r="AV146" s="21">
        <f>EXP(-LN(2)/25)*AV145+(1-EXP(-LN(2)/25))/(LN(2)/25)*Calculateur!AQ146*Calculateur!AS146*VLOOKUP('Données projet'!$B$10,Paramètres!$A$1:$I$89,3,0)*0.475*44/12</f>
        <v>20.733854836599079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52.93852649046039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169.26131760015181</v>
      </c>
      <c r="T147" s="59">
        <f t="shared" si="142"/>
        <v>395.66019987830481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7.7000864954792103</v>
      </c>
      <c r="AA147" s="21">
        <f>EXP(-LN(2)/25)*AA146+(1-EXP(-LN(2)/25))/(LN(2)/25)*Calculateur!V147*Calculateur!X147*VLOOKUP('Données projet'!$B$9,Paramètres!$A$1:$I$89,3,0)*0.475*44/12</f>
        <v>0.79577262030409746</v>
      </c>
      <c r="AB147" s="21">
        <f>EXP(-LN(2)/2)*AB146+(1-EXP(-LN(2)/2))/(LN(2)/2)*V147*Y147*VLOOKUP('Données projet'!$B$9,Paramètres!$A$1:$I$89,3,0)*0.475*44/12</f>
        <v>1.3821832553358434E-18</v>
      </c>
      <c r="AC147" s="22">
        <f t="shared" si="111"/>
        <v>8.4958591157833077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5.8</v>
      </c>
      <c r="AI147" s="13">
        <f>IF('Données projet'!$A$62&gt;35,AI146+AH147-AQ146,IF(A147&lt;'Données projet'!$A$62,$AF$205^A147,IF(A147='Données projet'!$A$62,'Données projet'!$B$62,AI146+AH147-AQ146)))</f>
        <v>310.8</v>
      </c>
      <c r="AJ147" s="13">
        <f>AI147*VLOOKUP('Données projet'!$B$10,Paramètres!$A$1:$I$89,3,0)*VLOOKUP('Données projet'!$B$10,Paramètres!$A$1:$I$89,5,0)</f>
        <v>281.21184</v>
      </c>
      <c r="AK147" s="13">
        <f t="shared" si="143"/>
        <v>67.22304110496664</v>
      </c>
      <c r="AL147" s="20">
        <f t="shared" si="112"/>
        <v>606.85741792448357</v>
      </c>
      <c r="AM147" s="59">
        <f t="shared" si="113"/>
        <v>900.19075125781683</v>
      </c>
      <c r="AN147" s="59">
        <f ca="1">AVERAGE(OFFSET($AM$3,0,0,'Données projet'!$E$10+1,1))-AVERAGE(OFFSET($H$3,0,0,'Données projet'!$E$10+1,1))</f>
        <v>387.43382681395963</v>
      </c>
      <c r="AO147" s="59">
        <f t="shared" si="144"/>
        <v>184.78537400115721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31.573157685639224</v>
      </c>
      <c r="AV147" s="21">
        <f>EXP(-LN(2)/25)*AV146+(1-EXP(-LN(2)/25))/(LN(2)/25)*Calculateur!AQ147*Calculateur!AS147*VLOOKUP('Données projet'!$B$10,Paramètres!$A$1:$I$89,3,0)*0.475*44/12</f>
        <v>20.16688648574624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51.740044171385463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169.26131760015181</v>
      </c>
      <c r="T148" s="59">
        <f t="shared" si="142"/>
        <v>395.66019987830481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7.5490924958918759</v>
      </c>
      <c r="AA148" s="21">
        <f>EXP(-LN(2)/25)*AA147+(1-EXP(-LN(2)/25))/(LN(2)/25)*Calculateur!V148*Calculateur!X148*VLOOKUP('Données projet'!$B$9,Paramètres!$A$1:$I$89,3,0)*0.475*44/12</f>
        <v>0.77401217615401852</v>
      </c>
      <c r="AB148" s="21">
        <f>EXP(-LN(2)/2)*AB147+(1-EXP(-LN(2)/2))/(LN(2)/2)*V148*Y148*VLOOKUP('Données projet'!$B$9,Paramètres!$A$1:$I$89,3,0)*0.475*44/12</f>
        <v>9.7735115269047211E-19</v>
      </c>
      <c r="AC148" s="22">
        <f t="shared" si="111"/>
        <v>8.3231046720458952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5.8</v>
      </c>
      <c r="AI148" s="13">
        <f>IF('Données projet'!$A$62&gt;35,AI147+AH148-AQ147,IF(A148&lt;'Données projet'!$A$62,$AF$205^A148,IF(A148='Données projet'!$A$62,'Données projet'!$B$62,AI147+AH148-AQ147)))</f>
        <v>316.60000000000002</v>
      </c>
      <c r="AJ148" s="13">
        <f>AI148*VLOOKUP('Données projet'!$B$10,Paramètres!$A$1:$I$89,3,0)*VLOOKUP('Données projet'!$B$10,Paramètres!$A$1:$I$89,5,0)</f>
        <v>286.45968000000005</v>
      </c>
      <c r="AK148" s="13">
        <f t="shared" si="143"/>
        <v>68.330307577101138</v>
      </c>
      <c r="AL148" s="20">
        <f t="shared" si="112"/>
        <v>617.92589503011789</v>
      </c>
      <c r="AM148" s="59">
        <f t="shared" si="113"/>
        <v>911.25922836345126</v>
      </c>
      <c r="AN148" s="59">
        <f ca="1">AVERAGE(OFFSET($AM$3,0,0,'Données projet'!$E$10+1,1))-AVERAGE(OFFSET($H$3,0,0,'Données projet'!$E$10+1,1))</f>
        <v>387.43382681395963</v>
      </c>
      <c r="AO148" s="59">
        <f t="shared" si="144"/>
        <v>184.78537400115721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30.954027321148484</v>
      </c>
      <c r="AV148" s="21">
        <f>EXP(-LN(2)/25)*AV147+(1-EXP(-LN(2)/25))/(LN(2)/25)*Calculateur!AQ148*Calculateur!AS148*VLOOKUP('Données projet'!$B$10,Paramètres!$A$1:$I$89,3,0)*0.475*44/12</f>
        <v>19.615421914263042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50.569449235411525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169.26131760015181</v>
      </c>
      <c r="T149" s="59">
        <f t="shared" si="142"/>
        <v>395.66019987830481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7.4010593965392033</v>
      </c>
      <c r="AA149" s="21">
        <f>EXP(-LN(2)/25)*AA148+(1-EXP(-LN(2)/25))/(LN(2)/25)*Calculateur!V149*Calculateur!X149*VLOOKUP('Données projet'!$B$9,Paramètres!$A$1:$I$89,3,0)*0.475*44/12</f>
        <v>0.75284677249355558</v>
      </c>
      <c r="AB149" s="21">
        <f>EXP(-LN(2)/2)*AB148+(1-EXP(-LN(2)/2))/(LN(2)/2)*V149*Y149*VLOOKUP('Données projet'!$B$9,Paramètres!$A$1:$I$89,3,0)*0.475*44/12</f>
        <v>6.9109162766792168E-19</v>
      </c>
      <c r="AC149" s="22">
        <f t="shared" si="111"/>
        <v>8.1539061690327586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5.8</v>
      </c>
      <c r="AI149" s="13">
        <f>IF('Données projet'!$A$62&gt;35,AI148+AH149-AQ148,IF(A149&lt;'Données projet'!$A$62,$AF$205^A149,IF(A149='Données projet'!$A$62,'Données projet'!$B$62,AI148+AH149-AQ148)))</f>
        <v>322.40000000000003</v>
      </c>
      <c r="AJ149" s="13">
        <f>AI149*VLOOKUP('Données projet'!$B$10,Paramètres!$A$1:$I$89,3,0)*VLOOKUP('Données projet'!$B$10,Paramètres!$A$1:$I$89,5,0)</f>
        <v>291.70752000000005</v>
      </c>
      <c r="AK149" s="13">
        <f t="shared" si="143"/>
        <v>69.435215282847324</v>
      </c>
      <c r="AL149" s="20">
        <f t="shared" si="112"/>
        <v>628.99026395095905</v>
      </c>
      <c r="AM149" s="59">
        <f t="shared" si="113"/>
        <v>922.32359728429242</v>
      </c>
      <c r="AN149" s="59">
        <f ca="1">AVERAGE(OFFSET($AM$3,0,0,'Données projet'!$E$10+1,1))-AVERAGE(OFFSET($H$3,0,0,'Données projet'!$E$10+1,1))</f>
        <v>387.43382681395963</v>
      </c>
      <c r="AO149" s="59">
        <f t="shared" si="144"/>
        <v>184.78537400115721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30.347037725473175</v>
      </c>
      <c r="AV149" s="21">
        <f>EXP(-LN(2)/25)*AV148+(1-EXP(-LN(2)/25))/(LN(2)/25)*Calculateur!AQ149*Calculateur!AS149*VLOOKUP('Données projet'!$B$10,Paramètres!$A$1:$I$89,3,0)*0.475*44/12</f>
        <v>19.079037170487311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49.426074895960483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169.26131760015181</v>
      </c>
      <c r="T150" s="59">
        <f t="shared" si="142"/>
        <v>395.66019987830481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7.2559291359735614</v>
      </c>
      <c r="AA150" s="21">
        <f>EXP(-LN(2)/25)*AA149+(1-EXP(-LN(2)/25))/(LN(2)/25)*Calculateur!V150*Calculateur!X150*VLOOKUP('Données projet'!$B$9,Paramètres!$A$1:$I$89,3,0)*0.475*44/12</f>
        <v>0.73226013790922817</v>
      </c>
      <c r="AB150" s="21">
        <f>EXP(-LN(2)/2)*AB149+(1-EXP(-LN(2)/2))/(LN(2)/2)*V150*Y150*VLOOKUP('Données projet'!$B$9,Paramètres!$A$1:$I$89,3,0)*0.475*44/12</f>
        <v>4.8867557634523606E-19</v>
      </c>
      <c r="AC150" s="22">
        <f t="shared" si="111"/>
        <v>7.9881892738827895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5.8</v>
      </c>
      <c r="AI150" s="13">
        <f>IF('Données projet'!$A$62&gt;35,AI149+AH150-AQ149,IF(A150&lt;'Données projet'!$A$62,$AF$205^A150,IF(A150='Données projet'!$A$62,'Données projet'!$B$62,AI149+AH150-AQ149)))</f>
        <v>328.20000000000005</v>
      </c>
      <c r="AJ150" s="13">
        <f>AI150*VLOOKUP('Données projet'!$B$10,Paramètres!$A$1:$I$89,3,0)*VLOOKUP('Données projet'!$B$10,Paramètres!$A$1:$I$89,5,0)</f>
        <v>296.95536000000004</v>
      </c>
      <c r="AK150" s="13">
        <f t="shared" si="143"/>
        <v>70.537811551531092</v>
      </c>
      <c r="AL150" s="20">
        <f t="shared" si="112"/>
        <v>640.05060711891667</v>
      </c>
      <c r="AM150" s="59">
        <f t="shared" si="113"/>
        <v>933.38394045225004</v>
      </c>
      <c r="AN150" s="59">
        <f ca="1">AVERAGE(OFFSET($AM$3,0,0,'Données projet'!$E$10+1,1))-AVERAGE(OFFSET($H$3,0,0,'Données projet'!$E$10+1,1))</f>
        <v>387.43382681395963</v>
      </c>
      <c r="AO150" s="59">
        <f t="shared" si="144"/>
        <v>184.78537400115721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29.751950825541961</v>
      </c>
      <c r="AV150" s="21">
        <f>EXP(-LN(2)/25)*AV149+(1-EXP(-LN(2)/25))/(LN(2)/25)*Calculateur!AQ150*Calculateur!AS150*VLOOKUP('Données projet'!$B$10,Paramètres!$A$1:$I$89,3,0)*0.475*44/12</f>
        <v>18.557319895737376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48.309270721279333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169.26131760015181</v>
      </c>
      <c r="T151" s="59">
        <f t="shared" si="142"/>
        <v>395.66019987830481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7.1136447912968928</v>
      </c>
      <c r="AA151" s="21">
        <f>EXP(-LN(2)/25)*AA150+(1-EXP(-LN(2)/25))/(LN(2)/25)*Calculateur!V151*Calculateur!X151*VLOOKUP('Données projet'!$B$9,Paramètres!$A$1:$I$89,3,0)*0.475*44/12</f>
        <v>0.71223644593021329</v>
      </c>
      <c r="AB151" s="21">
        <f>EXP(-LN(2)/2)*AB150+(1-EXP(-LN(2)/2))/(LN(2)/2)*V151*Y151*VLOOKUP('Données projet'!$B$9,Paramètres!$A$1:$I$89,3,0)*0.475*44/12</f>
        <v>3.4554581383396084E-19</v>
      </c>
      <c r="AC151" s="22">
        <f t="shared" si="111"/>
        <v>7.8258812372271063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>
        <f>VLOOKUP(A151,'Données projet'!$A$61:$I$81,2,0)</f>
        <v>334</v>
      </c>
      <c r="AG151" s="12">
        <f>VLOOKUP(A151,'Données projet'!$A$61:$I$81,9,0)</f>
        <v>5.8</v>
      </c>
      <c r="AH151" s="12">
        <f t="array" ref="AH151">INDEX(AG:AG,MIN(IF(ISNUMBER(AG151:AG347),ROW(AG151:AG347),"")))</f>
        <v>5.8</v>
      </c>
      <c r="AI151" s="13">
        <f>IF('Données projet'!$A$62&gt;35,AI150+AH151-AQ150,IF(A151&lt;'Données projet'!$A$62,$AF$205^A151,IF(A151='Données projet'!$A$62,'Données projet'!$B$62,AI150+AH151-AQ150)))</f>
        <v>334.00000000000006</v>
      </c>
      <c r="AJ151" s="13">
        <f>AI151*VLOOKUP('Données projet'!$B$10,Paramètres!$A$1:$I$89,3,0)*VLOOKUP('Données projet'!$B$10,Paramètres!$A$1:$I$89,5,0)</f>
        <v>302.20320000000004</v>
      </c>
      <c r="AK151" s="13">
        <f t="shared" si="143"/>
        <v>71.638141943842299</v>
      </c>
      <c r="AL151" s="20">
        <f t="shared" si="112"/>
        <v>651.10700388552539</v>
      </c>
      <c r="AM151" s="59">
        <f t="shared" si="113"/>
        <v>944.44033721885876</v>
      </c>
      <c r="AN151" s="59">
        <f ca="1">AVERAGE(OFFSET($AM$3,0,0,'Données projet'!$E$10+1,1))-AVERAGE(OFFSET($H$3,0,0,'Données projet'!$E$10+1,1))</f>
        <v>387.43382681395963</v>
      </c>
      <c r="AO151" s="59">
        <f t="shared" si="144"/>
        <v>184.78537400115721</v>
      </c>
      <c r="AP151" s="15">
        <f>IF(ISNA(VLOOKUP(A151,'Données projet'!$A$61:$I$81,3,0)),0,VLOOKUP(A151,'Données projet'!$A$61:$I$81,3,0))</f>
        <v>11</v>
      </c>
      <c r="AQ151" s="15">
        <f>IF(ISNA(VLOOKUP(A151,'Données projet'!$A$61:$I$81,4,0)),0,VLOOKUP(A151,'Données projet'!$A$61:$I$81,4,0))</f>
        <v>41</v>
      </c>
      <c r="AR151" s="16">
        <f>IF(ISNA(VLOOKUP(A151,'Données projet'!$A$61:$I$81,5,0)),0%,VLOOKUP(A151,'Données projet'!$A$61:$I$81,5,0)*VLOOKUP('Données projet'!$B$10,Paramètres!$A$1:$I$89,7,0))</f>
        <v>0.215</v>
      </c>
      <c r="AS151" s="16">
        <f>IF(ISNA(VLOOKUP(A151,'Données projet'!$A$61:$I$81,6,0)),0%,VLOOKUP(A151,'Données projet'!$A$61:$I$81,6,0)*VLOOKUP('Données projet'!$B$10,Paramètres!$A$1:$I$89,7,0))</f>
        <v>0.17200000000000001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37.985557135474686</v>
      </c>
      <c r="AV151" s="21">
        <f>EXP(-LN(2)/25)*AV150+(1-EXP(-LN(2)/25))/(LN(2)/25)*Calculateur!AQ151*Calculateur!AS151*VLOOKUP('Données projet'!$B$10,Paramètres!$A$1:$I$89,3,0)*0.475*44/12</f>
        <v>25.075715356106155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63.061272491580837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169.26131760015181</v>
      </c>
      <c r="T152" s="59">
        <f t="shared" si="142"/>
        <v>395.66019987830481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6.974150555834453</v>
      </c>
      <c r="AA152" s="21">
        <f>EXP(-LN(2)/25)*AA151+(1-EXP(-LN(2)/25))/(LN(2)/25)*Calculateur!V152*Calculateur!X152*VLOOKUP('Données projet'!$B$9,Paramètres!$A$1:$I$89,3,0)*0.475*44/12</f>
        <v>0.69276030286136481</v>
      </c>
      <c r="AB152" s="21">
        <f>EXP(-LN(2)/2)*AB151+(1-EXP(-LN(2)/2))/(LN(2)/2)*V152*Y152*VLOOKUP('Données projet'!$B$9,Paramètres!$A$1:$I$89,3,0)*0.475*44/12</f>
        <v>2.4433778817261803E-19</v>
      </c>
      <c r="AC152" s="22">
        <f t="shared" si="111"/>
        <v>7.6669108586958181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-3.4705882352941178</v>
      </c>
      <c r="AI152" s="13">
        <f>IF('Données projet'!$A$62&gt;35,AI151+AH152-AQ151,IF(A152&lt;'Données projet'!$A$62,$AF$205^A152,IF(A152='Données projet'!$A$62,'Données projet'!$B$62,AI151+AH152-AQ151)))</f>
        <v>289.52941176470591</v>
      </c>
      <c r="AJ152" s="13">
        <f>AI152*VLOOKUP('Données projet'!$B$10,Paramètres!$A$1:$I$89,3,0)*VLOOKUP('Données projet'!$B$10,Paramètres!$A$1:$I$89,5,0)</f>
        <v>261.96621176470592</v>
      </c>
      <c r="AK152" s="13">
        <f t="shared" si="143"/>
        <v>63.141310899563408</v>
      </c>
      <c r="AL152" s="20">
        <f t="shared" si="112"/>
        <v>566.22893530693568</v>
      </c>
      <c r="AM152" s="59">
        <f t="shared" si="113"/>
        <v>859.56226864026894</v>
      </c>
      <c r="AN152" s="59">
        <f ca="1">AVERAGE(OFFSET($AM$3,0,0,'Données projet'!$E$10+1,1))-AVERAGE(OFFSET($H$3,0,0,'Données projet'!$E$10+1,1))</f>
        <v>387.43382681395963</v>
      </c>
      <c r="AO152" s="59">
        <f t="shared" si="144"/>
        <v>184.78537400115721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37.240683528950143</v>
      </c>
      <c r="AV152" s="21">
        <f>EXP(-LN(2)/25)*AV151+(1-EXP(-LN(2)/25))/(LN(2)/25)*Calculateur!AQ152*Calculateur!AS152*VLOOKUP('Données projet'!$B$10,Paramètres!$A$1:$I$89,3,0)*0.475*44/12</f>
        <v>24.390018601018873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61.630702129969016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169.26131760015181</v>
      </c>
      <c r="T153" s="59">
        <f t="shared" si="142"/>
        <v>395.66019987830481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6.8373917172463496</v>
      </c>
      <c r="AA153" s="21">
        <f>EXP(-LN(2)/25)*AA152+(1-EXP(-LN(2)/25))/(LN(2)/25)*Calculateur!V153*Calculateur!X153*VLOOKUP('Données projet'!$B$9,Paramètres!$A$1:$I$89,3,0)*0.475*44/12</f>
        <v>0.67381673594893976</v>
      </c>
      <c r="AB153" s="21">
        <f>EXP(-LN(2)/2)*AB152+(1-EXP(-LN(2)/2))/(LN(2)/2)*V153*Y153*VLOOKUP('Données projet'!$B$9,Paramètres!$A$1:$I$89,3,0)*0.475*44/12</f>
        <v>1.7277290691698042E-19</v>
      </c>
      <c r="AC153" s="22">
        <f t="shared" si="111"/>
        <v>7.5112084531952892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-3.4705882352941178</v>
      </c>
      <c r="AI153" s="13">
        <f>IF('Données projet'!$A$62&gt;35,AI152+AH153-AQ152,IF(A153&lt;'Données projet'!$A$62,$AF$205^A153,IF(A153='Données projet'!$A$62,'Données projet'!$B$62,AI152+AH153-AQ152)))</f>
        <v>286.05882352941177</v>
      </c>
      <c r="AJ153" s="13">
        <f>AI153*VLOOKUP('Données projet'!$B$10,Paramètres!$A$1:$I$89,3,0)*VLOOKUP('Données projet'!$B$10,Paramètres!$A$1:$I$89,5,0)</f>
        <v>258.82602352941177</v>
      </c>
      <c r="AK153" s="13">
        <f t="shared" si="143"/>
        <v>62.472067741593087</v>
      </c>
      <c r="AL153" s="20">
        <f t="shared" si="112"/>
        <v>559.59417563033344</v>
      </c>
      <c r="AM153" s="59">
        <f t="shared" si="113"/>
        <v>852.9275089636667</v>
      </c>
      <c r="AN153" s="59">
        <f ca="1">AVERAGE(OFFSET($AM$3,0,0,'Données projet'!$E$10+1,1))-AVERAGE(OFFSET($H$3,0,0,'Données projet'!$E$10+1,1))</f>
        <v>387.43382681395963</v>
      </c>
      <c r="AO153" s="59">
        <f t="shared" si="144"/>
        <v>184.78537400115721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36.510416439521507</v>
      </c>
      <c r="AV153" s="21">
        <f>EXP(-LN(2)/25)*AV152+(1-EXP(-LN(2)/25))/(LN(2)/25)*Calculateur!AQ153*Calculateur!AS153*VLOOKUP('Données projet'!$B$10,Paramètres!$A$1:$I$89,3,0)*0.475*44/12</f>
        <v>23.723072259758677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60.233488699280187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169.26131760015181</v>
      </c>
      <c r="T154" s="59">
        <f t="shared" si="142"/>
        <v>395.66019987830481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6.7033146360683036</v>
      </c>
      <c r="AA154" s="21">
        <f>EXP(-LN(2)/25)*AA153+(1-EXP(-LN(2)/25))/(LN(2)/25)*Calculateur!V154*Calculateur!X154*VLOOKUP('Données projet'!$B$9,Paramètres!$A$1:$I$89,3,0)*0.475*44/12</f>
        <v>0.65539118186993384</v>
      </c>
      <c r="AB154" s="21">
        <f>EXP(-LN(2)/2)*AB153+(1-EXP(-LN(2)/2))/(LN(2)/2)*V154*Y154*VLOOKUP('Données projet'!$B$9,Paramètres!$A$1:$I$89,3,0)*0.475*44/12</f>
        <v>1.2216889408630901E-19</v>
      </c>
      <c r="AC154" s="22">
        <f t="shared" ref="AC154:AC203" si="163">SUM(Z154:AB154)</f>
        <v>7.3587058179382376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-3.4705882352941178</v>
      </c>
      <c r="AI154" s="13">
        <f>IF('Données projet'!$A$62&gt;35,AI153+AH154-AQ153,IF(A154&lt;'Données projet'!$A$62,$AF$205^A154,IF(A154='Données projet'!$A$62,'Données projet'!$B$62,AI153+AH154-AQ153)))</f>
        <v>282.58823529411762</v>
      </c>
      <c r="AJ154" s="13">
        <f>AI154*VLOOKUP('Données projet'!$B$10,Paramètres!$A$1:$I$89,3,0)*VLOOKUP('Données projet'!$B$10,Paramètres!$A$1:$I$89,5,0)</f>
        <v>255.68583529411762</v>
      </c>
      <c r="AK154" s="13">
        <f t="shared" ref="AK154:AK203" si="164">EXP(-1.0587+0.8836*LN(AJ154)+0.284)</f>
        <v>61.80187877637033</v>
      </c>
      <c r="AL154" s="20">
        <f t="shared" ref="AL154:AL203" si="165">(AJ154+AK154)*0.475*44/12</f>
        <v>552.95776867276652</v>
      </c>
      <c r="AM154" s="59">
        <f t="shared" si="113"/>
        <v>846.29110200609989</v>
      </c>
      <c r="AN154" s="59">
        <f ca="1">AVERAGE(OFFSET($AM$3,0,0,'Données projet'!$E$10+1,1))-AVERAGE(OFFSET($H$3,0,0,'Données projet'!$E$10+1,1))</f>
        <v>387.43382681395963</v>
      </c>
      <c r="AO154" s="59">
        <f t="shared" si="144"/>
        <v>184.78537400115721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35.794469442297618</v>
      </c>
      <c r="AV154" s="21">
        <f>EXP(-LN(2)/25)*AV153+(1-EXP(-LN(2)/25))/(LN(2)/25)*Calculateur!AQ154*Calculateur!AS154*VLOOKUP('Données projet'!$B$10,Paramètres!$A$1:$I$89,3,0)*0.475*44/12</f>
        <v>23.074363601273426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58.868833043571044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169.26131760015181</v>
      </c>
      <c r="T155" s="59">
        <f t="shared" si="142"/>
        <v>395.66019987830481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6.5718667246732148</v>
      </c>
      <c r="AA155" s="21">
        <f>EXP(-LN(2)/25)*AA154+(1-EXP(-LN(2)/25))/(LN(2)/25)*Calculateur!V155*Calculateur!X155*VLOOKUP('Données projet'!$B$9,Paramètres!$A$1:$I$89,3,0)*0.475*44/12</f>
        <v>0.63746947553617617</v>
      </c>
      <c r="AB155" s="21">
        <f>EXP(-LN(2)/2)*AB154+(1-EXP(-LN(2)/2))/(LN(2)/2)*V155*Y155*VLOOKUP('Données projet'!$B$9,Paramètres!$A$1:$I$89,3,0)*0.475*44/12</f>
        <v>8.638645345849021E-20</v>
      </c>
      <c r="AC155" s="22">
        <f t="shared" si="163"/>
        <v>7.2093362002093908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-3.4705882352941178</v>
      </c>
      <c r="AI155" s="13">
        <f>IF('Données projet'!$A$62&gt;35,AI154+AH155-AQ154,IF(A155&lt;'Données projet'!$A$62,$AF$205^A155,IF(A155='Données projet'!$A$62,'Données projet'!$B$62,AI154+AH155-AQ154)))</f>
        <v>279.11764705882348</v>
      </c>
      <c r="AJ155" s="13">
        <f>AI155*VLOOKUP('Données projet'!$B$10,Paramètres!$A$1:$I$89,3,0)*VLOOKUP('Données projet'!$B$10,Paramètres!$A$1:$I$89,5,0)</f>
        <v>252.54564705882348</v>
      </c>
      <c r="AK155" s="13">
        <f t="shared" si="164"/>
        <v>61.130731026017962</v>
      </c>
      <c r="AL155" s="20">
        <f t="shared" si="165"/>
        <v>546.31969183109879</v>
      </c>
      <c r="AM155" s="59">
        <f t="shared" si="113"/>
        <v>839.65302516443217</v>
      </c>
      <c r="AN155" s="59">
        <f ca="1">AVERAGE(OFFSET($AM$3,0,0,'Données projet'!$E$10+1,1))-AVERAGE(OFFSET($H$3,0,0,'Données projet'!$E$10+1,1))</f>
        <v>387.43382681395963</v>
      </c>
      <c r="AO155" s="59">
        <f t="shared" si="144"/>
        <v>184.78537400115721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35.092561729004743</v>
      </c>
      <c r="AV155" s="21">
        <f>EXP(-LN(2)/25)*AV154+(1-EXP(-LN(2)/25))/(LN(2)/25)*Calculateur!AQ155*Calculateur!AS155*VLOOKUP('Données projet'!$B$10,Paramètres!$A$1:$I$89,3,0)*0.475*44/12</f>
        <v>22.44339391516856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57.535955644173299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169.26131760015181</v>
      </c>
      <c r="T156" s="59">
        <f t="shared" si="142"/>
        <v>395.66019987830481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6.4429964266452746</v>
      </c>
      <c r="AA156" s="21">
        <f>EXP(-LN(2)/25)*AA155+(1-EXP(-LN(2)/25))/(LN(2)/25)*Calculateur!V156*Calculateur!X156*VLOOKUP('Données projet'!$B$9,Paramètres!$A$1:$I$89,3,0)*0.475*44/12</f>
        <v>0.62003783920457667</v>
      </c>
      <c r="AB156" s="21">
        <f>EXP(-LN(2)/2)*AB155+(1-EXP(-LN(2)/2))/(LN(2)/2)*V156*Y156*VLOOKUP('Données projet'!$B$9,Paramètres!$A$1:$I$89,3,0)*0.475*44/12</f>
        <v>6.1084447043154507E-20</v>
      </c>
      <c r="AC156" s="22">
        <f t="shared" si="163"/>
        <v>7.0630342658498515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-3.4705882352941178</v>
      </c>
      <c r="AI156" s="13">
        <f>IF('Données projet'!$A$62&gt;35,AI155+AH156-AQ155,IF(A156&lt;'Données projet'!$A$62,$AF$205^A156,IF(A156='Données projet'!$A$62,'Données projet'!$B$62,AI155+AH156-AQ155)))</f>
        <v>275.64705882352933</v>
      </c>
      <c r="AJ156" s="13">
        <f>AI156*VLOOKUP('Données projet'!$B$10,Paramètres!$A$1:$I$89,3,0)*VLOOKUP('Données projet'!$B$10,Paramètres!$A$1:$I$89,5,0)</f>
        <v>249.40545882352933</v>
      </c>
      <c r="AK156" s="13">
        <f t="shared" si="164"/>
        <v>60.458611170864842</v>
      </c>
      <c r="AL156" s="20">
        <f t="shared" si="165"/>
        <v>539.67992190690325</v>
      </c>
      <c r="AM156" s="59">
        <f t="shared" si="113"/>
        <v>833.0132552402365</v>
      </c>
      <c r="AN156" s="59">
        <f ca="1">AVERAGE(OFFSET($AM$3,0,0,'Données projet'!$E$10+1,1))-AVERAGE(OFFSET($H$3,0,0,'Données projet'!$E$10+1,1))</f>
        <v>387.43382681395963</v>
      </c>
      <c r="AO156" s="59">
        <f t="shared" si="144"/>
        <v>184.78537400115721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34.404417997848114</v>
      </c>
      <c r="AV156" s="21">
        <f>EXP(-LN(2)/25)*AV155+(1-EXP(-LN(2)/25))/(LN(2)/25)*Calculateur!AQ156*Calculateur!AS156*VLOOKUP('Données projet'!$B$10,Paramètres!$A$1:$I$89,3,0)*0.475*44/12</f>
        <v>21.829678128311485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56.234096126159599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169.26131760015181</v>
      </c>
      <c r="T157" s="59">
        <f t="shared" si="142"/>
        <v>395.66019987830481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6.3166531965585415</v>
      </c>
      <c r="AA157" s="21">
        <f>EXP(-LN(2)/25)*AA156+(1-EXP(-LN(2)/25))/(LN(2)/25)*Calculateur!V157*Calculateur!X157*VLOOKUP('Données projet'!$B$9,Paramètres!$A$1:$I$89,3,0)*0.475*44/12</f>
        <v>0.60308287188515464</v>
      </c>
      <c r="AB157" s="21">
        <f>EXP(-LN(2)/2)*AB156+(1-EXP(-LN(2)/2))/(LN(2)/2)*V157*Y157*VLOOKUP('Données projet'!$B$9,Paramètres!$A$1:$I$89,3,0)*0.475*44/12</f>
        <v>4.3193226729245105E-20</v>
      </c>
      <c r="AC157" s="22">
        <f t="shared" si="163"/>
        <v>6.9197360684436964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-3.4705882352941178</v>
      </c>
      <c r="AI157" s="13">
        <f>IF('Données projet'!$A$62&gt;35,AI156+AH157-AQ156,IF(A157&lt;'Données projet'!$A$62,$AF$205^A157,IF(A157='Données projet'!$A$62,'Données projet'!$B$62,AI156+AH157-AQ156)))</f>
        <v>272.17647058823519</v>
      </c>
      <c r="AJ157" s="13">
        <f>AI157*VLOOKUP('Données projet'!$B$10,Paramètres!$A$1:$I$89,3,0)*VLOOKUP('Données projet'!$B$10,Paramètres!$A$1:$I$89,5,0)</f>
        <v>246.26527058823518</v>
      </c>
      <c r="AK157" s="13">
        <f t="shared" si="164"/>
        <v>59.785505536024061</v>
      </c>
      <c r="AL157" s="20">
        <f t="shared" si="165"/>
        <v>533.03843508308489</v>
      </c>
      <c r="AM157" s="59">
        <f t="shared" si="113"/>
        <v>826.37176841641826</v>
      </c>
      <c r="AN157" s="59">
        <f ca="1">AVERAGE(OFFSET($AM$3,0,0,'Données projet'!$E$10+1,1))-AVERAGE(OFFSET($H$3,0,0,'Données projet'!$E$10+1,1))</f>
        <v>387.43382681395963</v>
      </c>
      <c r="AO157" s="59">
        <f t="shared" si="144"/>
        <v>184.78537400115721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33.72976834553323</v>
      </c>
      <c r="AV157" s="21">
        <f>EXP(-LN(2)/25)*AV156+(1-EXP(-LN(2)/25))/(LN(2)/25)*Calculateur!AQ157*Calculateur!AS157*VLOOKUP('Données projet'!$B$10,Paramètres!$A$1:$I$89,3,0)*0.475*44/12</f>
        <v>21.232744431919926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54.962512777453156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169.26131760015181</v>
      </c>
      <c r="T158" s="59">
        <f t="shared" si="142"/>
        <v>395.66019987830481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6.1927874801520479</v>
      </c>
      <c r="AA158" s="21">
        <f>EXP(-LN(2)/25)*AA157+(1-EXP(-LN(2)/25))/(LN(2)/25)*Calculateur!V158*Calculateur!X158*VLOOKUP('Données projet'!$B$9,Paramètres!$A$1:$I$89,3,0)*0.475*44/12</f>
        <v>0.5865915390387052</v>
      </c>
      <c r="AB158" s="21">
        <f>EXP(-LN(2)/2)*AB157+(1-EXP(-LN(2)/2))/(LN(2)/2)*V158*Y158*VLOOKUP('Données projet'!$B$9,Paramètres!$A$1:$I$89,3,0)*0.475*44/12</f>
        <v>3.0542223521577254E-20</v>
      </c>
      <c r="AC158" s="22">
        <f t="shared" si="163"/>
        <v>6.7793790191907535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-3.4705882352941178</v>
      </c>
      <c r="AI158" s="13">
        <f>IF('Données projet'!$A$62&gt;35,AI157+AH158-AQ157,IF(A158&lt;'Données projet'!$A$62,$AF$205^A158,IF(A158='Données projet'!$A$62,'Données projet'!$B$62,AI157+AH158-AQ157)))</f>
        <v>268.70588235294105</v>
      </c>
      <c r="AJ158" s="13">
        <f>AI158*VLOOKUP('Données projet'!$B$10,Paramètres!$A$1:$I$89,3,0)*VLOOKUP('Données projet'!$B$10,Paramètres!$A$1:$I$89,5,0)</f>
        <v>243.12508235294104</v>
      </c>
      <c r="AK158" s="13">
        <f t="shared" si="164"/>
        <v>59.111400077264818</v>
      </c>
      <c r="AL158" s="20">
        <f t="shared" si="165"/>
        <v>526.39520689927519</v>
      </c>
      <c r="AM158" s="59">
        <f t="shared" si="113"/>
        <v>819.72854023260857</v>
      </c>
      <c r="AN158" s="59">
        <f ca="1">AVERAGE(OFFSET($AM$3,0,0,'Données projet'!$E$10+1,1))-AVERAGE(OFFSET($H$3,0,0,'Données projet'!$E$10+1,1))</f>
        <v>387.43382681395963</v>
      </c>
      <c r="AO158" s="59">
        <f t="shared" si="144"/>
        <v>184.78537400115721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33.068348161404586</v>
      </c>
      <c r="AV158" s="21">
        <f>EXP(-LN(2)/25)*AV157+(1-EXP(-LN(2)/25))/(LN(2)/25)*Calculateur!AQ158*Calculateur!AS158*VLOOKUP('Données projet'!$B$10,Paramètres!$A$1:$I$89,3,0)*0.475*44/12</f>
        <v>20.652133918847575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53.720482080252161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169.26131760015181</v>
      </c>
      <c r="T159" s="59">
        <f t="shared" si="142"/>
        <v>395.66019987830481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6.0713506948936589</v>
      </c>
      <c r="AA159" s="21">
        <f>EXP(-LN(2)/25)*AA158+(1-EXP(-LN(2)/25))/(LN(2)/25)*Calculateur!V159*Calculateur!X159*VLOOKUP('Données projet'!$B$9,Paramètres!$A$1:$I$89,3,0)*0.475*44/12</f>
        <v>0.57055116255618343</v>
      </c>
      <c r="AB159" s="21">
        <f>EXP(-LN(2)/2)*AB158+(1-EXP(-LN(2)/2))/(LN(2)/2)*V159*Y159*VLOOKUP('Données projet'!$B$9,Paramètres!$A$1:$I$89,3,0)*0.475*44/12</f>
        <v>2.1596613364622552E-20</v>
      </c>
      <c r="AC159" s="22">
        <f t="shared" si="163"/>
        <v>6.6419018574498425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-3.4705882352941178</v>
      </c>
      <c r="AI159" s="13">
        <f>IF('Données projet'!$A$62&gt;35,AI158+AH159-AQ158,IF(A159&lt;'Données projet'!$A$62,$AF$205^A159,IF(A159='Données projet'!$A$62,'Données projet'!$B$62,AI158+AH159-AQ158)))</f>
        <v>265.2352941176469</v>
      </c>
      <c r="AJ159" s="13">
        <f>AI159*VLOOKUP('Données projet'!$B$10,Paramètres!$A$1:$I$89,3,0)*VLOOKUP('Données projet'!$B$10,Paramètres!$A$1:$I$89,5,0)</f>
        <v>239.98489411764689</v>
      </c>
      <c r="AK159" s="13">
        <f t="shared" si="164"/>
        <v>58.436280366133602</v>
      </c>
      <c r="AL159" s="20">
        <f t="shared" si="165"/>
        <v>519.75021222591761</v>
      </c>
      <c r="AM159" s="59">
        <f t="shared" si="113"/>
        <v>813.08354555925098</v>
      </c>
      <c r="AN159" s="59">
        <f ca="1">AVERAGE(OFFSET($AM$3,0,0,'Données projet'!$E$10+1,1))-AVERAGE(OFFSET($H$3,0,0,'Données projet'!$E$10+1,1))</f>
        <v>387.43382681395963</v>
      </c>
      <c r="AO159" s="59">
        <f t="shared" si="144"/>
        <v>184.78537400115721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32.419898023660231</v>
      </c>
      <c r="AV159" s="21">
        <f>EXP(-LN(2)/25)*AV158+(1-EXP(-LN(2)/25))/(LN(2)/25)*Calculateur!AQ159*Calculateur!AS159*VLOOKUP('Données projet'!$B$10,Paramètres!$A$1:$I$89,3,0)*0.475*44/12</f>
        <v>20.087400230788166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52.507298254448401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169.26131760015181</v>
      </c>
      <c r="T160" s="59">
        <f t="shared" si="142"/>
        <v>395.66019987830481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5.9522952109250618</v>
      </c>
      <c r="AA160" s="21">
        <f>EXP(-LN(2)/25)*AA159+(1-EXP(-LN(2)/25))/(LN(2)/25)*Calculateur!V160*Calculateur!X160*VLOOKUP('Données projet'!$B$9,Paramètres!$A$1:$I$89,3,0)*0.475*44/12</f>
        <v>0.55494941101210293</v>
      </c>
      <c r="AB160" s="21">
        <f>EXP(-LN(2)/2)*AB159+(1-EXP(-LN(2)/2))/(LN(2)/2)*V160*Y160*VLOOKUP('Données projet'!$B$9,Paramètres!$A$1:$I$89,3,0)*0.475*44/12</f>
        <v>1.5271111760788627E-20</v>
      </c>
      <c r="AC160" s="22">
        <f t="shared" si="163"/>
        <v>6.5072446219371649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-3.4705882352941178</v>
      </c>
      <c r="AI160" s="13">
        <f>IF('Données projet'!$A$62&gt;35,AI159+AH160-AQ159,IF(A160&lt;'Données projet'!$A$62,$AF$205^A160,IF(A160='Données projet'!$A$62,'Données projet'!$B$62,AI159+AH160-AQ159)))</f>
        <v>261.76470588235276</v>
      </c>
      <c r="AJ160" s="13">
        <f>AI160*VLOOKUP('Données projet'!$B$10,Paramètres!$A$1:$I$89,3,0)*VLOOKUP('Données projet'!$B$10,Paramètres!$A$1:$I$89,5,0)</f>
        <v>236.84470588235277</v>
      </c>
      <c r="AK160" s="13">
        <f t="shared" si="164"/>
        <v>57.760131574272513</v>
      </c>
      <c r="AL160" s="20">
        <f t="shared" si="165"/>
        <v>513.10342523695556</v>
      </c>
      <c r="AM160" s="59">
        <f t="shared" si="113"/>
        <v>806.43675857028893</v>
      </c>
      <c r="AN160" s="59">
        <f ca="1">AVERAGE(OFFSET($AM$3,0,0,'Données projet'!$E$10+1,1))-AVERAGE(OFFSET($H$3,0,0,'Données projet'!$E$10+1,1))</f>
        <v>387.43382681395963</v>
      </c>
      <c r="AO160" s="59">
        <f t="shared" si="144"/>
        <v>184.78537400115721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31.784163597601509</v>
      </c>
      <c r="AV160" s="21">
        <f>EXP(-LN(2)/25)*AV159+(1-EXP(-LN(2)/25))/(LN(2)/25)*Calculateur!AQ160*Calculateur!AS160*VLOOKUP('Données projet'!$B$10,Paramètres!$A$1:$I$89,3,0)*0.475*44/12</f>
        <v>19.538109215126795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51.322272812728301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169.26131760015181</v>
      </c>
      <c r="T161" s="59">
        <f t="shared" si="142"/>
        <v>395.66019987830481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5.8355743323804141</v>
      </c>
      <c r="AA161" s="21">
        <f>EXP(-LN(2)/25)*AA160+(1-EXP(-LN(2)/25))/(LN(2)/25)*Calculateur!V161*Calculateur!X161*VLOOKUP('Données projet'!$B$9,Paramètres!$A$1:$I$89,3,0)*0.475*44/12</f>
        <v>0.53977429018445577</v>
      </c>
      <c r="AB161" s="21">
        <f>EXP(-LN(2)/2)*AB160+(1-EXP(-LN(2)/2))/(LN(2)/2)*V161*Y161*VLOOKUP('Données projet'!$B$9,Paramètres!$A$1:$I$89,3,0)*0.475*44/12</f>
        <v>1.0798306682311276E-20</v>
      </c>
      <c r="AC161" s="22">
        <f t="shared" si="163"/>
        <v>6.3753486225648697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-3.4705882352941178</v>
      </c>
      <c r="AI161" s="13">
        <f>IF('Données projet'!$A$62&gt;35,AI160+AH161-AQ160,IF(A161&lt;'Données projet'!$A$62,$AF$205^A161,IF(A161='Données projet'!$A$62,'Données projet'!$B$62,AI160+AH161-AQ160)))</f>
        <v>258.29411764705861</v>
      </c>
      <c r="AJ161" s="13">
        <f>AI161*VLOOKUP('Données projet'!$B$10,Paramètres!$A$1:$I$89,3,0)*VLOOKUP('Données projet'!$B$10,Paramètres!$A$1:$I$89,5,0)</f>
        <v>233.70451764705862</v>
      </c>
      <c r="AK161" s="13">
        <f t="shared" si="164"/>
        <v>57.082938456881209</v>
      </c>
      <c r="AL161" s="20">
        <f t="shared" si="165"/>
        <v>506.45481938102847</v>
      </c>
      <c r="AM161" s="59">
        <f t="shared" si="113"/>
        <v>799.78815271436179</v>
      </c>
      <c r="AN161" s="59">
        <f ca="1">AVERAGE(OFFSET($AM$3,0,0,'Données projet'!$E$10+1,1))-AVERAGE(OFFSET($H$3,0,0,'Données projet'!$E$10+1,1))</f>
        <v>387.43382681395963</v>
      </c>
      <c r="AO161" s="59">
        <f t="shared" si="144"/>
        <v>184.78537400115721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31.160895535878087</v>
      </c>
      <c r="AV161" s="21">
        <f>EXP(-LN(2)/25)*AV160+(1-EXP(-LN(2)/25))/(LN(2)/25)*Calculateur!AQ161*Calculateur!AS161*VLOOKUP('Données projet'!$B$10,Paramètres!$A$1:$I$89,3,0)*0.475*44/12</f>
        <v>19.003838591174645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50.164734127052732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169.26131760015181</v>
      </c>
      <c r="T162" s="59">
        <f t="shared" si="142"/>
        <v>395.66019987830481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5.7211422790713202</v>
      </c>
      <c r="AA162" s="21">
        <f>EXP(-LN(2)/25)*AA161+(1-EXP(-LN(2)/25))/(LN(2)/25)*Calculateur!V162*Calculateur!X162*VLOOKUP('Données projet'!$B$9,Paramètres!$A$1:$I$89,3,0)*0.475*44/12</f>
        <v>0.52501413383386553</v>
      </c>
      <c r="AB162" s="21">
        <f>EXP(-LN(2)/2)*AB161+(1-EXP(-LN(2)/2))/(LN(2)/2)*V162*Y162*VLOOKUP('Données projet'!$B$9,Paramètres!$A$1:$I$89,3,0)*0.475*44/12</f>
        <v>7.6355558803943134E-21</v>
      </c>
      <c r="AC162" s="22">
        <f t="shared" si="163"/>
        <v>6.2461564129051856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-3.4705882352941178</v>
      </c>
      <c r="AI162" s="13">
        <f>IF('Données projet'!$A$62&gt;35,AI161+AH162-AQ161,IF(A162&lt;'Données projet'!$A$62,$AF$205^A162,IF(A162='Données projet'!$A$62,'Données projet'!$B$62,AI161+AH162-AQ161)))</f>
        <v>254.8235294117645</v>
      </c>
      <c r="AJ162" s="13">
        <f>AI162*VLOOKUP('Données projet'!$B$10,Paramètres!$A$1:$I$89,3,0)*VLOOKUP('Données projet'!$B$10,Paramètres!$A$1:$I$89,5,0)</f>
        <v>230.5643294117645</v>
      </c>
      <c r="AK162" s="13">
        <f t="shared" si="164"/>
        <v>56.404685335263423</v>
      </c>
      <c r="AL162" s="20">
        <f t="shared" si="165"/>
        <v>499.80436735107361</v>
      </c>
      <c r="AM162" s="59">
        <f t="shared" si="113"/>
        <v>793.13770068440692</v>
      </c>
      <c r="AN162" s="59">
        <f ca="1">AVERAGE(OFFSET($AM$3,0,0,'Données projet'!$E$10+1,1))-AVERAGE(OFFSET($H$3,0,0,'Données projet'!$E$10+1,1))</f>
        <v>387.43382681395963</v>
      </c>
      <c r="AO162" s="59">
        <f t="shared" si="144"/>
        <v>184.78537400115721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30.549849380689082</v>
      </c>
      <c r="AV162" s="21">
        <f>EXP(-LN(2)/25)*AV161+(1-EXP(-LN(2)/25))/(LN(2)/25)*Calculateur!AQ162*Calculateur!AS162*VLOOKUP('Données projet'!$B$10,Paramètres!$A$1:$I$89,3,0)*0.475*44/12</f>
        <v>18.484177625530538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49.034027006219617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169.26131760015181</v>
      </c>
      <c r="T163" s="59">
        <f t="shared" si="142"/>
        <v>395.66019987830481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5.608954168530957</v>
      </c>
      <c r="AA163" s="21">
        <f>EXP(-LN(2)/25)*AA162+(1-EXP(-LN(2)/25))/(LN(2)/25)*Calculateur!V163*Calculateur!X163*VLOOKUP('Données projet'!$B$9,Paramètres!$A$1:$I$89,3,0)*0.475*44/12</f>
        <v>0.51065759473488515</v>
      </c>
      <c r="AB163" s="21">
        <f>EXP(-LN(2)/2)*AB162+(1-EXP(-LN(2)/2))/(LN(2)/2)*V163*Y163*VLOOKUP('Données projet'!$B$9,Paramètres!$A$1:$I$89,3,0)*0.475*44/12</f>
        <v>5.3991533411556381E-21</v>
      </c>
      <c r="AC163" s="22">
        <f t="shared" si="163"/>
        <v>6.1196117632658424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-3.4705882352941178</v>
      </c>
      <c r="AI163" s="13">
        <f>IF('Données projet'!$A$62&gt;35,AI162+AH163-AQ162,IF(A163&lt;'Données projet'!$A$62,$AF$205^A163,IF(A163='Données projet'!$A$62,'Données projet'!$B$62,AI162+AH163-AQ162)))</f>
        <v>251.35294117647038</v>
      </c>
      <c r="AJ163" s="13">
        <f>AI163*VLOOKUP('Données projet'!$B$10,Paramètres!$A$1:$I$89,3,0)*VLOOKUP('Données projet'!$B$10,Paramètres!$A$1:$I$89,5,0)</f>
        <v>227.42414117647041</v>
      </c>
      <c r="AK163" s="13">
        <f t="shared" si="164"/>
        <v>55.72535607839356</v>
      </c>
      <c r="AL163" s="20">
        <f t="shared" si="165"/>
        <v>493.15204105222142</v>
      </c>
      <c r="AM163" s="59">
        <f t="shared" si="113"/>
        <v>786.48537438555468</v>
      </c>
      <c r="AN163" s="59">
        <f ca="1">AVERAGE(OFFSET($AM$3,0,0,'Données projet'!$E$10+1,1))-AVERAGE(OFFSET($H$3,0,0,'Données projet'!$E$10+1,1))</f>
        <v>387.43382681395963</v>
      </c>
      <c r="AO163" s="59">
        <f t="shared" si="144"/>
        <v>184.78537400115721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29.95078546790198</v>
      </c>
      <c r="AV163" s="21">
        <f>EXP(-LN(2)/25)*AV162+(1-EXP(-LN(2)/25))/(LN(2)/25)*Calculateur!AQ163*Calculateur!AS163*VLOOKUP('Données projet'!$B$10,Paramètres!$A$1:$I$89,3,0)*0.475*44/12</f>
        <v>17.97872681631975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47.92951228422173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169.26131760015181</v>
      </c>
      <c r="T164" s="59">
        <f t="shared" si="142"/>
        <v>395.66019987830481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5.4989659984102994</v>
      </c>
      <c r="AA164" s="21">
        <f>EXP(-LN(2)/25)*AA163+(1-EXP(-LN(2)/25))/(LN(2)/25)*Calculateur!V164*Calculateur!X164*VLOOKUP('Données projet'!$B$9,Paramètres!$A$1:$I$89,3,0)*0.475*44/12</f>
        <v>0.49669363595254395</v>
      </c>
      <c r="AB164" s="21">
        <f>EXP(-LN(2)/2)*AB163+(1-EXP(-LN(2)/2))/(LN(2)/2)*V164*Y164*VLOOKUP('Données projet'!$B$9,Paramètres!$A$1:$I$89,3,0)*0.475*44/12</f>
        <v>3.8177779401971567E-21</v>
      </c>
      <c r="AC164" s="22">
        <f t="shared" si="163"/>
        <v>5.995659634362843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-3.4705882352941178</v>
      </c>
      <c r="AI164" s="13">
        <f>IF('Données projet'!$A$62&gt;35,AI163+AH164-AQ163,IF(A164&lt;'Données projet'!$A$62,$AF$205^A164,IF(A164='Données projet'!$A$62,'Données projet'!$B$62,AI163+AH164-AQ163)))</f>
        <v>247.88235294117626</v>
      </c>
      <c r="AJ164" s="13">
        <f>AI164*VLOOKUP('Données projet'!$B$10,Paramètres!$A$1:$I$89,3,0)*VLOOKUP('Données projet'!$B$10,Paramètres!$A$1:$I$89,5,0)</f>
        <v>224.28395294117627</v>
      </c>
      <c r="AK164" s="13">
        <f t="shared" si="164"/>
        <v>55.04493408343513</v>
      </c>
      <c r="AL164" s="20">
        <f t="shared" si="165"/>
        <v>486.49781156786486</v>
      </c>
      <c r="AM164" s="59">
        <f t="shared" si="113"/>
        <v>779.83114490119817</v>
      </c>
      <c r="AN164" s="59">
        <f ca="1">AVERAGE(OFFSET($AM$3,0,0,'Données projet'!$E$10+1,1))-AVERAGE(OFFSET($H$3,0,0,'Données projet'!$E$10+1,1))</f>
        <v>387.43382681395963</v>
      </c>
      <c r="AO164" s="59">
        <f t="shared" si="144"/>
        <v>184.78537400115721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29.363468833051726</v>
      </c>
      <c r="AV164" s="21">
        <f>EXP(-LN(2)/25)*AV163+(1-EXP(-LN(2)/25))/(LN(2)/25)*Calculateur!AQ164*Calculateur!AS164*VLOOKUP('Données projet'!$B$10,Paramètres!$A$1:$I$89,3,0)*0.475*44/12</f>
        <v>17.487097586067335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46.850566419119062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169.26131760015181</v>
      </c>
      <c r="T165" s="59">
        <f t="shared" si="142"/>
        <v>395.66019987830481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5.3911346292195486</v>
      </c>
      <c r="AA165" s="21">
        <f>EXP(-LN(2)/25)*AA164+(1-EXP(-LN(2)/25))/(LN(2)/25)*Calculateur!V165*Calculateur!X165*VLOOKUP('Données projet'!$B$9,Paramètres!$A$1:$I$89,3,0)*0.475*44/12</f>
        <v>0.48311152235743854</v>
      </c>
      <c r="AB165" s="21">
        <f>EXP(-LN(2)/2)*AB164+(1-EXP(-LN(2)/2))/(LN(2)/2)*V165*Y165*VLOOKUP('Données projet'!$B$9,Paramètres!$A$1:$I$89,3,0)*0.475*44/12</f>
        <v>2.6995766705778191E-21</v>
      </c>
      <c r="AC165" s="22">
        <f t="shared" si="163"/>
        <v>5.8742461515769868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-3.4705882352941178</v>
      </c>
      <c r="AI165" s="13">
        <f>IF('Données projet'!$A$62&gt;35,AI164+AH165-AQ164,IF(A165&lt;'Données projet'!$A$62,$AF$205^A165,IF(A165='Données projet'!$A$62,'Données projet'!$B$62,AI164+AH165-AQ164)))</f>
        <v>244.41176470588215</v>
      </c>
      <c r="AJ165" s="13">
        <f>AI165*VLOOKUP('Données projet'!$B$10,Paramètres!$A$1:$I$89,3,0)*VLOOKUP('Données projet'!$B$10,Paramètres!$A$1:$I$89,5,0)</f>
        <v>221.14376470588218</v>
      </c>
      <c r="AK165" s="13">
        <f t="shared" si="164"/>
        <v>54.36340225513532</v>
      </c>
      <c r="AL165" s="20">
        <f t="shared" si="165"/>
        <v>479.84164912377219</v>
      </c>
      <c r="AM165" s="59">
        <f t="shared" si="113"/>
        <v>773.17498245710544</v>
      </c>
      <c r="AN165" s="59">
        <f ca="1">AVERAGE(OFFSET($AM$3,0,0,'Données projet'!$E$10+1,1))-AVERAGE(OFFSET($H$3,0,0,'Données projet'!$E$10+1,1))</f>
        <v>387.43382681395963</v>
      </c>
      <c r="AO165" s="59">
        <f t="shared" si="144"/>
        <v>184.78537400115721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28.787669119183111</v>
      </c>
      <c r="AV165" s="21">
        <f>EXP(-LN(2)/25)*AV164+(1-EXP(-LN(2)/25))/(LN(2)/25)*Calculateur!AQ165*Calculateur!AS165*VLOOKUP('Données projet'!$B$10,Paramètres!$A$1:$I$89,3,0)*0.475*44/12</f>
        <v>17.008911982969828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45.796581102152942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169.26131760015181</v>
      </c>
      <c r="T166" s="59">
        <f t="shared" si="142"/>
        <v>395.66019987830481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5.2854177674079876</v>
      </c>
      <c r="AA166" s="21">
        <f>EXP(-LN(2)/25)*AA165+(1-EXP(-LN(2)/25))/(LN(2)/25)*Calculateur!V166*Calculateur!X166*VLOOKUP('Données projet'!$B$9,Paramètres!$A$1:$I$89,3,0)*0.475*44/12</f>
        <v>0.46990081237284359</v>
      </c>
      <c r="AB166" s="21">
        <f>EXP(-LN(2)/2)*AB165+(1-EXP(-LN(2)/2))/(LN(2)/2)*V166*Y166*VLOOKUP('Données projet'!$B$9,Paramètres!$A$1:$I$89,3,0)*0.475*44/12</f>
        <v>1.9088889700985783E-21</v>
      </c>
      <c r="AC166" s="22">
        <f t="shared" si="163"/>
        <v>5.7553185797808313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-3.4705882352941178</v>
      </c>
      <c r="AI166" s="13">
        <f>IF('Données projet'!$A$62&gt;35,AI165+AH166-AQ165,IF(A166&lt;'Données projet'!$A$62,$AF$205^A166,IF(A166='Données projet'!$A$62,'Données projet'!$B$62,AI165+AH166-AQ165)))</f>
        <v>240.94117647058803</v>
      </c>
      <c r="AJ166" s="13">
        <f>AI166*VLOOKUP('Données projet'!$B$10,Paramètres!$A$1:$I$89,3,0)*VLOOKUP('Données projet'!$B$10,Paramètres!$A$1:$I$89,5,0)</f>
        <v>218.00357647058803</v>
      </c>
      <c r="AK166" s="13">
        <f t="shared" si="164"/>
        <v>53.680742984013051</v>
      </c>
      <c r="AL166" s="20">
        <f t="shared" si="165"/>
        <v>473.18352305009688</v>
      </c>
      <c r="AM166" s="59">
        <f t="shared" si="113"/>
        <v>766.51685638343019</v>
      </c>
      <c r="AN166" s="59">
        <f ca="1">AVERAGE(OFFSET($AM$3,0,0,'Données projet'!$E$10+1,1))-AVERAGE(OFFSET($H$3,0,0,'Données projet'!$E$10+1,1))</f>
        <v>387.43382681395963</v>
      </c>
      <c r="AO166" s="59">
        <f t="shared" si="144"/>
        <v>184.78537400115721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28.223160486500312</v>
      </c>
      <c r="AV166" s="21">
        <f>EXP(-LN(2)/25)*AV165+(1-EXP(-LN(2)/25))/(LN(2)/25)*Calculateur!AQ166*Calculateur!AS166*VLOOKUP('Données projet'!$B$10,Paramètres!$A$1:$I$89,3,0)*0.475*44/12</f>
        <v>16.54380239033571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44.766962876836018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169.26131760015181</v>
      </c>
      <c r="T167" s="59">
        <f t="shared" si="142"/>
        <v>395.66019987830481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5.1817739487756329</v>
      </c>
      <c r="AA167" s="21">
        <f>EXP(-LN(2)/25)*AA166+(1-EXP(-LN(2)/25))/(LN(2)/25)*Calculateur!V167*Calculateur!X167*VLOOKUP('Données projet'!$B$9,Paramètres!$A$1:$I$89,3,0)*0.475*44/12</f>
        <v>0.45705134994749841</v>
      </c>
      <c r="AB167" s="21">
        <f>EXP(-LN(2)/2)*AB166+(1-EXP(-LN(2)/2))/(LN(2)/2)*V167*Y167*VLOOKUP('Données projet'!$B$9,Paramètres!$A$1:$I$89,3,0)*0.475*44/12</f>
        <v>1.3497883352889095E-21</v>
      </c>
      <c r="AC167" s="22">
        <f t="shared" si="163"/>
        <v>5.6388252987231313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-3.4705882352941178</v>
      </c>
      <c r="AI167" s="13">
        <f>IF('Données projet'!$A$62&gt;35,AI166+AH167-AQ166,IF(A167&lt;'Données projet'!$A$62,$AF$205^A167,IF(A167='Données projet'!$A$62,'Données projet'!$B$62,AI166+AH167-AQ166)))</f>
        <v>237.47058823529392</v>
      </c>
      <c r="AJ167" s="13">
        <f>AI167*VLOOKUP('Données projet'!$B$10,Paramètres!$A$1:$I$89,3,0)*VLOOKUP('Données projet'!$B$10,Paramètres!$A$1:$I$89,5,0)</f>
        <v>214.86338823529394</v>
      </c>
      <c r="AK167" s="13">
        <f t="shared" si="164"/>
        <v>52.996938123253891</v>
      </c>
      <c r="AL167" s="20">
        <f t="shared" si="165"/>
        <v>466.52340174113743</v>
      </c>
      <c r="AM167" s="59">
        <f t="shared" si="113"/>
        <v>759.85673507447075</v>
      </c>
      <c r="AN167" s="59">
        <f ca="1">AVERAGE(OFFSET($AM$3,0,0,'Données projet'!$E$10+1,1))-AVERAGE(OFFSET($H$3,0,0,'Données projet'!$E$10+1,1))</f>
        <v>387.43382681395963</v>
      </c>
      <c r="AO167" s="59">
        <f t="shared" si="144"/>
        <v>184.78537400115721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27.669721523788155</v>
      </c>
      <c r="AV167" s="21">
        <f>EXP(-LN(2)/25)*AV166+(1-EXP(-LN(2)/25))/(LN(2)/25)*Calculateur!AQ167*Calculateur!AS167*VLOOKUP('Données projet'!$B$10,Paramètres!$A$1:$I$89,3,0)*0.475*44/12</f>
        <v>16.091411243971223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43.761132767759378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169.26131760015181</v>
      </c>
      <c r="T168" s="59">
        <f t="shared" si="142"/>
        <v>395.66019987830481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5.0801625222101707</v>
      </c>
      <c r="AA168" s="21">
        <f>EXP(-LN(2)/25)*AA167+(1-EXP(-LN(2)/25))/(LN(2)/25)*Calculateur!V168*Calculateur!X168*VLOOKUP('Données projet'!$B$9,Paramètres!$A$1:$I$89,3,0)*0.475*44/12</f>
        <v>0.4445532567478982</v>
      </c>
      <c r="AB168" s="21">
        <f>EXP(-LN(2)/2)*AB167+(1-EXP(-LN(2)/2))/(LN(2)/2)*V168*Y168*VLOOKUP('Données projet'!$B$9,Paramètres!$A$1:$I$89,3,0)*0.475*44/12</f>
        <v>9.5444448504928917E-22</v>
      </c>
      <c r="AC168" s="22">
        <f t="shared" si="163"/>
        <v>5.5247157789580692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-3.4705882352941178</v>
      </c>
      <c r="AI168" s="13">
        <f>IF('Données projet'!$A$62&gt;35,AI167+AH168-AQ167,IF(A168&lt;'Données projet'!$A$62,$AF$205^A168,IF(A168='Données projet'!$A$62,'Données projet'!$B$62,AI167+AH168-AQ167)))</f>
        <v>233.9999999999998</v>
      </c>
      <c r="AJ168" s="13">
        <f>AI168*VLOOKUP('Données projet'!$B$10,Paramètres!$A$1:$I$89,3,0)*VLOOKUP('Données projet'!$B$10,Paramètres!$A$1:$I$89,5,0)</f>
        <v>211.72319999999982</v>
      </c>
      <c r="AK168" s="13">
        <f t="shared" si="164"/>
        <v>52.311968964212028</v>
      </c>
      <c r="AL168" s="20">
        <f t="shared" si="165"/>
        <v>459.86125261266892</v>
      </c>
      <c r="AM168" s="59">
        <f t="shared" si="113"/>
        <v>753.19458594600223</v>
      </c>
      <c r="AN168" s="59">
        <f ca="1">AVERAGE(OFFSET($AM$3,0,0,'Données projet'!$E$10+1,1))-AVERAGE(OFFSET($H$3,0,0,'Données projet'!$E$10+1,1))</f>
        <v>387.43382681395963</v>
      </c>
      <c r="AO168" s="59">
        <f t="shared" si="144"/>
        <v>184.78537400115721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27.127135161570347</v>
      </c>
      <c r="AV168" s="21">
        <f>EXP(-LN(2)/25)*AV167+(1-EXP(-LN(2)/25))/(LN(2)/25)*Calculateur!AQ168*Calculateur!AS168*VLOOKUP('Données projet'!$B$10,Paramètres!$A$1:$I$89,3,0)*0.475*44/12</f>
        <v>15.651390757294291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42.778525918864638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169.26131760015181</v>
      </c>
      <c r="T169" s="59">
        <f t="shared" si="142"/>
        <v>395.66019987830481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4.9805436337428075</v>
      </c>
      <c r="AA169" s="21">
        <f>EXP(-LN(2)/25)*AA168+(1-EXP(-LN(2)/25))/(LN(2)/25)*Calculateur!V169*Calculateur!X169*VLOOKUP('Données projet'!$B$9,Paramètres!$A$1:$I$89,3,0)*0.475*44/12</f>
        <v>0.43239692456408718</v>
      </c>
      <c r="AB169" s="21">
        <f>EXP(-LN(2)/2)*AB168+(1-EXP(-LN(2)/2))/(LN(2)/2)*V169*Y169*VLOOKUP('Données projet'!$B$9,Paramètres!$A$1:$I$89,3,0)*0.475*44/12</f>
        <v>6.7489416764445477E-22</v>
      </c>
      <c r="AC169" s="22">
        <f t="shared" si="163"/>
        <v>5.4129405583068948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-3.4705882352941178</v>
      </c>
      <c r="AI169" s="13">
        <f>IF('Données projet'!$A$62&gt;35,AI168+AH169-AQ168,IF(A169&lt;'Données projet'!$A$62,$AF$205^A169,IF(A169='Données projet'!$A$62,'Données projet'!$B$62,AI168+AH169-AQ168)))</f>
        <v>230.52941176470569</v>
      </c>
      <c r="AJ169" s="13">
        <f>AI169*VLOOKUP('Données projet'!$B$10,Paramètres!$A$1:$I$89,3,0)*VLOOKUP('Données projet'!$B$10,Paramètres!$A$1:$I$89,5,0)</f>
        <v>208.58301176470567</v>
      </c>
      <c r="AK169" s="13">
        <f t="shared" si="164"/>
        <v>51.625816210416218</v>
      </c>
      <c r="AL169" s="20">
        <f t="shared" si="165"/>
        <v>453.19704205667063</v>
      </c>
      <c r="AM169" s="59">
        <f t="shared" si="113"/>
        <v>746.53037539000388</v>
      </c>
      <c r="AN169" s="59">
        <f ca="1">AVERAGE(OFFSET($AM$3,0,0,'Données projet'!$E$10+1,1))-AVERAGE(OFFSET($H$3,0,0,'Données projet'!$E$10+1,1))</f>
        <v>387.43382681395963</v>
      </c>
      <c r="AO169" s="59">
        <f t="shared" si="144"/>
        <v>184.78537400115721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26.595188586970629</v>
      </c>
      <c r="AV169" s="21">
        <f>EXP(-LN(2)/25)*AV168+(1-EXP(-LN(2)/25))/(LN(2)/25)*Calculateur!AQ169*Calculateur!AS169*VLOOKUP('Données projet'!$B$10,Paramètres!$A$1:$I$89,3,0)*0.475*44/12</f>
        <v>15.223402653965209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41.818591240935838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169.26131760015181</v>
      </c>
      <c r="T170" s="59">
        <f t="shared" si="142"/>
        <v>395.66019987830481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4.8828782109167665</v>
      </c>
      <c r="AA170" s="21">
        <f>EXP(-LN(2)/25)*AA169+(1-EXP(-LN(2)/25))/(LN(2)/25)*Calculateur!V170*Calculateur!X170*VLOOKUP('Données projet'!$B$9,Paramètres!$A$1:$I$89,3,0)*0.475*44/12</f>
        <v>0.42057300792311619</v>
      </c>
      <c r="AB170" s="21">
        <f>EXP(-LN(2)/2)*AB169+(1-EXP(-LN(2)/2))/(LN(2)/2)*V170*Y170*VLOOKUP('Données projet'!$B$9,Paramètres!$A$1:$I$89,3,0)*0.475*44/12</f>
        <v>4.7722224252464459E-22</v>
      </c>
      <c r="AC170" s="22">
        <f t="shared" si="163"/>
        <v>5.303451218839883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-3.4705882352941178</v>
      </c>
      <c r="AI170" s="13">
        <f>IF('Données projet'!$A$62&gt;35,AI169+AH170-AQ169,IF(A170&lt;'Données projet'!$A$62,$AF$205^A170,IF(A170='Données projet'!$A$62,'Données projet'!$B$62,AI169+AH170-AQ169)))</f>
        <v>227.05882352941157</v>
      </c>
      <c r="AJ170" s="13">
        <f>AI170*VLOOKUP('Données projet'!$B$10,Paramètres!$A$1:$I$89,3,0)*VLOOKUP('Données projet'!$B$10,Paramètres!$A$1:$I$89,5,0)</f>
        <v>205.44282352941158</v>
      </c>
      <c r="AK170" s="13">
        <f t="shared" si="164"/>
        <v>50.938459949962592</v>
      </c>
      <c r="AL170" s="20">
        <f t="shared" si="165"/>
        <v>446.53073539324333</v>
      </c>
      <c r="AM170" s="59">
        <f t="shared" si="113"/>
        <v>739.86406872657665</v>
      </c>
      <c r="AN170" s="59">
        <f ca="1">AVERAGE(OFFSET($AM$3,0,0,'Données projet'!$E$10+1,1))-AVERAGE(OFFSET($H$3,0,0,'Données projet'!$E$10+1,1))</f>
        <v>387.43382681395963</v>
      </c>
      <c r="AO170" s="59">
        <f t="shared" si="144"/>
        <v>184.78537400115721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26.073673160243438</v>
      </c>
      <c r="AV170" s="21">
        <f>EXP(-LN(2)/25)*AV169+(1-EXP(-LN(2)/25))/(LN(2)/25)*Calculateur!AQ170*Calculateur!AS170*VLOOKUP('Données projet'!$B$10,Paramètres!$A$1:$I$89,3,0)*0.475*44/12</f>
        <v>14.807117907828578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40.880791068072014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169.26131760015181</v>
      </c>
      <c r="T171" s="59">
        <f t="shared" si="142"/>
        <v>395.66019987830481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4.7871279474623183</v>
      </c>
      <c r="AA171" s="21">
        <f>EXP(-LN(2)/25)*AA170+(1-EXP(-LN(2)/25))/(LN(2)/25)*Calculateur!V171*Calculateur!X171*VLOOKUP('Données projet'!$B$9,Paramètres!$A$1:$I$89,3,0)*0.475*44/12</f>
        <v>0.40907241690448531</v>
      </c>
      <c r="AB171" s="21">
        <f>EXP(-LN(2)/2)*AB170+(1-EXP(-LN(2)/2))/(LN(2)/2)*V171*Y171*VLOOKUP('Données projet'!$B$9,Paramètres!$A$1:$I$89,3,0)*0.475*44/12</f>
        <v>3.3744708382222738E-22</v>
      </c>
      <c r="AC171" s="22">
        <f t="shared" si="163"/>
        <v>5.1962003643668035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>
        <f>VLOOKUP(A171,'Données projet'!$A$61:$I$81,2,0)</f>
        <v>369</v>
      </c>
      <c r="AG171" s="12">
        <f>VLOOKUP(A171,'Données projet'!$A$61:$I$81,9,0)</f>
        <v>-3.4705882352941178</v>
      </c>
      <c r="AH171" s="12">
        <f t="array" ref="AH171">INDEX(AG:AG,MIN(IF(ISNUMBER(AG171:AG367),ROW(AG171:AG367),"")))</f>
        <v>-3.4705882352941178</v>
      </c>
      <c r="AI171" s="13">
        <f>IF('Données projet'!$A$62&gt;35,AI170+AH171-AQ170,IF(A171&lt;'Données projet'!$A$62,$AF$205^A171,IF(A171='Données projet'!$A$62,'Données projet'!$B$62,AI170+AH171-AQ170)))</f>
        <v>223.58823529411745</v>
      </c>
      <c r="AJ171" s="13">
        <f>AI171*VLOOKUP('Données projet'!$B$10,Paramètres!$A$1:$I$89,3,0)*VLOOKUP('Données projet'!$B$10,Paramètres!$A$1:$I$89,5,0)</f>
        <v>202.30263529411749</v>
      </c>
      <c r="AK171" s="13">
        <f t="shared" si="164"/>
        <v>50.249879626168386</v>
      </c>
      <c r="AL171" s="20">
        <f t="shared" si="165"/>
        <v>439.86229681949789</v>
      </c>
      <c r="AM171" s="59">
        <f t="shared" si="113"/>
        <v>733.1956301528312</v>
      </c>
      <c r="AN171" s="59">
        <f ca="1">AVERAGE(OFFSET($AM$3,0,0,'Données projet'!$E$10+1,1))-AVERAGE(OFFSET($H$3,0,0,'Données projet'!$E$10+1,1))</f>
        <v>387.43382681395963</v>
      </c>
      <c r="AO171" s="59">
        <f t="shared" si="144"/>
        <v>184.78537400115721</v>
      </c>
      <c r="AP171" s="15">
        <f>IF(ISNA(VLOOKUP(A171,'Données projet'!$A$61:$I$81,3,0)),0,VLOOKUP(A171,'Données projet'!$A$61:$I$81,3,0))</f>
        <v>13</v>
      </c>
      <c r="AQ171" s="15">
        <f>IF(ISNA(VLOOKUP(A171,'Données projet'!$A$61:$I$81,4,0)),0,VLOOKUP(A171,'Données projet'!$A$61:$I$81,4,0))</f>
        <v>41</v>
      </c>
      <c r="AR171" s="16">
        <f>IF(ISNA(VLOOKUP(A171,'Données projet'!$A$61:$I$81,5,0)),0%,VLOOKUP(A171,'Données projet'!$A$61:$I$81,5,0)*VLOOKUP('Données projet'!$B$10,Paramètres!$A$1:$I$89,7,0))</f>
        <v>0.215</v>
      </c>
      <c r="AS171" s="16">
        <f>IF(ISNA(VLOOKUP(A171,'Données projet'!$A$61:$I$81,6,0)),0%,VLOOKUP(A171,'Données projet'!$A$61:$I$81,6,0)*VLOOKUP('Données projet'!$B$10,Paramètres!$A$1:$I$89,7,0))</f>
        <v>0.17200000000000001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34.37940825166482</v>
      </c>
      <c r="AV171" s="21">
        <f>EXP(-LN(2)/25)*AV170+(1-EXP(-LN(2)/25))/(LN(2)/25)*Calculateur!AQ171*Calculateur!AS171*VLOOKUP('Données projet'!$B$10,Paramètres!$A$1:$I$89,3,0)*0.475*44/12</f>
        <v>21.428062838771275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55.807471090436096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169.26131760015181</v>
      </c>
      <c r="T172" s="59">
        <f t="shared" si="142"/>
        <v>395.66019987830481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4.6932552882723177</v>
      </c>
      <c r="AA172" s="21">
        <f>EXP(-LN(2)/25)*AA171+(1-EXP(-LN(2)/25))/(LN(2)/25)*Calculateur!V172*Calculateur!X172*VLOOKUP('Données projet'!$B$9,Paramètres!$A$1:$I$89,3,0)*0.475*44/12</f>
        <v>0.39788631015204873</v>
      </c>
      <c r="AB172" s="21">
        <f>EXP(-LN(2)/2)*AB171+(1-EXP(-LN(2)/2))/(LN(2)/2)*V172*Y172*VLOOKUP('Données projet'!$B$9,Paramètres!$A$1:$I$89,3,0)*0.475*44/12</f>
        <v>2.3861112126232229E-22</v>
      </c>
      <c r="AC172" s="22">
        <f t="shared" si="163"/>
        <v>5.0911415984243664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3.3333333333333335</v>
      </c>
      <c r="AI172" s="13">
        <f>IF('Données projet'!$A$62&gt;35,AI171+AH172-AQ171,IF(A172&lt;'Données projet'!$A$62,$AF$205^A172,IF(A172='Données projet'!$A$62,'Données projet'!$B$62,AI171+AH172-AQ171)))</f>
        <v>185.9215686274508</v>
      </c>
      <c r="AJ172" s="13">
        <f>AI172*VLOOKUP('Données projet'!$B$10,Paramètres!$A$1:$I$89,3,0)*VLOOKUP('Données projet'!$B$10,Paramètres!$A$1:$I$89,5,0)</f>
        <v>168.22183529411745</v>
      </c>
      <c r="AK172" s="13">
        <f t="shared" si="164"/>
        <v>42.69153045558064</v>
      </c>
      <c r="AL172" s="20">
        <f t="shared" si="165"/>
        <v>367.34077868072421</v>
      </c>
      <c r="AM172" s="59">
        <f t="shared" si="113"/>
        <v>660.67411201405753</v>
      </c>
      <c r="AN172" s="59">
        <f ca="1">AVERAGE(OFFSET($AM$3,0,0,'Données projet'!$E$10+1,1))-AVERAGE(OFFSET($H$3,0,0,'Données projet'!$E$10+1,1))</f>
        <v>387.43382681395963</v>
      </c>
      <c r="AO172" s="59">
        <f t="shared" si="144"/>
        <v>184.78537400115721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33.705249025218151</v>
      </c>
      <c r="AV172" s="21">
        <f>EXP(-LN(2)/25)*AV171+(1-EXP(-LN(2)/25))/(LN(2)/25)*Calculateur!AQ172*Calculateur!AS172*VLOOKUP('Données projet'!$B$10,Paramètres!$A$1:$I$89,3,0)*0.475*44/12</f>
        <v>20.842111333592225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54.54736035881038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169.26131760015181</v>
      </c>
      <c r="T173" s="59">
        <f t="shared" si="142"/>
        <v>395.66019987830481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4.601223414672365</v>
      </c>
      <c r="AA173" s="21">
        <f>EXP(-LN(2)/25)*AA172+(1-EXP(-LN(2)/25))/(LN(2)/25)*Calculateur!V173*Calculateur!X173*VLOOKUP('Données projet'!$B$9,Paramètres!$A$1:$I$89,3,0)*0.475*44/12</f>
        <v>0.38700608807700926</v>
      </c>
      <c r="AB173" s="21">
        <f>EXP(-LN(2)/2)*AB172+(1-EXP(-LN(2)/2))/(LN(2)/2)*V173*Y173*VLOOKUP('Données projet'!$B$9,Paramètres!$A$1:$I$89,3,0)*0.475*44/12</f>
        <v>1.6872354191111369E-22</v>
      </c>
      <c r="AC173" s="22">
        <f t="shared" si="163"/>
        <v>4.9882295027493742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3.3333333333333335</v>
      </c>
      <c r="AI173" s="13">
        <f>IF('Données projet'!$A$62&gt;35,AI172+AH173-AQ172,IF(A173&lt;'Données projet'!$A$62,$AF$205^A173,IF(A173='Données projet'!$A$62,'Données projet'!$B$62,AI172+AH173-AQ172)))</f>
        <v>189.25490196078414</v>
      </c>
      <c r="AJ173" s="13">
        <f>AI173*VLOOKUP('Données projet'!$B$10,Paramètres!$A$1:$I$89,3,0)*VLOOKUP('Données projet'!$B$10,Paramètres!$A$1:$I$89,5,0)</f>
        <v>171.23783529411747</v>
      </c>
      <c r="AK173" s="13">
        <f t="shared" si="164"/>
        <v>43.367140345686025</v>
      </c>
      <c r="AL173" s="20">
        <f t="shared" si="165"/>
        <v>373.77033257265776</v>
      </c>
      <c r="AM173" s="59">
        <f t="shared" si="113"/>
        <v>667.10366590599108</v>
      </c>
      <c r="AN173" s="59">
        <f ca="1">AVERAGE(OFFSET($AM$3,0,0,'Données projet'!$E$10+1,1))-AVERAGE(OFFSET($H$3,0,0,'Données projet'!$E$10+1,1))</f>
        <v>387.43382681395963</v>
      </c>
      <c r="AO173" s="59">
        <f t="shared" si="144"/>
        <v>184.78537400115721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33.04430965000558</v>
      </c>
      <c r="AV173" s="21">
        <f>EXP(-LN(2)/25)*AV172+(1-EXP(-LN(2)/25))/(LN(2)/25)*Calculateur!AQ173*Calculateur!AS173*VLOOKUP('Données projet'!$B$10,Paramètres!$A$1:$I$89,3,0)*0.475*44/12</f>
        <v>20.272182703136146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53.316492353141726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169.26131760015181</v>
      </c>
      <c r="T174" s="59">
        <f t="shared" si="142"/>
        <v>395.66019987830481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4.5109962299798072</v>
      </c>
      <c r="AA174" s="21">
        <f>EXP(-LN(2)/25)*AA173+(1-EXP(-LN(2)/25))/(LN(2)/25)*Calculateur!V174*Calculateur!X174*VLOOKUP('Données projet'!$B$9,Paramètres!$A$1:$I$89,3,0)*0.475*44/12</f>
        <v>0.37642338624677779</v>
      </c>
      <c r="AB174" s="21">
        <f>EXP(-LN(2)/2)*AB173+(1-EXP(-LN(2)/2))/(LN(2)/2)*V174*Y174*VLOOKUP('Données projet'!$B$9,Paramètres!$A$1:$I$89,3,0)*0.475*44/12</f>
        <v>1.1930556063116115E-22</v>
      </c>
      <c r="AC174" s="22">
        <f t="shared" si="163"/>
        <v>4.8874196162265848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3.3333333333333335</v>
      </c>
      <c r="AI174" s="13">
        <f>IF('Données projet'!$A$62&gt;35,AI173+AH174-AQ173,IF(A174&lt;'Données projet'!$A$62,$AF$205^A174,IF(A174='Données projet'!$A$62,'Données projet'!$B$62,AI173+AH174-AQ173)))</f>
        <v>192.58823529411748</v>
      </c>
      <c r="AJ174" s="13">
        <f>AI174*VLOOKUP('Données projet'!$B$10,Paramètres!$A$1:$I$89,3,0)*VLOOKUP('Données projet'!$B$10,Paramètres!$A$1:$I$89,5,0)</f>
        <v>174.25383529411749</v>
      </c>
      <c r="AK174" s="13">
        <f t="shared" si="164"/>
        <v>44.041366480741807</v>
      </c>
      <c r="AL174" s="20">
        <f t="shared" si="165"/>
        <v>380.19747642454655</v>
      </c>
      <c r="AM174" s="59">
        <f t="shared" si="113"/>
        <v>673.53080975787987</v>
      </c>
      <c r="AN174" s="59">
        <f ca="1">AVERAGE(OFFSET($AM$3,0,0,'Données projet'!$E$10+1,1))-AVERAGE(OFFSET($H$3,0,0,'Données projet'!$E$10+1,1))</f>
        <v>387.43382681395963</v>
      </c>
      <c r="AO174" s="59">
        <f t="shared" si="144"/>
        <v>184.78537400115721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32.396330892807711</v>
      </c>
      <c r="AV174" s="21">
        <f>EXP(-LN(2)/25)*AV173+(1-EXP(-LN(2)/25))/(LN(2)/25)*Calculateur!AQ174*Calculateur!AS174*VLOOKUP('Données projet'!$B$10,Paramètres!$A$1:$I$89,3,0)*0.475*44/12</f>
        <v>19.717838801051133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52.114169693858841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169.26131760015181</v>
      </c>
      <c r="T175" s="59">
        <f t="shared" si="142"/>
        <v>395.66019987830481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4.4225383453459219</v>
      </c>
      <c r="AA175" s="21">
        <f>EXP(-LN(2)/25)*AA174+(1-EXP(-LN(2)/25))/(LN(2)/25)*Calculateur!V175*Calculateur!X175*VLOOKUP('Données projet'!$B$9,Paramètres!$A$1:$I$89,3,0)*0.475*44/12</f>
        <v>0.36613006895461409</v>
      </c>
      <c r="AB175" s="21">
        <f>EXP(-LN(2)/2)*AB174+(1-EXP(-LN(2)/2))/(LN(2)/2)*V175*Y175*VLOOKUP('Données projet'!$B$9,Paramètres!$A$1:$I$89,3,0)*0.475*44/12</f>
        <v>8.4361770955556846E-23</v>
      </c>
      <c r="AC175" s="22">
        <f t="shared" si="163"/>
        <v>4.7886684143005365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3.3333333333333335</v>
      </c>
      <c r="AI175" s="13">
        <f>IF('Données projet'!$A$62&gt;35,AI174+AH175-AQ174,IF(A175&lt;'Données projet'!$A$62,$AF$205^A175,IF(A175='Données projet'!$A$62,'Données projet'!$B$62,AI174+AH175-AQ174)))</f>
        <v>195.92156862745082</v>
      </c>
      <c r="AJ175" s="13">
        <f>AI175*VLOOKUP('Données projet'!$B$10,Paramètres!$A$1:$I$89,3,0)*VLOOKUP('Données projet'!$B$10,Paramètres!$A$1:$I$89,5,0)</f>
        <v>177.26983529411751</v>
      </c>
      <c r="AK175" s="13">
        <f t="shared" si="164"/>
        <v>44.714235574466507</v>
      </c>
      <c r="AL175" s="20">
        <f t="shared" si="165"/>
        <v>386.62225676278376</v>
      </c>
      <c r="AM175" s="59">
        <f t="shared" si="113"/>
        <v>679.95559009611702</v>
      </c>
      <c r="AN175" s="59">
        <f ca="1">AVERAGE(OFFSET($AM$3,0,0,'Données projet'!$E$10+1,1))-AVERAGE(OFFSET($H$3,0,0,'Données projet'!$E$10+1,1))</f>
        <v>387.43382681395963</v>
      </c>
      <c r="AO175" s="59">
        <f t="shared" si="144"/>
        <v>184.78537400115721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31.761058603810476</v>
      </c>
      <c r="AV175" s="21">
        <f>EXP(-LN(2)/25)*AV174+(1-EXP(-LN(2)/25))/(LN(2)/25)*Calculateur!AQ175*Calculateur!AS175*VLOOKUP('Données projet'!$B$10,Paramètres!$A$1:$I$89,3,0)*0.475*44/12</f>
        <v>19.178653462120312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50.939712065930792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169.26131760015181</v>
      </c>
      <c r="T176" s="59">
        <f t="shared" si="142"/>
        <v>395.66019987830481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4.3358150658757246</v>
      </c>
      <c r="AA176" s="21">
        <f>EXP(-LN(2)/25)*AA175+(1-EXP(-LN(2)/25))/(LN(2)/25)*Calculateur!V176*Calculateur!X176*VLOOKUP('Données projet'!$B$9,Paramètres!$A$1:$I$89,3,0)*0.475*44/12</f>
        <v>0.35611822296510665</v>
      </c>
      <c r="AB176" s="21">
        <f>EXP(-LN(2)/2)*AB175+(1-EXP(-LN(2)/2))/(LN(2)/2)*V176*Y176*VLOOKUP('Données projet'!$B$9,Paramètres!$A$1:$I$89,3,0)*0.475*44/12</f>
        <v>5.9652780315580573E-23</v>
      </c>
      <c r="AC176" s="22">
        <f t="shared" si="163"/>
        <v>4.6919332888408309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3.3333333333333335</v>
      </c>
      <c r="AI176" s="13">
        <f>IF('Données projet'!$A$62&gt;35,AI175+AH176-AQ175,IF(A176&lt;'Données projet'!$A$62,$AF$205^A176,IF(A176='Données projet'!$A$62,'Données projet'!$B$62,AI175+AH176-AQ175)))</f>
        <v>199.25490196078417</v>
      </c>
      <c r="AJ176" s="13">
        <f>AI176*VLOOKUP('Données projet'!$B$10,Paramètres!$A$1:$I$89,3,0)*VLOOKUP('Données projet'!$B$10,Paramètres!$A$1:$I$89,5,0)</f>
        <v>180.2858352941175</v>
      </c>
      <c r="AK176" s="13">
        <f t="shared" si="164"/>
        <v>45.385773379494488</v>
      </c>
      <c r="AL176" s="20">
        <f t="shared" si="165"/>
        <v>393.0447184398742</v>
      </c>
      <c r="AM176" s="59">
        <f t="shared" si="113"/>
        <v>686.37805177320752</v>
      </c>
      <c r="AN176" s="59">
        <f ca="1">AVERAGE(OFFSET($AM$3,0,0,'Données projet'!$E$10+1,1))-AVERAGE(OFFSET($H$3,0,0,'Données projet'!$E$10+1,1))</f>
        <v>387.43382681395963</v>
      </c>
      <c r="AO176" s="59">
        <f t="shared" si="144"/>
        <v>184.78537400115721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31.13824361692264</v>
      </c>
      <c r="AV176" s="21">
        <f>EXP(-LN(2)/25)*AV175+(1-EXP(-LN(2)/25))/(LN(2)/25)*Calculateur!AQ176*Calculateur!AS176*VLOOKUP('Données projet'!$B$10,Paramètres!$A$1:$I$89,3,0)*0.475*44/12</f>
        <v>18.654212174637081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49.792455791559718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169.26131760015181</v>
      </c>
      <c r="T177" s="59">
        <f t="shared" si="142"/>
        <v>395.66019987830481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4.2507923770199607</v>
      </c>
      <c r="AA177" s="21">
        <f>EXP(-LN(2)/25)*AA176+(1-EXP(-LN(2)/25))/(LN(2)/25)*Calculateur!V177*Calculateur!X177*VLOOKUP('Données projet'!$B$9,Paramètres!$A$1:$I$89,3,0)*0.475*44/12</f>
        <v>0.3463801514306824</v>
      </c>
      <c r="AB177" s="21">
        <f>EXP(-LN(2)/2)*AB176+(1-EXP(-LN(2)/2))/(LN(2)/2)*V177*Y177*VLOOKUP('Données projet'!$B$9,Paramètres!$A$1:$I$89,3,0)*0.475*44/12</f>
        <v>4.2180885477778423E-23</v>
      </c>
      <c r="AC177" s="22">
        <f t="shared" si="163"/>
        <v>4.5971725284506428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3.3333333333333335</v>
      </c>
      <c r="AI177" s="13">
        <f>IF('Données projet'!$A$62&gt;35,AI176+AH177-AQ176,IF(A177&lt;'Données projet'!$A$62,$AF$205^A177,IF(A177='Données projet'!$A$62,'Données projet'!$B$62,AI176+AH177-AQ176)))</f>
        <v>202.58823529411751</v>
      </c>
      <c r="AJ177" s="13">
        <f>AI177*VLOOKUP('Données projet'!$B$10,Paramètres!$A$1:$I$89,3,0)*VLOOKUP('Données projet'!$B$10,Paramètres!$A$1:$I$89,5,0)</f>
        <v>183.30183529411752</v>
      </c>
      <c r="AK177" s="13">
        <f t="shared" si="164"/>
        <v>46.056004737442407</v>
      </c>
      <c r="AL177" s="20">
        <f t="shared" si="165"/>
        <v>399.4649047216335</v>
      </c>
      <c r="AM177" s="59">
        <f t="shared" si="113"/>
        <v>692.79823805496676</v>
      </c>
      <c r="AN177" s="59">
        <f ca="1">AVERAGE(OFFSET($AM$3,0,0,'Données projet'!$E$10+1,1))-AVERAGE(OFFSET($H$3,0,0,'Données projet'!$E$10+1,1))</f>
        <v>387.43382681395963</v>
      </c>
      <c r="AO177" s="59">
        <f t="shared" si="144"/>
        <v>184.78537400115721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30.527641652048043</v>
      </c>
      <c r="AV177" s="21">
        <f>EXP(-LN(2)/25)*AV176+(1-EXP(-LN(2)/25))/(LN(2)/25)*Calculateur!AQ177*Calculateur!AS177*VLOOKUP('Données projet'!$B$10,Paramètres!$A$1:$I$89,3,0)*0.475*44/12</f>
        <v>18.144111761739246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48.671753413787286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169.26131760015181</v>
      </c>
      <c r="T178" s="59">
        <f t="shared" si="142"/>
        <v>395.66019987830481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4.1674369312339383</v>
      </c>
      <c r="AA178" s="21">
        <f>EXP(-LN(2)/25)*AA177+(1-EXP(-LN(2)/25))/(LN(2)/25)*Calculateur!V178*Calculateur!X178*VLOOKUP('Données projet'!$B$9,Paramètres!$A$1:$I$89,3,0)*0.475*44/12</f>
        <v>0.33690836797446988</v>
      </c>
      <c r="AB178" s="21">
        <f>EXP(-LN(2)/2)*AB177+(1-EXP(-LN(2)/2))/(LN(2)/2)*V178*Y178*VLOOKUP('Données projet'!$B$9,Paramètres!$A$1:$I$89,3,0)*0.475*44/12</f>
        <v>2.9826390157790287E-23</v>
      </c>
      <c r="AC178" s="22">
        <f t="shared" si="163"/>
        <v>4.5043452992084081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3.3333333333333335</v>
      </c>
      <c r="AI178" s="13">
        <f>IF('Données projet'!$A$62&gt;35,AI177+AH178-AQ177,IF(A178&lt;'Données projet'!$A$62,$AF$205^A178,IF(A178='Données projet'!$A$62,'Données projet'!$B$62,AI177+AH178-AQ177)))</f>
        <v>205.92156862745085</v>
      </c>
      <c r="AJ178" s="13">
        <f>AI178*VLOOKUP('Données projet'!$B$10,Paramètres!$A$1:$I$89,3,0)*VLOOKUP('Données projet'!$B$10,Paramètres!$A$1:$I$89,5,0)</f>
        <v>186.31783529411751</v>
      </c>
      <c r="AK178" s="13">
        <f t="shared" si="164"/>
        <v>46.724953625586231</v>
      </c>
      <c r="AL178" s="20">
        <f t="shared" si="165"/>
        <v>405.88285736848405</v>
      </c>
      <c r="AM178" s="59">
        <f t="shared" si="113"/>
        <v>699.21619070181737</v>
      </c>
      <c r="AN178" s="59">
        <f ca="1">AVERAGE(OFFSET($AM$3,0,0,'Données projet'!$E$10+1,1))-AVERAGE(OFFSET($H$3,0,0,'Données projet'!$E$10+1,1))</f>
        <v>387.43382681395963</v>
      </c>
      <c r="AO178" s="59">
        <f t="shared" si="144"/>
        <v>184.78537400115721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29.929013219274214</v>
      </c>
      <c r="AV178" s="21">
        <f>EXP(-LN(2)/25)*AV177+(1-EXP(-LN(2)/25))/(LN(2)/25)*Calculateur!AQ178*Calculateur!AS178*VLOOKUP('Données projet'!$B$10,Paramètres!$A$1:$I$89,3,0)*0.475*44/12</f>
        <v>17.647960071457117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47.576973290731331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169.26131760015181</v>
      </c>
      <c r="T179" s="59">
        <f t="shared" si="142"/>
        <v>395.66019987830481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4.0857160348979784</v>
      </c>
      <c r="AA179" s="21">
        <f>EXP(-LN(2)/25)*AA178+(1-EXP(-LN(2)/25))/(LN(2)/25)*Calculateur!V179*Calculateur!X179*VLOOKUP('Données projet'!$B$9,Paramètres!$A$1:$I$89,3,0)*0.475*44/12</f>
        <v>0.32769559093496692</v>
      </c>
      <c r="AB179" s="21">
        <f>EXP(-LN(2)/2)*AB178+(1-EXP(-LN(2)/2))/(LN(2)/2)*V179*Y179*VLOOKUP('Données projet'!$B$9,Paramètres!$A$1:$I$89,3,0)*0.475*44/12</f>
        <v>2.1090442738889211E-23</v>
      </c>
      <c r="AC179" s="22">
        <f t="shared" si="163"/>
        <v>4.4134116258329454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3.3333333333333335</v>
      </c>
      <c r="AI179" s="13">
        <f>IF('Données projet'!$A$62&gt;35,AI178+AH179-AQ178,IF(A179&lt;'Données projet'!$A$62,$AF$205^A179,IF(A179='Données projet'!$A$62,'Données projet'!$B$62,AI178+AH179-AQ178)))</f>
        <v>209.2549019607842</v>
      </c>
      <c r="AJ179" s="13">
        <f>AI179*VLOOKUP('Données projet'!$B$10,Paramètres!$A$1:$I$89,3,0)*VLOOKUP('Données projet'!$B$10,Paramètres!$A$1:$I$89,5,0)</f>
        <v>189.33383529411753</v>
      </c>
      <c r="AK179" s="13">
        <f t="shared" si="164"/>
        <v>47.392643200430875</v>
      </c>
      <c r="AL179" s="20">
        <f t="shared" si="165"/>
        <v>412.29861671133852</v>
      </c>
      <c r="AM179" s="59">
        <f t="shared" si="113"/>
        <v>705.63195004467184</v>
      </c>
      <c r="AN179" s="59">
        <f ca="1">AVERAGE(OFFSET($AM$3,0,0,'Données projet'!$E$10+1,1))-AVERAGE(OFFSET($H$3,0,0,'Données projet'!$E$10+1,1))</f>
        <v>387.43382681395963</v>
      </c>
      <c r="AO179" s="59">
        <f t="shared" si="144"/>
        <v>184.78537400115721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29.34212352493979</v>
      </c>
      <c r="AV179" s="21">
        <f>EXP(-LN(2)/25)*AV178+(1-EXP(-LN(2)/25))/(LN(2)/25)*Calculateur!AQ179*Calculateur!AS179*VLOOKUP('Données projet'!$B$10,Paramètres!$A$1:$I$89,3,0)*0.475*44/12</f>
        <v>17.165375675237236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46.507499200177023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169.26131760015181</v>
      </c>
      <c r="T180" s="59">
        <f t="shared" si="142"/>
        <v>395.66019987830481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4.0055976354943414</v>
      </c>
      <c r="AA180" s="21">
        <f>EXP(-LN(2)/25)*AA179+(1-EXP(-LN(2)/25))/(LN(2)/25)*Calculateur!V180*Calculateur!X180*VLOOKUP('Données projet'!$B$9,Paramètres!$A$1:$I$89,3,0)*0.475*44/12</f>
        <v>0.31873473776808808</v>
      </c>
      <c r="AB180" s="21">
        <f>EXP(-LN(2)/2)*AB179+(1-EXP(-LN(2)/2))/(LN(2)/2)*V180*Y180*VLOOKUP('Données projet'!$B$9,Paramètres!$A$1:$I$89,3,0)*0.475*44/12</f>
        <v>1.4913195078895143E-23</v>
      </c>
      <c r="AC180" s="22">
        <f t="shared" si="163"/>
        <v>4.3243323732624299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3.3333333333333335</v>
      </c>
      <c r="AI180" s="13">
        <f>IF('Données projet'!$A$62&gt;35,AI179+AH180-AQ179,IF(A180&lt;'Données projet'!$A$62,$AF$205^A180,IF(A180='Données projet'!$A$62,'Données projet'!$B$62,AI179+AH180-AQ179)))</f>
        <v>212.58823529411754</v>
      </c>
      <c r="AJ180" s="13">
        <f>AI180*VLOOKUP('Données projet'!$B$10,Paramètres!$A$1:$I$89,3,0)*VLOOKUP('Données projet'!$B$10,Paramètres!$A$1:$I$89,5,0)</f>
        <v>192.34983529411753</v>
      </c>
      <c r="AK180" s="13">
        <f t="shared" si="164"/>
        <v>48.05909583842439</v>
      </c>
      <c r="AL180" s="20">
        <f t="shared" si="165"/>
        <v>418.71222172251049</v>
      </c>
      <c r="AM180" s="59">
        <f t="shared" si="113"/>
        <v>712.04555505584381</v>
      </c>
      <c r="AN180" s="59">
        <f ca="1">AVERAGE(OFFSET($AM$3,0,0,'Données projet'!$E$10+1,1))-AVERAGE(OFFSET($H$3,0,0,'Données projet'!$E$10+1,1))</f>
        <v>387.43382681395963</v>
      </c>
      <c r="AO180" s="59">
        <f t="shared" si="144"/>
        <v>184.78537400115721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28.766742379543896</v>
      </c>
      <c r="AV180" s="21">
        <f>EXP(-LN(2)/25)*AV179+(1-EXP(-LN(2)/25))/(LN(2)/25)*Calculateur!AQ180*Calculateur!AS180*VLOOKUP('Données projet'!$B$10,Paramètres!$A$1:$I$89,3,0)*0.475*44/12</f>
        <v>16.695987574709999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45.462729954253895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169.26131760015181</v>
      </c>
      <c r="T181" s="59">
        <f t="shared" si="142"/>
        <v>395.66019987830481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3.9270503090356117</v>
      </c>
      <c r="AA181" s="21">
        <f>EXP(-LN(2)/25)*AA180+(1-EXP(-LN(2)/25))/(LN(2)/25)*Calculateur!V181*Calculateur!X181*VLOOKUP('Données projet'!$B$9,Paramètres!$A$1:$I$89,3,0)*0.475*44/12</f>
        <v>0.31001891960228833</v>
      </c>
      <c r="AB181" s="21">
        <f>EXP(-LN(2)/2)*AB180+(1-EXP(-LN(2)/2))/(LN(2)/2)*V181*Y181*VLOOKUP('Données projet'!$B$9,Paramètres!$A$1:$I$89,3,0)*0.475*44/12</f>
        <v>1.0545221369444606E-23</v>
      </c>
      <c r="AC181" s="22">
        <f t="shared" si="163"/>
        <v>4.2370692286378997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3.3333333333333335</v>
      </c>
      <c r="AI181" s="13">
        <f>IF('Données projet'!$A$62&gt;35,AI180+AH181-AQ180,IF(A181&lt;'Données projet'!$A$62,$AF$205^A181,IF(A181='Données projet'!$A$62,'Données projet'!$B$62,AI180+AH181-AQ180)))</f>
        <v>215.92156862745088</v>
      </c>
      <c r="AJ181" s="13">
        <f>AI181*VLOOKUP('Données projet'!$B$10,Paramètres!$A$1:$I$89,3,0)*VLOOKUP('Données projet'!$B$10,Paramètres!$A$1:$I$89,5,0)</f>
        <v>195.36583529411755</v>
      </c>
      <c r="AK181" s="13">
        <f t="shared" si="164"/>
        <v>48.724333174046777</v>
      </c>
      <c r="AL181" s="20">
        <f t="shared" si="165"/>
        <v>425.12371008205287</v>
      </c>
      <c r="AM181" s="59">
        <f t="shared" si="113"/>
        <v>718.45704341538612</v>
      </c>
      <c r="AN181" s="59">
        <f ca="1">AVERAGE(OFFSET($AM$3,0,0,'Données projet'!$E$10+1,1))-AVERAGE(OFFSET($H$3,0,0,'Données projet'!$E$10+1,1))</f>
        <v>387.43382681395963</v>
      </c>
      <c r="AO181" s="59">
        <f t="shared" si="144"/>
        <v>184.78537400115721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28.202644107461371</v>
      </c>
      <c r="AV181" s="21">
        <f>EXP(-LN(2)/25)*AV180+(1-EXP(-LN(2)/25))/(LN(2)/25)*Calculateur!AQ181*Calculateur!AS181*VLOOKUP('Données projet'!$B$10,Paramètres!$A$1:$I$89,3,0)*0.475*44/12</f>
        <v>16.239434916475727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44.442079023937097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169.26131760015181</v>
      </c>
      <c r="T182" s="59">
        <f t="shared" si="142"/>
        <v>395.66019987830481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3.8500432477395994</v>
      </c>
      <c r="AA182" s="21">
        <f>EXP(-LN(2)/25)*AA181+(1-EXP(-LN(2)/25))/(LN(2)/25)*Calculateur!V182*Calculateur!X182*VLOOKUP('Données projet'!$B$9,Paramètres!$A$1:$I$89,3,0)*0.475*44/12</f>
        <v>0.30154143594257732</v>
      </c>
      <c r="AB182" s="21">
        <f>EXP(-LN(2)/2)*AB181+(1-EXP(-LN(2)/2))/(LN(2)/2)*V182*Y182*VLOOKUP('Données projet'!$B$9,Paramètres!$A$1:$I$89,3,0)*0.475*44/12</f>
        <v>7.4565975394475717E-24</v>
      </c>
      <c r="AC182" s="22">
        <f t="shared" si="163"/>
        <v>4.1515846836821764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3.3333333333333335</v>
      </c>
      <c r="AI182" s="13">
        <f>IF('Données projet'!$A$62&gt;35,AI181+AH182-AQ181,IF(A182&lt;'Données projet'!$A$62,$AF$205^A182,IF(A182='Données projet'!$A$62,'Données projet'!$B$62,AI181+AH182-AQ181)))</f>
        <v>219.25490196078422</v>
      </c>
      <c r="AJ182" s="13">
        <f>AI182*VLOOKUP('Données projet'!$B$10,Paramètres!$A$1:$I$89,3,0)*VLOOKUP('Données projet'!$B$10,Paramètres!$A$1:$I$89,5,0)</f>
        <v>198.38183529411754</v>
      </c>
      <c r="AK182" s="13">
        <f t="shared" si="164"/>
        <v>49.388376135479355</v>
      </c>
      <c r="AL182" s="20">
        <f t="shared" si="165"/>
        <v>431.53311823988116</v>
      </c>
      <c r="AM182" s="59">
        <f t="shared" si="113"/>
        <v>724.86645157321448</v>
      </c>
      <c r="AN182" s="59">
        <f ca="1">AVERAGE(OFFSET($AM$3,0,0,'Données projet'!$E$10+1,1))-AVERAGE(OFFSET($H$3,0,0,'Données projet'!$E$10+1,1))</f>
        <v>387.43382681395963</v>
      </c>
      <c r="AO182" s="59">
        <f t="shared" si="144"/>
        <v>184.78537400115721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27.64960745842841</v>
      </c>
      <c r="AV182" s="21">
        <f>EXP(-LN(2)/25)*AV181+(1-EXP(-LN(2)/25))/(LN(2)/25)*Calculateur!AQ182*Calculateur!AS182*VLOOKUP('Données projet'!$B$10,Paramètres!$A$1:$I$89,3,0)*0.475*44/12</f>
        <v>15.795366714689932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43.444974173118339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169.26131760015181</v>
      </c>
      <c r="T183" s="59">
        <f t="shared" si="142"/>
        <v>395.66019987830481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3.7745462479459322</v>
      </c>
      <c r="AA183" s="21">
        <f>EXP(-LN(2)/25)*AA182+(1-EXP(-LN(2)/25))/(LN(2)/25)*Calculateur!V183*Calculateur!X183*VLOOKUP('Données projet'!$B$9,Paramètres!$A$1:$I$89,3,0)*0.475*44/12</f>
        <v>0.2932957695193526</v>
      </c>
      <c r="AB183" s="21">
        <f>EXP(-LN(2)/2)*AB182+(1-EXP(-LN(2)/2))/(LN(2)/2)*V183*Y183*VLOOKUP('Données projet'!$B$9,Paramètres!$A$1:$I$89,3,0)*0.475*44/12</f>
        <v>5.2726106847223029E-24</v>
      </c>
      <c r="AC183" s="22">
        <f t="shared" si="163"/>
        <v>4.067842017465285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368</v>
      </c>
      <c r="AG183" s="12">
        <f>VLOOKUP(A183,'Données projet'!$A$61:$I$81,9,0)</f>
        <v>3.3333333333333335</v>
      </c>
      <c r="AH183" s="12">
        <f t="array" ref="AH183">INDEX(AG:AG,MIN(IF(ISNUMBER(AG183:AG379),ROW(AG183:AG379),"")))</f>
        <v>3.3333333333333335</v>
      </c>
      <c r="AI183" s="13">
        <f>IF('Données projet'!$A$62&gt;35,AI182+AH183-AQ182,IF(A183&lt;'Données projet'!$A$62,$AF$205^A183,IF(A183='Données projet'!$A$62,'Données projet'!$B$62,AI182+AH183-AQ182)))</f>
        <v>222.58823529411757</v>
      </c>
      <c r="AJ183" s="13">
        <f>AI183*VLOOKUP('Données projet'!$B$10,Paramètres!$A$1:$I$89,3,0)*VLOOKUP('Données projet'!$B$10,Paramètres!$A$1:$I$89,5,0)</f>
        <v>201.39783529411756</v>
      </c>
      <c r="AK183" s="13">
        <f t="shared" si="164"/>
        <v>50.051244978044025</v>
      </c>
      <c r="AL183" s="20">
        <f t="shared" si="165"/>
        <v>437.9404814740148</v>
      </c>
      <c r="AM183" s="59">
        <f t="shared" si="113"/>
        <v>731.27381480734812</v>
      </c>
      <c r="AN183" s="59">
        <f ca="1">AVERAGE(OFFSET($AM$3,0,0,'Données projet'!$E$10+1,1))-AVERAGE(OFFSET($H$3,0,0,'Données projet'!$E$10+1,1))</f>
        <v>387.43382681395963</v>
      </c>
      <c r="AO183" s="59">
        <f t="shared" si="144"/>
        <v>184.78537400115721</v>
      </c>
      <c r="AP183" s="15" t="str">
        <f>IF(ISNA(VLOOKUP(A183,'Données projet'!$A$61:$I$81,3,0)),0,VLOOKUP(A183,'Données projet'!$A$61:$I$81,3,0))</f>
        <v>CR</v>
      </c>
      <c r="AQ183" s="15">
        <f>IF(ISNA(VLOOKUP(A183,'Données projet'!$A$61:$I$81,4,0)),0,VLOOKUP(A183,'Données projet'!$A$61:$I$81,4,0))</f>
        <v>368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185.3837473300436</v>
      </c>
      <c r="AV183" s="21">
        <f>EXP(-LN(2)/25)*AV182+(1-EXP(-LN(2)/25))/(LN(2)/25)*Calculateur!AQ183*Calculateur!AS183*VLOOKUP('Données projet'!$B$10,Paramètres!$A$1:$I$89,3,0)*0.475*44/12</f>
        <v>15.3634415812345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200.7471889112781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169.26131760015181</v>
      </c>
      <c r="T184" s="59">
        <f t="shared" si="142"/>
        <v>395.66019987830481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3.7005296982695959</v>
      </c>
      <c r="AA184" s="21">
        <f>EXP(-LN(2)/25)*AA183+(1-EXP(-LN(2)/25))/(LN(2)/25)*Calculateur!V184*Calculateur!X184*VLOOKUP('Données projet'!$B$9,Paramètres!$A$1:$I$89,3,0)*0.475*44/12</f>
        <v>0.28527558127809172</v>
      </c>
      <c r="AB184" s="21">
        <f>EXP(-LN(2)/2)*AB183+(1-EXP(-LN(2)/2))/(LN(2)/2)*V184*Y184*VLOOKUP('Données projet'!$B$9,Paramètres!$A$1:$I$89,3,0)*0.475*44/12</f>
        <v>3.7282987697237858E-24</v>
      </c>
      <c r="AC184" s="22">
        <f t="shared" si="163"/>
        <v>3.9858052795476877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1.5675675675675675</v>
      </c>
      <c r="AI184" s="13">
        <f>IF('Données projet'!$A$62&gt;35,AI183+AH184-AQ183,IF(A184&lt;'Données projet'!$A$62,$AF$205^A184,IF(A184='Données projet'!$A$62,'Données projet'!$B$62,AI183+AH184-AQ183)))</f>
        <v>-143.84419713831485</v>
      </c>
      <c r="AJ184" s="13">
        <f>AI184*VLOOKUP('Données projet'!$B$10,Paramètres!$A$1:$I$89,3,0)*VLOOKUP('Données projet'!$B$10,Paramètres!$A$1:$I$89,5,0)</f>
        <v>-130.15022957074726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387.43382681395963</v>
      </c>
      <c r="AO184" s="59">
        <f t="shared" si="144"/>
        <v>184.78537400115721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181.7484851178223</v>
      </c>
      <c r="AV184" s="21">
        <f>EXP(-LN(2)/25)*AV183+(1-EXP(-LN(2)/25))/(LN(2)/25)*Calculateur!AQ184*Calculateur!AS184*VLOOKUP('Données projet'!$B$10,Paramètres!$A$1:$I$89,3,0)*0.475*44/12</f>
        <v>14.943327463267364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196.69181258108966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169.26131760015181</v>
      </c>
      <c r="T185" s="59">
        <f t="shared" si="142"/>
        <v>395.66019987830481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3.6279645679867749</v>
      </c>
      <c r="AA185" s="21">
        <f>EXP(-LN(2)/25)*AA184+(1-EXP(-LN(2)/25))/(LN(2)/25)*Calculateur!V185*Calculateur!X185*VLOOKUP('Données projet'!$B$9,Paramètres!$A$1:$I$89,3,0)*0.475*44/12</f>
        <v>0.27747470550605147</v>
      </c>
      <c r="AB185" s="21">
        <f>EXP(-LN(2)/2)*AB184+(1-EXP(-LN(2)/2))/(LN(2)/2)*V185*Y185*VLOOKUP('Données projet'!$B$9,Paramètres!$A$1:$I$89,3,0)*0.475*44/12</f>
        <v>2.6363053423611514E-24</v>
      </c>
      <c r="AC185" s="22">
        <f t="shared" si="163"/>
        <v>3.9054392734928265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1.5675675675675675</v>
      </c>
      <c r="AI185" s="13">
        <f>IF('Données projet'!$A$62&gt;35,AI184+AH185-AQ184,IF(A185&lt;'Données projet'!$A$62,$AF$205^A185,IF(A185='Données projet'!$A$62,'Données projet'!$B$62,AI184+AH185-AQ184)))</f>
        <v>-142.27662957074728</v>
      </c>
      <c r="AJ185" s="13">
        <f>AI185*VLOOKUP('Données projet'!$B$10,Paramètres!$A$1:$I$89,3,0)*VLOOKUP('Données projet'!$B$10,Paramètres!$A$1:$I$89,5,0)</f>
        <v>-128.73189443561213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387.43382681395963</v>
      </c>
      <c r="AO185" s="59">
        <f t="shared" si="144"/>
        <v>184.78537400115721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178.18450818029163</v>
      </c>
      <c r="AV185" s="21">
        <f>EXP(-LN(2)/25)*AV184+(1-EXP(-LN(2)/25))/(LN(2)/25)*Calculateur!AQ185*Calculateur!AS185*VLOOKUP('Données projet'!$B$10,Paramètres!$A$1:$I$89,3,0)*0.475*44/12</f>
        <v>14.53470138794888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192.7192095682405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169.26131760015181</v>
      </c>
      <c r="T186" s="59">
        <f t="shared" si="142"/>
        <v>395.66019987830481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3.556822395648441</v>
      </c>
      <c r="AA186" s="21">
        <f>EXP(-LN(2)/25)*AA185+(1-EXP(-LN(2)/25))/(LN(2)/25)*Calculateur!V186*Calculateur!X186*VLOOKUP('Données projet'!$B$9,Paramètres!$A$1:$I$89,3,0)*0.475*44/12</f>
        <v>0.26988714509222789</v>
      </c>
      <c r="AB186" s="21">
        <f>EXP(-LN(2)/2)*AB185+(1-EXP(-LN(2)/2))/(LN(2)/2)*V186*Y186*VLOOKUP('Données projet'!$B$9,Paramètres!$A$1:$I$89,3,0)*0.475*44/12</f>
        <v>1.8641493848618929E-24</v>
      </c>
      <c r="AC186" s="22">
        <f t="shared" si="163"/>
        <v>3.8267095407406688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1.5675675675675675</v>
      </c>
      <c r="AI186" s="13">
        <f>IF('Données projet'!$A$62&gt;35,AI185+AH186-AQ185,IF(A186&lt;'Données projet'!$A$62,$AF$205^A186,IF(A186='Données projet'!$A$62,'Données projet'!$B$62,AI185+AH186-AQ185)))</f>
        <v>-140.7090620031797</v>
      </c>
      <c r="AJ186" s="13">
        <f>AI186*VLOOKUP('Données projet'!$B$10,Paramètres!$A$1:$I$89,3,0)*VLOOKUP('Données projet'!$B$10,Paramètres!$A$1:$I$89,5,0)</f>
        <v>-127.313559300477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387.43382681395963</v>
      </c>
      <c r="AO186" s="59">
        <f t="shared" si="144"/>
        <v>184.78537400115721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174.69041865669467</v>
      </c>
      <c r="AV186" s="21">
        <f>EXP(-LN(2)/25)*AV185+(1-EXP(-LN(2)/25))/(LN(2)/25)*Calculateur!AQ186*Calculateur!AS186*VLOOKUP('Données projet'!$B$10,Paramètres!$A$1:$I$89,3,0)*0.475*44/12</f>
        <v>14.137249214148692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188.82766787084336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169.26131760015181</v>
      </c>
      <c r="T187" s="59">
        <f t="shared" si="142"/>
        <v>395.66019987830481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3.4870752779172212</v>
      </c>
      <c r="AA187" s="21">
        <f>EXP(-LN(2)/25)*AA186+(1-EXP(-LN(2)/25))/(LN(2)/25)*Calculateur!V187*Calculateur!X187*VLOOKUP('Données projet'!$B$9,Paramètres!$A$1:$I$89,3,0)*0.475*44/12</f>
        <v>0.26250706691693276</v>
      </c>
      <c r="AB187" s="21">
        <f>EXP(-LN(2)/2)*AB186+(1-EXP(-LN(2)/2))/(LN(2)/2)*V187*Y187*VLOOKUP('Données projet'!$B$9,Paramètres!$A$1:$I$89,3,0)*0.475*44/12</f>
        <v>1.3181526711805757E-24</v>
      </c>
      <c r="AC187" s="22">
        <f t="shared" si="163"/>
        <v>3.7495823448341539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1.5675675675675675</v>
      </c>
      <c r="AI187" s="13">
        <f>IF('Données projet'!$A$62&gt;35,AI186+AH187-AQ186,IF(A187&lt;'Données projet'!$A$62,$AF$205^A187,IF(A187='Données projet'!$A$62,'Données projet'!$B$62,AI186+AH187-AQ186)))</f>
        <v>-139.14149443561212</v>
      </c>
      <c r="AJ187" s="13">
        <f>AI187*VLOOKUP('Données projet'!$B$10,Paramètres!$A$1:$I$89,3,0)*VLOOKUP('Données projet'!$B$10,Paramètres!$A$1:$I$89,5,0)</f>
        <v>-125.89522416534183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387.43382681395963</v>
      </c>
      <c r="AO187" s="59">
        <f t="shared" si="144"/>
        <v>184.78537400115721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171.26484609747126</v>
      </c>
      <c r="AV187" s="21">
        <f>EXP(-LN(2)/25)*AV186+(1-EXP(-LN(2)/25))/(LN(2)/25)*Calculateur!AQ187*Calculateur!AS187*VLOOKUP('Données projet'!$B$10,Paramètres!$A$1:$I$89,3,0)*0.475*44/12</f>
        <v>13.750665390942171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185.01551148841344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169.26131760015181</v>
      </c>
      <c r="T188" s="59">
        <f t="shared" si="142"/>
        <v>395.66019987830481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3.4186958586231695</v>
      </c>
      <c r="AA188" s="21">
        <f>EXP(-LN(2)/25)*AA187+(1-EXP(-LN(2)/25))/(LN(2)/25)*Calculateur!V188*Calculateur!X188*VLOOKUP('Données projet'!$B$9,Paramètres!$A$1:$I$89,3,0)*0.475*44/12</f>
        <v>0.25532879736744257</v>
      </c>
      <c r="AB188" s="21">
        <f>EXP(-LN(2)/2)*AB187+(1-EXP(-LN(2)/2))/(LN(2)/2)*V188*Y188*VLOOKUP('Données projet'!$B$9,Paramètres!$A$1:$I$89,3,0)*0.475*44/12</f>
        <v>9.3207469243094646E-25</v>
      </c>
      <c r="AC188" s="22">
        <f t="shared" si="163"/>
        <v>3.6740246559906122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>
        <f>VLOOKUP(A188,'Données projet'!$A$61:$I$81,2,0)</f>
        <v>351</v>
      </c>
      <c r="AG188" s="12">
        <f>VLOOKUP(A188,'Données projet'!$A$61:$I$81,9,0)</f>
        <v>1.5675675675675675</v>
      </c>
      <c r="AH188" s="12">
        <f t="array" ref="AH188">INDEX(AG:AG,MIN(IF(ISNUMBER(AG188:AG384),ROW(AG188:AG384),"")))</f>
        <v>1.5675675675675675</v>
      </c>
      <c r="AI188" s="13">
        <f>IF('Données projet'!$A$62&gt;35,AI187+AH188-AQ187,IF(A188&lt;'Données projet'!$A$62,$AF$205^A188,IF(A188='Données projet'!$A$62,'Données projet'!$B$62,AI187+AH188-AQ187)))</f>
        <v>-137.57392686804454</v>
      </c>
      <c r="AJ188" s="13">
        <f>AI188*VLOOKUP('Données projet'!$B$10,Paramètres!$A$1:$I$89,3,0)*VLOOKUP('Données projet'!$B$10,Paramètres!$A$1:$I$89,5,0)</f>
        <v>-124.47688903020669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387.43382681395963</v>
      </c>
      <c r="AO188" s="59">
        <f t="shared" si="144"/>
        <v>184.78537400115721</v>
      </c>
      <c r="AP188" s="15">
        <f>IF(ISNA(VLOOKUP(A188,'Données projet'!$A$61:$I$81,3,0)),0,VLOOKUP(A188,'Données projet'!$A$61:$I$81,3,0))</f>
        <v>12</v>
      </c>
      <c r="AQ188" s="15">
        <f>IF(ISNA(VLOOKUP(A188,'Données projet'!$A$61:$I$81,4,0)),0,VLOOKUP(A188,'Données projet'!$A$61:$I$81,4,0))</f>
        <v>41</v>
      </c>
      <c r="AR188" s="16">
        <f>IF(ISNA(VLOOKUP(A188,'Données projet'!$A$61:$I$81,5,0)),0%,VLOOKUP(A188,'Données projet'!$A$61:$I$81,5,0)*VLOOKUP('Données projet'!$B$10,Paramètres!$A$1:$I$89,7,0))</f>
        <v>0.215</v>
      </c>
      <c r="AS188" s="16">
        <f>IF(ISNA(VLOOKUP(A188,'Données projet'!$A$61:$I$81,6,0)),0%,VLOOKUP(A188,'Données projet'!$A$61:$I$81,6,0)*VLOOKUP('Données projet'!$B$10,Paramètres!$A$1:$I$89,7,0))</f>
        <v>0.17200000000000001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176.72347084546473</v>
      </c>
      <c r="AV188" s="21">
        <f>EXP(-LN(2)/25)*AV187+(1-EXP(-LN(2)/25))/(LN(2)/25)*Calculateur!AQ188*Calculateur!AS188*VLOOKUP('Données projet'!$B$10,Paramètres!$A$1:$I$89,3,0)*0.475*44/12</f>
        <v>20.400499071515551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197.12396991698029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169.26131760015181</v>
      </c>
      <c r="T189" s="59">
        <f t="shared" si="142"/>
        <v>395.66019987830481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3.3516573180341465</v>
      </c>
      <c r="AA189" s="21">
        <f>EXP(-LN(2)/25)*AA188+(1-EXP(-LN(2)/25))/(LN(2)/25)*Calculateur!V189*Calculateur!X189*VLOOKUP('Données projet'!$B$9,Paramètres!$A$1:$I$89,3,0)*0.475*44/12</f>
        <v>0.24834681797627198</v>
      </c>
      <c r="AB189" s="21">
        <f>EXP(-LN(2)/2)*AB188+(1-EXP(-LN(2)/2))/(LN(2)/2)*V189*Y189*VLOOKUP('Données projet'!$B$9,Paramètres!$A$1:$I$89,3,0)*0.475*44/12</f>
        <v>6.5907633559028786E-25</v>
      </c>
      <c r="AC189" s="22">
        <f t="shared" si="163"/>
        <v>3.6000041360104182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-178.57392686804454</v>
      </c>
      <c r="AJ189" s="13">
        <f>AI189*VLOOKUP('Données projet'!$B$10,Paramètres!$A$1:$I$89,3,0)*VLOOKUP('Données projet'!$B$10,Paramètres!$A$1:$I$89,5,0)</f>
        <v>-161.57368903020668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387.43382681395963</v>
      </c>
      <c r="AO189" s="59">
        <f t="shared" si="144"/>
        <v>184.78537400115721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173.25803137285894</v>
      </c>
      <c r="AV189" s="21">
        <f>EXP(-LN(2)/25)*AV188+(1-EXP(-LN(2)/25))/(LN(2)/25)*Calculateur!AQ189*Calculateur!AS189*VLOOKUP('Données projet'!$B$10,Paramètres!$A$1:$I$89,3,0)*0.475*44/12</f>
        <v>19.842646351589337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193.10067772444827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169.26131760015181</v>
      </c>
      <c r="T190" s="59">
        <f t="shared" si="142"/>
        <v>395.66019987830481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3.285933362336602</v>
      </c>
      <c r="AA190" s="21">
        <f>EXP(-LN(2)/25)*AA189+(1-EXP(-LN(2)/25))/(LN(2)/25)*Calculateur!V190*Calculateur!X190*VLOOKUP('Données projet'!$B$9,Paramètres!$A$1:$I$89,3,0)*0.475*44/12</f>
        <v>0.24155576117871927</v>
      </c>
      <c r="AB190" s="21">
        <f>EXP(-LN(2)/2)*AB189+(1-EXP(-LN(2)/2))/(LN(2)/2)*V190*Y190*VLOOKUP('Données projet'!$B$9,Paramètres!$A$1:$I$89,3,0)*0.475*44/12</f>
        <v>4.6603734621547323E-25</v>
      </c>
      <c r="AC190" s="22">
        <f t="shared" si="163"/>
        <v>3.5274891235153212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-178.57392686804454</v>
      </c>
      <c r="AJ190" s="13">
        <f>AI190*VLOOKUP('Données projet'!$B$10,Paramètres!$A$1:$I$89,3,0)*VLOOKUP('Données projet'!$B$10,Paramètres!$A$1:$I$89,5,0)</f>
        <v>-161.57368903020668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387.43382681395963</v>
      </c>
      <c r="AO190" s="59">
        <f t="shared" si="144"/>
        <v>184.78537400115721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169.86054705460157</v>
      </c>
      <c r="AV190" s="21">
        <f>EXP(-LN(2)/25)*AV189+(1-EXP(-LN(2)/25))/(LN(2)/25)*Calculateur!AQ190*Calculateur!AS190*VLOOKUP('Données projet'!$B$10,Paramètres!$A$1:$I$89,3,0)*0.475*44/12</f>
        <v>19.300048143625705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189.16059519822727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169.26131760015181</v>
      </c>
      <c r="T191" s="59">
        <f t="shared" si="142"/>
        <v>395.66019987830481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3.221498213322632</v>
      </c>
      <c r="AA191" s="21">
        <f>EXP(-LN(2)/25)*AA190+(1-EXP(-LN(2)/25))/(LN(2)/25)*Calculateur!V191*Calculateur!X191*VLOOKUP('Données projet'!$B$9,Paramètres!$A$1:$I$89,3,0)*0.475*44/12</f>
        <v>0.2349504061864218</v>
      </c>
      <c r="AB191" s="21">
        <f>EXP(-LN(2)/2)*AB190+(1-EXP(-LN(2)/2))/(LN(2)/2)*V191*Y191*VLOOKUP('Données projet'!$B$9,Paramètres!$A$1:$I$89,3,0)*0.475*44/12</f>
        <v>3.2953816779514393E-25</v>
      </c>
      <c r="AC191" s="22">
        <f t="shared" si="163"/>
        <v>3.4564486195090538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-178.57392686804454</v>
      </c>
      <c r="AJ191" s="13">
        <f>AI191*VLOOKUP('Données projet'!$B$10,Paramètres!$A$1:$I$89,3,0)*VLOOKUP('Données projet'!$B$10,Paramètres!$A$1:$I$89,5,0)</f>
        <v>-161.57368903020668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387.43382681395963</v>
      </c>
      <c r="AO191" s="59">
        <f t="shared" si="144"/>
        <v>184.78537400115721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166.52968533156442</v>
      </c>
      <c r="AV191" s="21">
        <f>EXP(-LN(2)/25)*AV190+(1-EXP(-LN(2)/25))/(LN(2)/25)*Calculateur!AQ191*Calculateur!AS191*VLOOKUP('Données projet'!$B$10,Paramètres!$A$1:$I$89,3,0)*0.475*44/12</f>
        <v>18.772287312192841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185.30197264375727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169.26131760015181</v>
      </c>
      <c r="T192" s="59">
        <f t="shared" si="142"/>
        <v>395.66019987830481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3.1583265982792654</v>
      </c>
      <c r="AA192" s="21">
        <f>EXP(-LN(2)/25)*AA191+(1-EXP(-LN(2)/25))/(LN(2)/25)*Calculateur!V192*Calculateur!X192*VLOOKUP('Données projet'!$B$9,Paramètres!$A$1:$I$89,3,0)*0.475*44/12</f>
        <v>0.2285256749737492</v>
      </c>
      <c r="AB192" s="21">
        <f>EXP(-LN(2)/2)*AB191+(1-EXP(-LN(2)/2))/(LN(2)/2)*V192*Y192*VLOOKUP('Données projet'!$B$9,Paramètres!$A$1:$I$89,3,0)*0.475*44/12</f>
        <v>2.3301867310773661E-25</v>
      </c>
      <c r="AC192" s="22">
        <f t="shared" si="163"/>
        <v>3.3868522732530146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-178.57392686804454</v>
      </c>
      <c r="AJ192" s="13">
        <f>AI192*VLOOKUP('Données projet'!$B$10,Paramètres!$A$1:$I$89,3,0)*VLOOKUP('Données projet'!$B$10,Paramètres!$A$1:$I$89,5,0)</f>
        <v>-161.57368903020668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387.43382681395963</v>
      </c>
      <c r="AO192" s="59">
        <f t="shared" si="144"/>
        <v>184.78537400115721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163.264139775291</v>
      </c>
      <c r="AV192" s="21">
        <f>EXP(-LN(2)/25)*AV191+(1-EXP(-LN(2)/25))/(LN(2)/25)*Calculateur!AQ192*Calculateur!AS192*VLOOKUP('Données projet'!$B$10,Paramètres!$A$1:$I$89,3,0)*0.475*44/12</f>
        <v>18.258958128449244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181.52309790374025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169.26131760015181</v>
      </c>
      <c r="T193" s="59">
        <f t="shared" si="142"/>
        <v>395.66019987830481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3.0963937400760191</v>
      </c>
      <c r="AA193" s="21">
        <f>EXP(-LN(2)/25)*AA192+(1-EXP(-LN(2)/25))/(LN(2)/25)*Calculateur!V193*Calculateur!X193*VLOOKUP('Données projet'!$B$9,Paramètres!$A$1:$I$89,3,0)*0.475*44/12</f>
        <v>0.2222766283739491</v>
      </c>
      <c r="AB193" s="21">
        <f>EXP(-LN(2)/2)*AB192+(1-EXP(-LN(2)/2))/(LN(2)/2)*V193*Y193*VLOOKUP('Données projet'!$B$9,Paramètres!$A$1:$I$89,3,0)*0.475*44/12</f>
        <v>1.6476908389757196E-25</v>
      </c>
      <c r="AC193" s="22">
        <f t="shared" si="163"/>
        <v>3.3186703684499683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-178.57392686804454</v>
      </c>
      <c r="AJ193" s="13">
        <f>AI193*VLOOKUP('Données projet'!$B$10,Paramètres!$A$1:$I$89,3,0)*VLOOKUP('Données projet'!$B$10,Paramètres!$A$1:$I$89,5,0)</f>
        <v>-161.57368903020668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387.43382681395963</v>
      </c>
      <c r="AO193" s="59">
        <f t="shared" si="144"/>
        <v>184.78537400115721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160.06262957558997</v>
      </c>
      <c r="AV193" s="21">
        <f>EXP(-LN(2)/25)*AV192+(1-EXP(-LN(2)/25))/(LN(2)/25)*Calculateur!AQ193*Calculateur!AS193*VLOOKUP('Données projet'!$B$10,Paramètres!$A$1:$I$89,3,0)*0.475*44/12</f>
        <v>17.759665958229924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177.8222955338199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169.26131760015181</v>
      </c>
      <c r="T194" s="59">
        <f t="shared" si="142"/>
        <v>395.66019987830481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3.0356753474468245</v>
      </c>
      <c r="AA194" s="21">
        <f>EXP(-LN(2)/25)*AA193+(1-EXP(-LN(2)/25))/(LN(2)/25)*Calculateur!V194*Calculateur!X194*VLOOKUP('Données projet'!$B$9,Paramètres!$A$1:$I$89,3,0)*0.475*44/12</f>
        <v>0.21619846228204359</v>
      </c>
      <c r="AB194" s="21">
        <f>EXP(-LN(2)/2)*AB193+(1-EXP(-LN(2)/2))/(LN(2)/2)*V194*Y194*VLOOKUP('Données projet'!$B$9,Paramètres!$A$1:$I$89,3,0)*0.475*44/12</f>
        <v>1.1650933655386831E-25</v>
      </c>
      <c r="AC194" s="22">
        <f t="shared" si="163"/>
        <v>3.2518738097288682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-178.57392686804454</v>
      </c>
      <c r="AJ194" s="13">
        <f>AI194*VLOOKUP('Données projet'!$B$10,Paramètres!$A$1:$I$89,3,0)*VLOOKUP('Données projet'!$B$10,Paramètres!$A$1:$I$89,5,0)</f>
        <v>-161.57368903020668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387.43382681395963</v>
      </c>
      <c r="AO194" s="59">
        <f t="shared" si="144"/>
        <v>184.78537400115721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156.92389903817667</v>
      </c>
      <c r="AV194" s="21">
        <f>EXP(-LN(2)/25)*AV193+(1-EXP(-LN(2)/25))/(LN(2)/25)*Calculateur!AQ194*Calculateur!AS194*VLOOKUP('Données projet'!$B$10,Paramètres!$A$1:$I$89,3,0)*0.475*44/12</f>
        <v>17.274026958661885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174.19792599683856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169.26131760015181</v>
      </c>
      <c r="T195" s="59">
        <f t="shared" si="142"/>
        <v>395.66019987830481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2.976147605462526</v>
      </c>
      <c r="AA195" s="21">
        <f>EXP(-LN(2)/25)*AA194+(1-EXP(-LN(2)/25))/(LN(2)/25)*Calculateur!V195*Calculateur!X195*VLOOKUP('Données projet'!$B$9,Paramètres!$A$1:$I$89,3,0)*0.475*44/12</f>
        <v>0.2102865039615581</v>
      </c>
      <c r="AB195" s="21">
        <f>EXP(-LN(2)/2)*AB194+(1-EXP(-LN(2)/2))/(LN(2)/2)*V195*Y195*VLOOKUP('Données projet'!$B$9,Paramètres!$A$1:$I$89,3,0)*0.475*44/12</f>
        <v>8.2384541948785982E-26</v>
      </c>
      <c r="AC195" s="22">
        <f t="shared" si="163"/>
        <v>3.1864341094240842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-178.57392686804454</v>
      </c>
      <c r="AJ195" s="13">
        <f>AI195*VLOOKUP('Données projet'!$B$10,Paramètres!$A$1:$I$89,3,0)*VLOOKUP('Données projet'!$B$10,Paramètres!$A$1:$I$89,5,0)</f>
        <v>-161.57368903020668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387.43382681395963</v>
      </c>
      <c r="AO195" s="59">
        <f t="shared" si="144"/>
        <v>184.78537400115721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153.84671709216545</v>
      </c>
      <c r="AV195" s="21">
        <f>EXP(-LN(2)/25)*AV194+(1-EXP(-LN(2)/25))/(LN(2)/25)*Calculateur!AQ195*Calculateur!AS195*VLOOKUP('Données projet'!$B$10,Paramètres!$A$1:$I$89,3,0)*0.475*44/12</f>
        <v>16.801667783075679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170.64838487524113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169.26131760015181</v>
      </c>
      <c r="T196" s="59">
        <f t="shared" si="142"/>
        <v>395.66019987830481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2.9177871661902022</v>
      </c>
      <c r="AA196" s="21">
        <f>EXP(-LN(2)/25)*AA195+(1-EXP(-LN(2)/25))/(LN(2)/25)*Calculateur!V196*Calculateur!X196*VLOOKUP('Données projet'!$B$9,Paramètres!$A$1:$I$89,3,0)*0.475*44/12</f>
        <v>0.20453620845224266</v>
      </c>
      <c r="AB196" s="21">
        <f>EXP(-LN(2)/2)*AB195+(1-EXP(-LN(2)/2))/(LN(2)/2)*V196*Y196*VLOOKUP('Données projet'!$B$9,Paramètres!$A$1:$I$89,3,0)*0.475*44/12</f>
        <v>5.8254668276934154E-26</v>
      </c>
      <c r="AC196" s="22">
        <f t="shared" si="163"/>
        <v>3.1223233746424448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-178.57392686804454</v>
      </c>
      <c r="AJ196" s="13">
        <f>AI196*VLOOKUP('Données projet'!$B$10,Paramètres!$A$1:$I$89,3,0)*VLOOKUP('Données projet'!$B$10,Paramètres!$A$1:$I$89,5,0)</f>
        <v>-161.57368903020668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387.43382681395963</v>
      </c>
      <c r="AO196" s="59">
        <f t="shared" si="144"/>
        <v>184.78537400115721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150.82987680721985</v>
      </c>
      <c r="AV196" s="21">
        <f>EXP(-LN(2)/25)*AV195+(1-EXP(-LN(2)/25))/(LN(2)/25)*Calculateur!AQ196*Calculateur!AS196*VLOOKUP('Données projet'!$B$10,Paramètres!$A$1:$I$89,3,0)*0.475*44/12</f>
        <v>16.342225293986168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167.17210210120601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169.26131760015181</v>
      </c>
      <c r="T197" s="59">
        <f t="shared" ref="T197:T203" si="204">$T$3</f>
        <v>395.66019987830481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2.8605711395356552</v>
      </c>
      <c r="AA197" s="21">
        <f>EXP(-LN(2)/25)*AA196+(1-EXP(-LN(2)/25))/(LN(2)/25)*Calculateur!V197*Calculateur!X197*VLOOKUP('Données projet'!$B$9,Paramètres!$A$1:$I$89,3,0)*0.475*44/12</f>
        <v>0.19894315507602436</v>
      </c>
      <c r="AB197" s="21">
        <f>EXP(-LN(2)/2)*AB196+(1-EXP(-LN(2)/2))/(LN(2)/2)*V197*Y197*VLOOKUP('Données projet'!$B$9,Paramètres!$A$1:$I$89,3,0)*0.475*44/12</f>
        <v>4.1192270974392991E-26</v>
      </c>
      <c r="AC197" s="22">
        <f t="shared" si="163"/>
        <v>3.0595142946116796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-178.57392686804454</v>
      </c>
      <c r="AJ197" s="13">
        <f>AI197*VLOOKUP('Données projet'!$B$10,Paramètres!$A$1:$I$89,3,0)*VLOOKUP('Données projet'!$B$10,Paramètres!$A$1:$I$89,5,0)</f>
        <v>-161.57368903020668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387.43382681395963</v>
      </c>
      <c r="AO197" s="59">
        <f t="shared" ref="AO197:AO203" si="205">$AO$3</f>
        <v>184.78537400115721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147.87219492017115</v>
      </c>
      <c r="AV197" s="21">
        <f>EXP(-LN(2)/25)*AV196+(1-EXP(-LN(2)/25))/(LN(2)/25)*Calculateur!AQ197*Calculateur!AS197*VLOOKUP('Données projet'!$B$10,Paramètres!$A$1:$I$89,3,0)*0.475*44/12</f>
        <v>15.895346283921839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163.76754120409299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169.26131760015181</v>
      </c>
      <c r="T198" s="59">
        <f t="shared" si="204"/>
        <v>395.66019987830481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2.8044770842654736</v>
      </c>
      <c r="AA198" s="21">
        <f>EXP(-LN(2)/25)*AA197+(1-EXP(-LN(2)/25))/(LN(2)/25)*Calculateur!V198*Calculateur!X198*VLOOKUP('Données projet'!$B$9,Paramètres!$A$1:$I$89,3,0)*0.475*44/12</f>
        <v>0.19350304403850463</v>
      </c>
      <c r="AB198" s="21">
        <f>EXP(-LN(2)/2)*AB197+(1-EXP(-LN(2)/2))/(LN(2)/2)*V198*Y198*VLOOKUP('Données projet'!$B$9,Paramètres!$A$1:$I$89,3,0)*0.475*44/12</f>
        <v>2.9127334138467077E-26</v>
      </c>
      <c r="AC198" s="22">
        <f t="shared" si="163"/>
        <v>2.9979801283039782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-178.57392686804454</v>
      </c>
      <c r="AJ198" s="13">
        <f>AI198*VLOOKUP('Données projet'!$B$10,Paramètres!$A$1:$I$89,3,0)*VLOOKUP('Données projet'!$B$10,Paramètres!$A$1:$I$89,5,0)</f>
        <v>-161.57368903020668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387.43382681395963</v>
      </c>
      <c r="AO198" s="59">
        <f t="shared" si="205"/>
        <v>184.78537400115721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144.97251137091968</v>
      </c>
      <c r="AV198" s="21">
        <f>EXP(-LN(2)/25)*AV197+(1-EXP(-LN(2)/25))/(LN(2)/25)*Calculateur!AQ198*Calculateur!AS198*VLOOKUP('Données projet'!$B$10,Paramètres!$A$1:$I$89,3,0)*0.475*44/12</f>
        <v>15.460687203888064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160.43319857480773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169.26131760015181</v>
      </c>
      <c r="T199" s="59">
        <f t="shared" si="204"/>
        <v>395.66019987830481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2.7494829992051453</v>
      </c>
      <c r="AA199" s="21">
        <f>EXP(-LN(2)/25)*AA198+(1-EXP(-LN(2)/25))/(LN(2)/25)*Calculateur!V199*Calculateur!X199*VLOOKUP('Données projet'!$B$9,Paramètres!$A$1:$I$89,3,0)*0.475*44/12</f>
        <v>0.1882116931233889</v>
      </c>
      <c r="AB199" s="21">
        <f>EXP(-LN(2)/2)*AB198+(1-EXP(-LN(2)/2))/(LN(2)/2)*V199*Y199*VLOOKUP('Données projet'!$B$9,Paramètres!$A$1:$I$89,3,0)*0.475*44/12</f>
        <v>2.0596135487196496E-26</v>
      </c>
      <c r="AC199" s="22">
        <f t="shared" si="163"/>
        <v>2.9376946923285341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-178.57392686804454</v>
      </c>
      <c r="AJ199" s="13">
        <f>AI199*VLOOKUP('Données projet'!$B$10,Paramètres!$A$1:$I$89,3,0)*VLOOKUP('Données projet'!$B$10,Paramètres!$A$1:$I$89,5,0)</f>
        <v>-161.57368903020668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387.43382681395963</v>
      </c>
      <c r="AO199" s="59">
        <f t="shared" si="205"/>
        <v>184.78537400115721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142.12968884743668</v>
      </c>
      <c r="AV199" s="21">
        <f>EXP(-LN(2)/25)*AV198+(1-EXP(-LN(2)/25))/(LN(2)/25)*Calculateur!AQ199*Calculateur!AS199*VLOOKUP('Données projet'!$B$10,Paramètres!$A$1:$I$89,3,0)*0.475*44/12</f>
        <v>15.037913899255541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157.16760274669221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169.26131760015181</v>
      </c>
      <c r="T200" s="59">
        <f t="shared" si="204"/>
        <v>395.66019987830481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2.6955673146097698</v>
      </c>
      <c r="AA200" s="21">
        <f>EXP(-LN(2)/25)*AA199+(1-EXP(-LN(2)/25))/(LN(2)/25)*Calculateur!V200*Calculateur!X200*VLOOKUP('Données projet'!$B$9,Paramètres!$A$1:$I$89,3,0)*0.475*44/12</f>
        <v>0.18306503447730704</v>
      </c>
      <c r="AB200" s="21">
        <f>EXP(-LN(2)/2)*AB199+(1-EXP(-LN(2)/2))/(LN(2)/2)*V200*Y200*VLOOKUP('Données projet'!$B$9,Paramètres!$A$1:$I$89,3,0)*0.475*44/12</f>
        <v>1.4563667069233538E-26</v>
      </c>
      <c r="AC200" s="22">
        <f t="shared" si="163"/>
        <v>2.8786323490870771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-178.57392686804454</v>
      </c>
      <c r="AJ200" s="13">
        <f>AI200*VLOOKUP('Données projet'!$B$10,Paramètres!$A$1:$I$89,3,0)*VLOOKUP('Données projet'!$B$10,Paramètres!$A$1:$I$89,5,0)</f>
        <v>-161.57368903020668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387.43382681395963</v>
      </c>
      <c r="AO200" s="59">
        <f t="shared" si="205"/>
        <v>184.78537400115721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139.34261233968866</v>
      </c>
      <c r="AV200" s="21">
        <f>EXP(-LN(2)/25)*AV199+(1-EXP(-LN(2)/25))/(LN(2)/25)*Calculateur!AQ200*Calculateur!AS200*VLOOKUP('Données projet'!$B$10,Paramètres!$A$1:$I$89,3,0)*0.475*44/12</f>
        <v>14.626701352870876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153.96931369255952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169.26131760015181</v>
      </c>
      <c r="T201" s="59">
        <f t="shared" si="204"/>
        <v>395.66019987830481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2.6427088837039894</v>
      </c>
      <c r="AA201" s="21">
        <f>EXP(-LN(2)/25)*AA200+(1-EXP(-LN(2)/25))/(LN(2)/25)*Calculateur!V201*Calculateur!X201*VLOOKUP('Données projet'!$B$9,Paramètres!$A$1:$I$89,3,0)*0.475*44/12</f>
        <v>0.17805911148255332</v>
      </c>
      <c r="AB201" s="21">
        <f>EXP(-LN(2)/2)*AB200+(1-EXP(-LN(2)/2))/(LN(2)/2)*V201*Y201*VLOOKUP('Données projet'!$B$9,Paramètres!$A$1:$I$89,3,0)*0.475*44/12</f>
        <v>1.0298067743598248E-26</v>
      </c>
      <c r="AC201" s="22">
        <f t="shared" si="163"/>
        <v>2.8207679951865425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-178.57392686804454</v>
      </c>
      <c r="AJ201" s="13">
        <f>AI201*VLOOKUP('Données projet'!$B$10,Paramètres!$A$1:$I$89,3,0)*VLOOKUP('Données projet'!$B$10,Paramètres!$A$1:$I$89,5,0)</f>
        <v>-161.57368903020668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387.43382681395963</v>
      </c>
      <c r="AO201" s="59">
        <f t="shared" si="205"/>
        <v>184.78537400115721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136.61018870230876</v>
      </c>
      <c r="AV201" s="21">
        <f>EXP(-LN(2)/25)*AV200+(1-EXP(-LN(2)/25))/(LN(2)/25)*Calculateur!AQ201*Calculateur!AS201*VLOOKUP('Données projet'!$B$10,Paramètres!$A$1:$I$89,3,0)*0.475*44/12</f>
        <v>14.226733435191829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150.83692213750058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169.26131760015181</v>
      </c>
      <c r="T202" s="59">
        <f t="shared" si="204"/>
        <v>395.66019987830481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2.590886974387812</v>
      </c>
      <c r="AA202" s="21">
        <f>EXP(-LN(2)/25)*AA201+(1-EXP(-LN(2)/25))/(LN(2)/25)*Calculateur!V202*Calculateur!X202*VLOOKUP('Données projet'!$B$9,Paramètres!$A$1:$I$89,3,0)*0.475*44/12</f>
        <v>0.1731900757153412</v>
      </c>
      <c r="AB202" s="21">
        <f>EXP(-LN(2)/2)*AB201+(1-EXP(-LN(2)/2))/(LN(2)/2)*V202*Y202*VLOOKUP('Données projet'!$B$9,Paramètres!$A$1:$I$89,3,0)*0.475*44/12</f>
        <v>7.2818335346167692E-27</v>
      </c>
      <c r="AC202" s="22">
        <f t="shared" si="163"/>
        <v>2.7640770501031531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-178.57392686804454</v>
      </c>
      <c r="AJ202" s="13">
        <f>AI202*VLOOKUP('Données projet'!$B$10,Paramètres!$A$1:$I$89,3,0)*VLOOKUP('Données projet'!$B$10,Paramètres!$A$1:$I$89,5,0)</f>
        <v>-161.57368903020668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387.43382681395963</v>
      </c>
      <c r="AO202" s="59">
        <f t="shared" si="205"/>
        <v>184.78537400115721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133.93134622584404</v>
      </c>
      <c r="AV202" s="21">
        <f>EXP(-LN(2)/25)*AV201+(1-EXP(-LN(2)/25))/(LN(2)/25)*Calculateur!AQ202*Calculateur!AS202*VLOOKUP('Données projet'!$B$10,Paramètres!$A$1:$I$89,3,0)*0.475*44/12</f>
        <v>13.837702661255113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147.76904888709916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169.26131760015181</v>
      </c>
      <c r="T203" s="59">
        <f t="shared" si="204"/>
        <v>395.66019987830481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2.5400812611050814</v>
      </c>
      <c r="AA203" s="21">
        <f>EXP(-LN(2)/25)*AA202+(1-EXP(-LN(2)/25))/(LN(2)/25)*Calculateur!V203*Calculateur!X203*VLOOKUP('Données projet'!$B$9,Paramètres!$A$1:$I$89,3,0)*0.475*44/12</f>
        <v>0.16845418398723494</v>
      </c>
      <c r="AB203" s="21">
        <f>EXP(-LN(2)/2)*AB202+(1-EXP(-LN(2)/2))/(LN(2)/2)*V203*Y203*VLOOKUP('Données projet'!$B$9,Paramètres!$A$1:$I$89,3,0)*0.475*44/12</f>
        <v>5.1490338717991239E-27</v>
      </c>
      <c r="AC203" s="22">
        <f t="shared" si="163"/>
        <v>2.7085354450923163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-178.57392686804454</v>
      </c>
      <c r="AJ203" s="13">
        <f>AI203*VLOOKUP('Données projet'!$B$10,Paramètres!$A$1:$I$89,3,0)*VLOOKUP('Données projet'!$B$10,Paramètres!$A$1:$I$89,5,0)</f>
        <v>-161.57368903020668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387.43382681395963</v>
      </c>
      <c r="AO203" s="59">
        <f t="shared" si="205"/>
        <v>184.78537400115721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131.30503421641021</v>
      </c>
      <c r="AV203" s="21">
        <f>EXP(-LN(2)/25)*AV202+(1-EXP(-LN(2)/25))/(LN(2)/25)*Calculateur!AQ203*Calculateur!AS203*VLOOKUP('Données projet'!$B$10,Paramètres!$A$1:$I$89,3,0)*0.475*44/12</f>
        <v>13.459309954289935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144.76434417070016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1.6983813295649528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1.097634537603984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796875" style="4" bestFit="1" customWidth="1"/>
    <col min="3" max="3" width="11.86328125" style="4" bestFit="1" customWidth="1"/>
    <col min="4" max="4" width="40" style="4" bestFit="1" customWidth="1"/>
    <col min="5" max="5" width="11.86328125" style="4" bestFit="1" customWidth="1"/>
    <col min="6" max="6" width="13.796875" style="4" bestFit="1" customWidth="1"/>
    <col min="7" max="7" width="11.46484375" style="4" bestFit="1" customWidth="1"/>
    <col min="8" max="8" width="39" style="4" bestFit="1" customWidth="1"/>
    <col min="9" max="9" width="16.79687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3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3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3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G1" zoomScale="80" zoomScaleNormal="80" workbookViewId="0">
      <selection activeCell="L16" sqref="L16"/>
    </sheetView>
  </sheetViews>
  <sheetFormatPr baseColWidth="10" defaultColWidth="11.46484375" defaultRowHeight="14.25" x14ac:dyDescent="0.45"/>
  <cols>
    <col min="1" max="1" width="22.8632812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4" t="s">
        <v>271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Peuplier Koster</v>
      </c>
      <c r="B6" s="146">
        <f>'Données projet'!D9</f>
        <v>1.4256000000000002</v>
      </c>
      <c r="C6" s="147">
        <f ca="1">IF(OR('Données projet'!B9="",'Données projet'!C9="",'Données projet'!C9=0%),0,Calculateur!S3)</f>
        <v>169.26131760015181</v>
      </c>
      <c r="D6" s="147">
        <f>IF(OR('Données projet'!B9="",'Données projet'!C9="",'Données projet'!C9=0%),0,Calculateur!T3)</f>
        <v>395.66019987830481</v>
      </c>
      <c r="E6" s="147">
        <f ca="1">MIN(C6,D6)</f>
        <v>169.26131760015181</v>
      </c>
      <c r="F6" s="147">
        <f ca="1">E6*B6</f>
        <v>241.29893437077646</v>
      </c>
      <c r="G6" s="147">
        <f ca="1">F6*(100%-'Données projet'!$C$24)*(100%-'Données projet'!$C$25)*(100%-'Données projet'!$C$26)*(100%-'Données projet'!$C$27)</f>
        <v>195.45213684032893</v>
      </c>
      <c r="H6" s="148">
        <f>IF(OR('Données projet'!B9="",'Données projet'!C9="",'Données projet'!C9=0%),0,AVERAGE(Calculateur!$AC$3:$AC$33)*B6)</f>
        <v>42.205738886287961</v>
      </c>
      <c r="I6" s="149">
        <f>H6*(100%-'Données projet'!$C$24)*(100%-'Données projet'!$C$25)*(100%-'Données projet'!$C$26)*(100%-'Données projet'!$C$27)</f>
        <v>34.186648497893252</v>
      </c>
      <c r="J6" s="150">
        <f>IF(OR('Données projet'!B9="",'Données projet'!C9="",'Données projet'!C9=0%),0,SUM(Calculateur!$V$3:$V$33)*VLOOKUP('Données projet'!$B$9,Paramètres!$A$1:$I$89,9,0)*B6)</f>
        <v>487.64501280000013</v>
      </c>
      <c r="K6" s="151">
        <f>J6*(100%-'Données projet'!$C$24)*(100%-'Données projet'!$C$25)*(100%-'Données projet'!$C$26)*(100%-'Données projet'!$C$27)</f>
        <v>394.99246036800014</v>
      </c>
      <c r="L6" s="152">
        <f ca="1">G6+I6+K6</f>
        <v>624.63124570622233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Chêne sessile</v>
      </c>
      <c r="B7" s="154">
        <f>'Données projet'!D10</f>
        <v>0.19440000000000002</v>
      </c>
      <c r="C7" s="147">
        <f ca="1">IF(OR('Données projet'!B10="",'Données projet'!C10="",'Données projet'!C10=0%),0,Calculateur!AN3)</f>
        <v>387.43382681395963</v>
      </c>
      <c r="D7" s="147">
        <f>IF(OR('Données projet'!B10="",'Données projet'!C10="",'Données projet'!C10=0%),0,Calculateur!AO3)</f>
        <v>184.78537400115721</v>
      </c>
      <c r="E7" s="147">
        <f t="shared" ref="E7:E15" ca="1" si="0">MIN(C7,D7)</f>
        <v>184.78537400115721</v>
      </c>
      <c r="F7" s="147">
        <f t="shared" ref="F7:F15" ca="1" si="1">E7*B7</f>
        <v>35.922276705824963</v>
      </c>
      <c r="G7" s="147">
        <f ca="1">F7*(100%-'Données projet'!$C$24)*(100%-'Données projet'!$C$25)*(100%-'Données projet'!$C$26)*(100%-'Données projet'!$C$27)</f>
        <v>29.097044131718221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29.097044131718221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277.22121107660143</v>
      </c>
      <c r="G16" s="166">
        <f t="shared" ca="1" si="3"/>
        <v>224.54918097204717</v>
      </c>
      <c r="H16" s="167">
        <f t="shared" si="3"/>
        <v>42.205738886287961</v>
      </c>
      <c r="I16" s="167">
        <f t="shared" si="3"/>
        <v>34.186648497893252</v>
      </c>
      <c r="J16" s="168">
        <f t="shared" si="3"/>
        <v>487.64501280000013</v>
      </c>
      <c r="K16" s="168">
        <f t="shared" si="3"/>
        <v>394.99246036800014</v>
      </c>
      <c r="L16" s="169">
        <f t="shared" ca="1" si="3"/>
        <v>653.72828983794057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6" t="s">
        <v>246</v>
      </c>
      <c r="G17" s="287"/>
      <c r="H17" s="287"/>
      <c r="I17" s="287"/>
      <c r="J17" s="287"/>
      <c r="K17" s="287"/>
      <c r="L17" s="28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3"/>
      <c r="G18" s="273"/>
      <c r="H18" s="273"/>
      <c r="I18" s="273"/>
      <c r="J18" s="273"/>
      <c r="K18" s="273"/>
      <c r="L18" s="27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8" zoomScale="60" zoomScaleNormal="60" workbookViewId="0">
      <selection activeCell="H30" sqref="H30"/>
    </sheetView>
  </sheetViews>
  <sheetFormatPr baseColWidth="10" defaultColWidth="11.46484375" defaultRowHeight="14.25" x14ac:dyDescent="0.45"/>
  <cols>
    <col min="1" max="1" width="11.46484375" style="1"/>
    <col min="2" max="2" width="30.86328125" style="1" bestFit="1" customWidth="1"/>
    <col min="3" max="3" width="18.1328125" style="1" bestFit="1" customWidth="1"/>
    <col min="4" max="5" width="11.46484375" style="1"/>
    <col min="6" max="6" width="14" style="1" customWidth="1"/>
    <col min="7" max="7" width="17.53125" style="1" customWidth="1"/>
    <col min="8" max="8" width="21.796875" style="1" customWidth="1"/>
    <col min="9" max="9" width="37" style="1" customWidth="1"/>
    <col min="10" max="10" width="11.46484375" style="1"/>
    <col min="11" max="11" width="8.8632812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1328125" style="1" customWidth="1"/>
    <col min="21" max="21" width="16.46484375" style="1" customWidth="1"/>
    <col min="22" max="22" width="17.8632812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4" t="s">
        <v>272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64" t="s">
        <v>315</v>
      </c>
      <c r="I4" s="264"/>
      <c r="K4" s="288" t="s">
        <v>253</v>
      </c>
      <c r="L4" s="28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8" t="s">
        <v>310</v>
      </c>
      <c r="S7" s="299"/>
      <c r="T7" s="299"/>
      <c r="U7" s="299"/>
      <c r="V7" s="300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4986.9914325197087</v>
      </c>
      <c r="U10" s="178">
        <f>'Données projet'!D9</f>
        <v>1.4256000000000002</v>
      </c>
      <c r="V10" s="177">
        <f>U10*T10</f>
        <v>7109.4549862000977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185.35976278244829</v>
      </c>
      <c r="U11" s="178">
        <f>'Données projet'!D10</f>
        <v>0.19440000000000002</v>
      </c>
      <c r="V11" s="177">
        <f t="shared" ref="V11" si="0">U11*T11</f>
        <v>36.033937884907949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291" t="s">
        <v>318</v>
      </c>
      <c r="H15" s="190"/>
      <c r="I15" s="191">
        <v>0</v>
      </c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1"/>
      <c r="H16" s="190"/>
      <c r="I16" s="191"/>
      <c r="J16" s="202"/>
      <c r="K16" s="208"/>
      <c r="L16" s="288" t="s">
        <v>254</v>
      </c>
      <c r="M16" s="289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1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1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1"/>
      <c r="H19" s="212" t="s">
        <v>178</v>
      </c>
      <c r="I19" s="212" t="s">
        <v>287</v>
      </c>
      <c r="J19" s="93"/>
      <c r="K19" s="173"/>
      <c r="L19" s="288" t="s">
        <v>288</v>
      </c>
      <c r="M19" s="289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1"/>
      <c r="H20" s="190">
        <v>0</v>
      </c>
      <c r="I20" s="191">
        <v>3900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5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6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7</v>
      </c>
      <c r="I23" s="191">
        <v>800</v>
      </c>
      <c r="K23" s="208"/>
      <c r="L23" s="290" t="s">
        <v>260</v>
      </c>
      <c r="M23" s="290"/>
      <c r="N23" s="290"/>
      <c r="O23" s="23"/>
      <c r="P23" s="23"/>
      <c r="Q23" s="234"/>
      <c r="R23" s="23"/>
      <c r="S23" s="36" t="s">
        <v>264</v>
      </c>
      <c r="T23" s="30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-1794.920686872857</v>
      </c>
      <c r="U23" s="303"/>
      <c r="V23" s="303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7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4"/>
      <c r="V24" s="30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8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5">
        <f ca="1">T23-T24</f>
        <v>-1794.920686872857</v>
      </c>
      <c r="U25" s="305"/>
      <c r="V25" s="305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9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2" t="s">
        <v>258</v>
      </c>
      <c r="M26" s="293"/>
      <c r="N26" s="293"/>
      <c r="O26" s="293"/>
      <c r="P26" s="294"/>
      <c r="Q26" s="234"/>
      <c r="R26" s="23"/>
      <c r="S26" s="186" t="s">
        <v>265</v>
      </c>
      <c r="T26" s="302" t="str">
        <f ca="1">IF(T25&lt;0,"Votre projet est additionnel","Votre projet n'est pas additionnel")</f>
        <v>Votre projet est additionnel</v>
      </c>
      <c r="U26" s="302"/>
      <c r="V26" s="302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10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5"/>
      <c r="M27" s="296"/>
      <c r="N27" s="296"/>
      <c r="O27" s="296"/>
      <c r="P27" s="297"/>
      <c r="Q27" s="234"/>
      <c r="R27" s="23"/>
      <c r="S27" s="301" t="s">
        <v>267</v>
      </c>
      <c r="T27" s="301"/>
      <c r="U27" s="301"/>
      <c r="V27" s="30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11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12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13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14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15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16</v>
      </c>
      <c r="B33" s="181">
        <f>'Données projet'!D46</f>
        <v>0</v>
      </c>
      <c r="C33" s="193"/>
      <c r="D33" s="182">
        <f>B33*C33</f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17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18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19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20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21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22</v>
      </c>
      <c r="B39" s="181">
        <f>'Données projet'!D52</f>
        <v>332.1</v>
      </c>
      <c r="C39" s="193">
        <v>40</v>
      </c>
      <c r="D39" s="182">
        <f>B39*C39</f>
        <v>13284</v>
      </c>
      <c r="E39" s="193">
        <v>150</v>
      </c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52</v>
      </c>
      <c r="B54" s="181">
        <f>'Données projet'!D62</f>
        <v>29</v>
      </c>
      <c r="C54" s="191">
        <v>5</v>
      </c>
      <c r="D54" s="179">
        <f>B54*C54</f>
        <v>145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60</v>
      </c>
      <c r="B55" s="181">
        <f>'Données projet'!D63</f>
        <v>30</v>
      </c>
      <c r="C55" s="191">
        <v>5</v>
      </c>
      <c r="D55" s="179">
        <f t="shared" ref="D55:D73" si="4">B55*C55</f>
        <v>150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68</v>
      </c>
      <c r="B56" s="181">
        <f>'Données projet'!D64</f>
        <v>31</v>
      </c>
      <c r="C56" s="193">
        <v>5</v>
      </c>
      <c r="D56" s="179">
        <f t="shared" si="4"/>
        <v>155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 t="str">
        <f>IF(O55+1&lt;=MIN('Données projet'!$E$9:$E$18),O55+1,"STOP")</f>
        <v>STOP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78</v>
      </c>
      <c r="B57" s="181">
        <f>'Données projet'!D65</f>
        <v>32</v>
      </c>
      <c r="C57" s="193">
        <v>5</v>
      </c>
      <c r="D57" s="179">
        <f t="shared" si="4"/>
        <v>160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88</v>
      </c>
      <c r="B58" s="181">
        <f>'Données projet'!D66</f>
        <v>35</v>
      </c>
      <c r="C58" s="193">
        <v>5</v>
      </c>
      <c r="D58" s="179">
        <f t="shared" si="4"/>
        <v>175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98</v>
      </c>
      <c r="B59" s="181">
        <f>'Données projet'!D67</f>
        <v>34</v>
      </c>
      <c r="C59" s="193">
        <v>20</v>
      </c>
      <c r="D59" s="179">
        <f t="shared" si="4"/>
        <v>680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108</v>
      </c>
      <c r="B60" s="181">
        <f>'Données projet'!D68</f>
        <v>39</v>
      </c>
      <c r="C60" s="193">
        <v>150</v>
      </c>
      <c r="D60" s="179">
        <f t="shared" si="4"/>
        <v>5850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118</v>
      </c>
      <c r="B61" s="181">
        <f>'Données projet'!D69</f>
        <v>40</v>
      </c>
      <c r="C61" s="193">
        <v>150</v>
      </c>
      <c r="D61" s="179">
        <f t="shared" si="4"/>
        <v>6000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128</v>
      </c>
      <c r="B62" s="181">
        <f>'Données projet'!D70</f>
        <v>39</v>
      </c>
      <c r="C62" s="193">
        <v>150</v>
      </c>
      <c r="D62" s="179">
        <f t="shared" si="4"/>
        <v>5850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138</v>
      </c>
      <c r="B63" s="181">
        <f>'Données projet'!D71</f>
        <v>39</v>
      </c>
      <c r="C63" s="193">
        <v>150</v>
      </c>
      <c r="D63" s="179">
        <f t="shared" si="4"/>
        <v>5850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148</v>
      </c>
      <c r="B64" s="181">
        <f>'Données projet'!D72</f>
        <v>41</v>
      </c>
      <c r="C64" s="193">
        <v>150</v>
      </c>
      <c r="D64" s="179">
        <f t="shared" si="4"/>
        <v>6150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185</v>
      </c>
      <c r="B65" s="181">
        <f>'Données projet'!D73</f>
        <v>41</v>
      </c>
      <c r="C65" s="193">
        <v>150</v>
      </c>
      <c r="D65" s="179">
        <f t="shared" si="4"/>
        <v>6150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168</v>
      </c>
      <c r="B66" s="181">
        <f>'Données projet'!D74</f>
        <v>41</v>
      </c>
      <c r="C66" s="193">
        <v>150</v>
      </c>
      <c r="D66" s="179">
        <f t="shared" si="4"/>
        <v>6150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180</v>
      </c>
      <c r="B67" s="181">
        <f>'Données projet'!D75</f>
        <v>368</v>
      </c>
      <c r="C67" s="193">
        <v>200</v>
      </c>
      <c r="D67" s="179">
        <f t="shared" si="4"/>
        <v>73600</v>
      </c>
      <c r="E67" s="193">
        <v>60</v>
      </c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EA523A43B6244795B1699B620A3B37" ma:contentTypeVersion="15" ma:contentTypeDescription="Crée un document." ma:contentTypeScope="" ma:versionID="bc0ba9cbcfe30ecdcf0dfcdf9be081da">
  <xsd:schema xmlns:xsd="http://www.w3.org/2001/XMLSchema" xmlns:xs="http://www.w3.org/2001/XMLSchema" xmlns:p="http://schemas.microsoft.com/office/2006/metadata/properties" xmlns:ns2="e8ccb64d-982d-4ad5-aee8-babd18a39105" xmlns:ns3="60002579-1890-4f1e-b730-80edde186326" targetNamespace="http://schemas.microsoft.com/office/2006/metadata/properties" ma:root="true" ma:fieldsID="64f92ae60706e75a33500fdea8d4daf7" ns2:_="" ns3:_="">
    <xsd:import namespace="e8ccb64d-982d-4ad5-aee8-babd18a39105"/>
    <xsd:import namespace="60002579-1890-4f1e-b730-80edde1863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cb64d-982d-4ad5-aee8-babd18a39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2579-1890-4f1e-b730-80edde18632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565a48-7421-48db-91d5-47456c0d9a26}" ma:internalName="TaxCatchAll" ma:showField="CatchAllData" ma:web="60002579-1890-4f1e-b730-80edde1863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A64EAC-F2D2-482A-B8BC-A0EA95F3C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ccb64d-982d-4ad5-aee8-babd18a39105"/>
    <ds:schemaRef ds:uri="60002579-1890-4f1e-b730-80edde1863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230AEA-9CC9-447C-B12E-25CEB48CCE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Hortense Wiart</cp:lastModifiedBy>
  <dcterms:created xsi:type="dcterms:W3CDTF">2021-02-01T08:22:39Z</dcterms:created>
  <dcterms:modified xsi:type="dcterms:W3CDTF">2022-10-03T09:42:45Z</dcterms:modified>
</cp:coreProperties>
</file>