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3-DEPOSE/044-R-BARTHELEMY-GES(51)-LE BOIS DES LIMONS-Boursault&amp;StMartind'Ablois/"/>
    </mc:Choice>
  </mc:AlternateContent>
  <xr:revisionPtr revIDLastSave="0" documentId="13_ncr:1_{C85B7F4D-B540-184F-85FF-FBACBDBAE1B8}" xr6:coauthVersionLast="47" xr6:coauthVersionMax="47" xr10:uidLastSave="{00000000-0000-0000-0000-000000000000}"/>
  <bookViews>
    <workbookView xWindow="-4320" yWindow="-21100" windowWidth="38400" windowHeight="211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6" l="1"/>
  <c r="C50" i="6"/>
  <c r="C51" i="6"/>
  <c r="C52" i="6"/>
  <c r="C53" i="6"/>
  <c r="C54" i="6"/>
  <c r="C48" i="6"/>
  <c r="F38" i="1"/>
  <c r="G38" i="1"/>
  <c r="G37" i="1"/>
  <c r="F37" i="1"/>
  <c r="C153" i="6"/>
  <c r="C154" i="6"/>
  <c r="C155" i="6"/>
  <c r="C156" i="6"/>
  <c r="C157" i="6"/>
  <c r="C158" i="6"/>
  <c r="C159" i="6"/>
  <c r="C160" i="6"/>
  <c r="C161" i="6"/>
  <c r="C162" i="6"/>
  <c r="C163" i="6"/>
  <c r="C152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26" i="6"/>
  <c r="C101" i="6"/>
  <c r="C102" i="6"/>
  <c r="C103" i="6"/>
  <c r="C104" i="6"/>
  <c r="C105" i="6"/>
  <c r="C106" i="6"/>
  <c r="C107" i="6"/>
  <c r="C100" i="6"/>
  <c r="C75" i="6"/>
  <c r="C76" i="6"/>
  <c r="C77" i="6"/>
  <c r="C78" i="6"/>
  <c r="C79" i="6"/>
  <c r="C80" i="6"/>
  <c r="C74" i="6"/>
  <c r="E151" i="6" l="1"/>
  <c r="E125" i="6"/>
  <c r="E99" i="6"/>
  <c r="E73" i="6"/>
  <c r="E47" i="6"/>
  <c r="E21" i="6"/>
  <c r="J14" i="6"/>
  <c r="J15" i="6"/>
  <c r="J16" i="6"/>
  <c r="J13" i="6"/>
  <c r="J12" i="6"/>
  <c r="C140" i="6" l="1"/>
  <c r="C139" i="6"/>
  <c r="C91" i="6"/>
  <c r="C92" i="6"/>
  <c r="C93" i="6"/>
  <c r="C90" i="6" l="1"/>
  <c r="C89" i="6"/>
  <c r="C88" i="6"/>
  <c r="C87" i="6"/>
  <c r="C86" i="6"/>
  <c r="C85" i="6"/>
  <c r="C84" i="6"/>
  <c r="C83" i="6"/>
  <c r="C82" i="6"/>
  <c r="C81" i="6"/>
  <c r="C23" i="6" l="1"/>
  <c r="C24" i="6"/>
  <c r="C25" i="6"/>
  <c r="C26" i="6"/>
  <c r="C27" i="6"/>
  <c r="C28" i="6"/>
  <c r="C29" i="6"/>
  <c r="C22" i="6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L20" i="6" l="1"/>
  <c r="S63" i="6"/>
  <c r="H19" i="2"/>
  <c r="D20" i="2"/>
  <c r="G20" i="2" s="1"/>
  <c r="S36" i="6"/>
  <c r="J33" i="6" l="1"/>
  <c r="S64" i="6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EV4" i="2" s="1"/>
  <c r="DX4" i="2"/>
  <c r="GI4" i="2"/>
  <c r="CI4" i="2"/>
  <c r="ET4" i="2"/>
  <c r="EW4" i="2" s="1"/>
  <c r="DC4" i="2"/>
  <c r="BM4" i="2"/>
  <c r="DD4" i="2"/>
  <c r="DG4" i="2" s="1"/>
  <c r="CH4" i="2"/>
  <c r="BN4" i="2"/>
  <c r="AS4" i="2"/>
  <c r="AR4" i="2"/>
  <c r="FN4" i="2"/>
  <c r="X4" i="2"/>
  <c r="W4" i="2"/>
  <c r="HB4" i="2"/>
  <c r="HC4" i="2"/>
  <c r="HI4" i="2" s="1"/>
  <c r="GH4" i="2"/>
  <c r="GN4" i="2" s="1"/>
  <c r="GK4" i="2"/>
  <c r="GS4" i="2"/>
  <c r="GR4" i="2"/>
  <c r="FP4" i="2"/>
  <c r="GG4" i="2"/>
  <c r="FX4" i="2"/>
  <c r="FW4" i="2"/>
  <c r="FL4" i="2"/>
  <c r="FC4" i="2"/>
  <c r="FM4" i="2"/>
  <c r="FS4" i="2" s="1"/>
  <c r="ER4" i="2"/>
  <c r="EX4" i="2" s="1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DF4" i="2"/>
  <c r="GM4" i="2"/>
  <c r="HH4" i="2"/>
  <c r="HG4" i="2"/>
  <c r="FQ4" i="2"/>
  <c r="GL4" i="2"/>
  <c r="EC4" i="2"/>
  <c r="CM4" i="2"/>
  <c r="BR4" i="2"/>
  <c r="BQ4" i="2"/>
  <c r="DH4" i="2"/>
  <c r="EA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W5" i="2" s="1"/>
  <c r="ES5" i="2"/>
  <c r="EV5" i="2" s="1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GN5" i="2" s="1"/>
  <c r="HC5" i="2"/>
  <c r="HG5" i="2" s="1"/>
  <c r="GK5" i="2"/>
  <c r="FW5" i="2"/>
  <c r="FM5" i="2"/>
  <c r="FS5" i="2" s="1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GL5" i="2"/>
  <c r="FQ5" i="2"/>
  <c r="GM5" i="2"/>
  <c r="HH5" i="2"/>
  <c r="HG6" i="2"/>
  <c r="DH5" i="2"/>
  <c r="DF5" i="2"/>
  <c r="EA5" i="2"/>
  <c r="EC5" i="2"/>
  <c r="EB5" i="2"/>
  <c r="DG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EW6" i="2" s="1"/>
  <c r="FO6" i="2"/>
  <c r="FR6" i="2" s="1"/>
  <c r="FN6" i="2"/>
  <c r="FQ6" i="2" s="1"/>
  <c r="DY6" i="2"/>
  <c r="ES6" i="2"/>
  <c r="EV6" i="2" s="1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N6" i="2" s="1"/>
  <c r="GK6" i="2"/>
  <c r="FL6" i="2"/>
  <c r="FC6" i="2"/>
  <c r="FW6" i="2"/>
  <c r="FM6" i="2"/>
  <c r="FP6" i="2"/>
  <c r="FS6" i="2" s="1"/>
  <c r="FB6" i="2"/>
  <c r="DZ6" i="2"/>
  <c r="DL6" i="2"/>
  <c r="DE6" i="2"/>
  <c r="FX6" i="2"/>
  <c r="EQ6" i="2"/>
  <c r="EH6" i="2"/>
  <c r="CJ6" i="2"/>
  <c r="GG6" i="2"/>
  <c r="ER6" i="2"/>
  <c r="EX6" i="2" s="1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GM6" i="2" l="1"/>
  <c r="GL6" i="2"/>
  <c r="HI6" i="2"/>
  <c r="EC6" i="2"/>
  <c r="EB6" i="2"/>
  <c r="DH6" i="2"/>
  <c r="HH7" i="2"/>
  <c r="DF6" i="2"/>
  <c r="EA6" i="2"/>
  <c r="DG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R7" i="2" s="1"/>
  <c r="FN7" i="2"/>
  <c r="FQ7" i="2" s="1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G7" i="2" s="1"/>
  <c r="HF7" i="2"/>
  <c r="GK7" i="2"/>
  <c r="GS7" i="2"/>
  <c r="GG7" i="2"/>
  <c r="FX7" i="2"/>
  <c r="GR7" i="2"/>
  <c r="FL7" i="2"/>
  <c r="FC7" i="2"/>
  <c r="GH7" i="2"/>
  <c r="GN7" i="2" s="1"/>
  <c r="FW7" i="2"/>
  <c r="FM7" i="2"/>
  <c r="FS7" i="2" s="1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GL7" i="2"/>
  <c r="HI7" i="2"/>
  <c r="GM7" i="2"/>
  <c r="EA7" i="2"/>
  <c r="DH7" i="2"/>
  <c r="EB7" i="2"/>
  <c r="EC7" i="2"/>
  <c r="DF7" i="2"/>
  <c r="DG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HG8" i="2" s="1"/>
  <c r="GJ8" i="2"/>
  <c r="FO8" i="2"/>
  <c r="HE8" i="2"/>
  <c r="GI8" i="2"/>
  <c r="DY8" i="2"/>
  <c r="ES8" i="2"/>
  <c r="EV8" i="2" s="1"/>
  <c r="DX8" i="2"/>
  <c r="FN8" i="2"/>
  <c r="ET8" i="2"/>
  <c r="EW8" i="2" s="1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N8" i="2" s="1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I8" i="2" l="1"/>
  <c r="HI9" i="2" s="1"/>
  <c r="GL8" i="2"/>
  <c r="HH8" i="2"/>
  <c r="FR8" i="2"/>
  <c r="GM8" i="2"/>
  <c r="FQ8" i="2"/>
  <c r="EB8" i="2"/>
  <c r="HH9" i="2"/>
  <c r="DH8" i="2"/>
  <c r="EC8" i="2"/>
  <c r="EA8" i="2"/>
  <c r="DF8" i="2"/>
  <c r="DG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GL9" i="2" s="1"/>
  <c r="ES9" i="2"/>
  <c r="DX9" i="2"/>
  <c r="CH9" i="2"/>
  <c r="AS9" i="2"/>
  <c r="CI9" i="2"/>
  <c r="X9" i="2"/>
  <c r="AR9" i="2"/>
  <c r="BN9" i="2"/>
  <c r="BM9" i="2"/>
  <c r="ET9" i="2"/>
  <c r="EW9" i="2" s="1"/>
  <c r="DC9" i="2"/>
  <c r="W9" i="2"/>
  <c r="HF9" i="2"/>
  <c r="HB9" i="2"/>
  <c r="GR9" i="2"/>
  <c r="GH9" i="2"/>
  <c r="GN9" i="2" s="1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X9" i="2" s="1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10" i="2" l="1"/>
  <c r="EX10" i="2"/>
  <c r="FQ9" i="2"/>
  <c r="FR9" i="2"/>
  <c r="GM9" i="2"/>
  <c r="EV9" i="2"/>
  <c r="DH9" i="2"/>
  <c r="EC9" i="2"/>
  <c r="EA9" i="2"/>
  <c r="EB9" i="2"/>
  <c r="DF9" i="2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EW10" i="2" s="1"/>
  <c r="FN10" i="2"/>
  <c r="FQ10" i="2" s="1"/>
  <c r="FO10" i="2"/>
  <c r="BN10" i="2"/>
  <c r="ES10" i="2"/>
  <c r="EV10" i="2" s="1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GN10" i="2" s="1"/>
  <c r="FL10" i="2"/>
  <c r="FC10" i="2"/>
  <c r="GK10" i="2"/>
  <c r="FW10" i="2"/>
  <c r="FM10" i="2"/>
  <c r="FR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GM10" i="2" l="1"/>
  <c r="GL10" i="2"/>
  <c r="HG10" i="2"/>
  <c r="DH10" i="2"/>
  <c r="EA10" i="2"/>
  <c r="EB10" i="2"/>
  <c r="EC10" i="2"/>
  <c r="DF10" i="2"/>
  <c r="DG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HH11" i="2" s="1"/>
  <c r="GI11" i="2"/>
  <c r="GL11" i="2" s="1"/>
  <c r="FO11" i="2"/>
  <c r="FR11" i="2" s="1"/>
  <c r="ES11" i="2"/>
  <c r="ET11" i="2"/>
  <c r="EW11" i="2" s="1"/>
  <c r="FN11" i="2"/>
  <c r="FQ11" i="2" s="1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I11" i="2" s="1"/>
  <c r="HF11" i="2"/>
  <c r="GK11" i="2"/>
  <c r="GS11" i="2"/>
  <c r="GG11" i="2"/>
  <c r="FX11" i="2"/>
  <c r="FL11" i="2"/>
  <c r="FC11" i="2"/>
  <c r="GR11" i="2"/>
  <c r="FW11" i="2"/>
  <c r="FM11" i="2"/>
  <c r="GH11" i="2"/>
  <c r="GN11" i="2" s="1"/>
  <c r="EU11" i="2"/>
  <c r="EG11" i="2"/>
  <c r="DW11" i="2"/>
  <c r="DB11" i="2"/>
  <c r="DZ11" i="2"/>
  <c r="DL11" i="2"/>
  <c r="DE11" i="2"/>
  <c r="EQ11" i="2"/>
  <c r="EH11" i="2"/>
  <c r="CJ11" i="2"/>
  <c r="FP11" i="2"/>
  <c r="FS11" i="2" s="1"/>
  <c r="FB11" i="2"/>
  <c r="ER11" i="2"/>
  <c r="EX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V11" i="2" l="1"/>
  <c r="HG11" i="2"/>
  <c r="GM11" i="2"/>
  <c r="AU11" i="2"/>
  <c r="FR12" i="2"/>
  <c r="EC11" i="2"/>
  <c r="EB11" i="2"/>
  <c r="EA11" i="2"/>
  <c r="DH11" i="2"/>
  <c r="DF11" i="2"/>
  <c r="DG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GM12" i="2" s="1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HI12" i="2" s="1"/>
  <c r="GR12" i="2"/>
  <c r="GH12" i="2"/>
  <c r="GN12" i="2" s="1"/>
  <c r="HF12" i="2"/>
  <c r="GK12" i="2"/>
  <c r="GS12" i="2"/>
  <c r="FP12" i="2"/>
  <c r="FB12" i="2"/>
  <c r="GG12" i="2"/>
  <c r="FX12" i="2"/>
  <c r="FL12" i="2"/>
  <c r="FC12" i="2"/>
  <c r="FW12" i="2"/>
  <c r="ER12" i="2"/>
  <c r="EX12" i="2" s="1"/>
  <c r="DV12" i="2"/>
  <c r="DM12" i="2"/>
  <c r="DA12" i="2"/>
  <c r="EU12" i="2"/>
  <c r="EG12" i="2"/>
  <c r="DW12" i="2"/>
  <c r="DB12" i="2"/>
  <c r="FM12" i="2"/>
  <c r="FS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FQ12" i="2" l="1"/>
  <c r="EW12" i="2"/>
  <c r="GL12" i="2"/>
  <c r="HH12" i="2"/>
  <c r="HG12" i="2"/>
  <c r="EV12" i="2"/>
  <c r="DH12" i="2"/>
  <c r="AW12" i="2"/>
  <c r="EB12" i="2"/>
  <c r="EC12" i="2"/>
  <c r="EA12" i="2"/>
  <c r="AU12" i="2"/>
  <c r="DF12" i="2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HH13" i="2" s="1"/>
  <c r="GJ13" i="2"/>
  <c r="GI13" i="2"/>
  <c r="FO13" i="2"/>
  <c r="FR13" i="2" s="1"/>
  <c r="FN13" i="2"/>
  <c r="FQ13" i="2" s="1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N13" i="2" s="1"/>
  <c r="GK13" i="2"/>
  <c r="GS13" i="2"/>
  <c r="FW13" i="2"/>
  <c r="FM13" i="2"/>
  <c r="FS13" i="2" s="1"/>
  <c r="FP13" i="2"/>
  <c r="FB13" i="2"/>
  <c r="GG13" i="2"/>
  <c r="FX13" i="2"/>
  <c r="EQ13" i="2"/>
  <c r="EH13" i="2"/>
  <c r="CJ13" i="2"/>
  <c r="FL13" i="2"/>
  <c r="FC13" i="2"/>
  <c r="ER13" i="2"/>
  <c r="EX13" i="2" s="1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GL13" i="2" l="1"/>
  <c r="GM13" i="2"/>
  <c r="EV13" i="2"/>
  <c r="EW13" i="2"/>
  <c r="EW14" i="2" s="1"/>
  <c r="HG13" i="2"/>
  <c r="DH13" i="2"/>
  <c r="AU13" i="2"/>
  <c r="DG13" i="2"/>
  <c r="DF13" i="2"/>
  <c r="EC13" i="2"/>
  <c r="EA13" i="2"/>
  <c r="EB13" i="2"/>
  <c r="CM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GL14" i="2" s="1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GN14" i="2" s="1"/>
  <c r="FL14" i="2"/>
  <c r="FC14" i="2"/>
  <c r="HB14" i="2"/>
  <c r="FW14" i="2"/>
  <c r="FM14" i="2"/>
  <c r="FS14" i="2" s="1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V14" i="2"/>
  <c r="FQ14" i="2"/>
  <c r="AW14" i="2"/>
  <c r="GM14" i="2"/>
  <c r="FR14" i="2"/>
  <c r="DH14" i="2"/>
  <c r="EC14" i="2"/>
  <c r="EB14" i="2"/>
  <c r="EA14" i="2"/>
  <c r="CM14" i="2"/>
  <c r="DG14" i="2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M15" i="2" s="1"/>
  <c r="HD15" i="2"/>
  <c r="HE15" i="2"/>
  <c r="GI15" i="2"/>
  <c r="GL15" i="2" s="1"/>
  <c r="ES15" i="2"/>
  <c r="ET15" i="2"/>
  <c r="FN15" i="2"/>
  <c r="DY15" i="2"/>
  <c r="FO15" i="2"/>
  <c r="FR15" i="2" s="1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H15" i="2" s="1"/>
  <c r="HF15" i="2"/>
  <c r="GK15" i="2"/>
  <c r="GS15" i="2"/>
  <c r="GH15" i="2"/>
  <c r="GN15" i="2" s="1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EX15" i="2" s="1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G15" i="2" l="1"/>
  <c r="FQ15" i="2"/>
  <c r="HI15" i="2"/>
  <c r="EW15" i="2"/>
  <c r="EV15" i="2"/>
  <c r="CM15" i="2"/>
  <c r="EC15" i="2"/>
  <c r="EA15" i="2"/>
  <c r="EB15" i="2"/>
  <c r="DH15" i="2"/>
  <c r="DG15" i="2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GL16" i="2" s="1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N16" i="2" s="1"/>
  <c r="GK16" i="2"/>
  <c r="HF16" i="2"/>
  <c r="GS16" i="2"/>
  <c r="FP16" i="2"/>
  <c r="FB16" i="2"/>
  <c r="GG16" i="2"/>
  <c r="FX16" i="2"/>
  <c r="FL16" i="2"/>
  <c r="FC16" i="2"/>
  <c r="ER16" i="2"/>
  <c r="EX16" i="2" s="1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I16" i="2" l="1"/>
  <c r="GM16" i="2"/>
  <c r="HG16" i="2"/>
  <c r="FR16" i="2"/>
  <c r="EW16" i="2"/>
  <c r="FQ16" i="2"/>
  <c r="EV16" i="2"/>
  <c r="EC16" i="2"/>
  <c r="EA16" i="2"/>
  <c r="EB16" i="2"/>
  <c r="DG16" i="2"/>
  <c r="DH16" i="2"/>
  <c r="DF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HH17" i="2" s="1"/>
  <c r="GJ17" i="2"/>
  <c r="HD17" i="2"/>
  <c r="HG17" i="2" s="1"/>
  <c r="FO17" i="2"/>
  <c r="FR17" i="2" s="1"/>
  <c r="FN17" i="2"/>
  <c r="FQ17" i="2" s="1"/>
  <c r="GI17" i="2"/>
  <c r="GL17" i="2" s="1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N17" i="2" s="1"/>
  <c r="GK17" i="2"/>
  <c r="FW17" i="2"/>
  <c r="FM17" i="2"/>
  <c r="GS17" i="2"/>
  <c r="FP17" i="2"/>
  <c r="FS17" i="2" s="1"/>
  <c r="GG17" i="2"/>
  <c r="FX17" i="2"/>
  <c r="EQ17" i="2"/>
  <c r="EH17" i="2"/>
  <c r="CJ17" i="2"/>
  <c r="FB17" i="2"/>
  <c r="ER17" i="2"/>
  <c r="EX17" i="2" s="1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GM17" i="2" l="1"/>
  <c r="HI17" i="2"/>
  <c r="EV17" i="2"/>
  <c r="EW17" i="2"/>
  <c r="DG17" i="2"/>
  <c r="EC17" i="2"/>
  <c r="EA17" i="2"/>
  <c r="EB17" i="2"/>
  <c r="DH17" i="2"/>
  <c r="DF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HH18" i="2" s="1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GN18" i="2" s="1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R18" i="2" l="1"/>
  <c r="FQ18" i="2"/>
  <c r="GM18" i="2"/>
  <c r="GM19" i="2" s="1"/>
  <c r="EV18" i="2"/>
  <c r="GL18" i="2"/>
  <c r="HI18" i="2"/>
  <c r="HG18" i="2"/>
  <c r="EC18" i="2"/>
  <c r="DG18" i="2"/>
  <c r="EB18" i="2"/>
  <c r="EA18" i="2"/>
  <c r="CM18" i="2"/>
  <c r="DH18" i="2"/>
  <c r="DF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GL19" i="2" s="1"/>
  <c r="FO19" i="2"/>
  <c r="FR19" i="2" s="1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GN19" i="2" s="1"/>
  <c r="FL19" i="2"/>
  <c r="FC19" i="2"/>
  <c r="FW19" i="2"/>
  <c r="FM19" i="2"/>
  <c r="FS19" i="2" s="1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EX19" i="2" s="1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HG19" i="2"/>
  <c r="EW19" i="2"/>
  <c r="EV19" i="2"/>
  <c r="FQ19" i="2"/>
  <c r="HH19" i="2"/>
  <c r="EC19" i="2"/>
  <c r="EB19" i="2"/>
  <c r="DG19" i="2"/>
  <c r="EA19" i="2"/>
  <c r="DH19" i="2"/>
  <c r="DF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GL20" i="2" s="1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N20" i="2" s="1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EX20" i="2" s="1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Q20" i="2" l="1"/>
  <c r="EV20" i="2"/>
  <c r="HI20" i="2"/>
  <c r="GM20" i="2"/>
  <c r="FR20" i="2"/>
  <c r="HG20" i="2"/>
  <c r="HG21" i="2" s="1"/>
  <c r="AV20" i="2"/>
  <c r="DG20" i="2"/>
  <c r="EC20" i="2"/>
  <c r="EA20" i="2"/>
  <c r="EB20" i="2"/>
  <c r="AW20" i="2"/>
  <c r="CM20" i="2"/>
  <c r="DH20" i="2"/>
  <c r="DF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GM21" i="2" s="1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N21" i="2" s="1"/>
  <c r="HC21" i="2"/>
  <c r="GK21" i="2"/>
  <c r="FW21" i="2"/>
  <c r="FM21" i="2"/>
  <c r="FS21" i="2" s="1"/>
  <c r="FP21" i="2"/>
  <c r="GS21" i="2"/>
  <c r="GG21" i="2"/>
  <c r="FX21" i="2"/>
  <c r="EQ21" i="2"/>
  <c r="EH21" i="2"/>
  <c r="CJ21" i="2"/>
  <c r="FB21" i="2"/>
  <c r="ER21" i="2"/>
  <c r="EW21" i="2" s="1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GL21" i="2" l="1"/>
  <c r="HI21" i="2"/>
  <c r="EX21" i="2"/>
  <c r="FQ21" i="2"/>
  <c r="FR21" i="2"/>
  <c r="EC21" i="2"/>
  <c r="DG21" i="2"/>
  <c r="EA21" i="2"/>
  <c r="EB21" i="2"/>
  <c r="DH21" i="2"/>
  <c r="DF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N22" i="2" s="1"/>
  <c r="GK22" i="2"/>
  <c r="FL22" i="2"/>
  <c r="FC22" i="2"/>
  <c r="FW22" i="2"/>
  <c r="FM22" i="2"/>
  <c r="FS22" i="2" s="1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V22" i="2" l="1"/>
  <c r="HG22" i="2"/>
  <c r="FQ22" i="2"/>
  <c r="FR22" i="2"/>
  <c r="EX22" i="2"/>
  <c r="HI22" i="2"/>
  <c r="EW22" i="2"/>
  <c r="GM22" i="2"/>
  <c r="GL22" i="2"/>
  <c r="EC22" i="2"/>
  <c r="EA22" i="2"/>
  <c r="EB22" i="2"/>
  <c r="DH22" i="2"/>
  <c r="DG22" i="2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HH23" i="2" s="1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GN23" i="2" s="1"/>
  <c r="FW23" i="2"/>
  <c r="FM23" i="2"/>
  <c r="FS23" i="2" s="1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GM23" i="2"/>
  <c r="FQ23" i="2"/>
  <c r="FR23" i="2"/>
  <c r="EX23" i="2"/>
  <c r="HG23" i="2"/>
  <c r="EW23" i="2"/>
  <c r="EV23" i="2"/>
  <c r="GL23" i="2"/>
  <c r="DH23" i="2"/>
  <c r="DF23" i="2"/>
  <c r="DG23" i="2"/>
  <c r="EC23" i="2"/>
  <c r="EA23" i="2"/>
  <c r="EB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GM24" i="2" s="1"/>
  <c r="FO24" i="2"/>
  <c r="FR24" i="2" s="1"/>
  <c r="GI24" i="2"/>
  <c r="GL24" i="2" s="1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H24" i="2" s="1"/>
  <c r="HF24" i="2"/>
  <c r="GR24" i="2"/>
  <c r="GH24" i="2"/>
  <c r="GN24" i="2" s="1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FS24" i="2" s="1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X24" i="2"/>
  <c r="EW24" i="2"/>
  <c r="HI24" i="2"/>
  <c r="FQ24" i="2"/>
  <c r="EV24" i="2"/>
  <c r="CM24" i="2"/>
  <c r="DH24" i="2"/>
  <c r="EC24" i="2"/>
  <c r="EA24" i="2"/>
  <c r="EB24" i="2"/>
  <c r="DF24" i="2"/>
  <c r="DG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GM25" i="2" s="1"/>
  <c r="FO25" i="2"/>
  <c r="FN25" i="2"/>
  <c r="DY25" i="2"/>
  <c r="GI25" i="2"/>
  <c r="GL25" i="2" s="1"/>
  <c r="DD25" i="2"/>
  <c r="HD25" i="2"/>
  <c r="ES25" i="2"/>
  <c r="EV25" i="2" s="1"/>
  <c r="DX25" i="2"/>
  <c r="CH25" i="2"/>
  <c r="AS25" i="2"/>
  <c r="CI25" i="2"/>
  <c r="BM25" i="2"/>
  <c r="X25" i="2"/>
  <c r="ET25" i="2"/>
  <c r="EW25" i="2" s="1"/>
  <c r="AR25" i="2"/>
  <c r="DC25" i="2"/>
  <c r="BN25" i="2"/>
  <c r="W25" i="2"/>
  <c r="HF25" i="2"/>
  <c r="HB25" i="2"/>
  <c r="GR25" i="2"/>
  <c r="GH25" i="2"/>
  <c r="GN25" i="2" s="1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H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G25" i="2" l="1"/>
  <c r="HI25" i="2"/>
  <c r="EX25" i="2"/>
  <c r="FQ25" i="2"/>
  <c r="FR25" i="2"/>
  <c r="EC25" i="2"/>
  <c r="CM25" i="2"/>
  <c r="EB25" i="2"/>
  <c r="EA25" i="2"/>
  <c r="DH25" i="2"/>
  <c r="DG25" i="2"/>
  <c r="DF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EW26" i="2" s="1"/>
  <c r="FN26" i="2"/>
  <c r="FQ26" i="2" s="1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H26" i="2" s="1"/>
  <c r="HF26" i="2"/>
  <c r="GS26" i="2"/>
  <c r="HB26" i="2"/>
  <c r="GR26" i="2"/>
  <c r="GH26" i="2"/>
  <c r="GN26" i="2" s="1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GM26" i="2" l="1"/>
  <c r="FR26" i="2"/>
  <c r="GL26" i="2"/>
  <c r="EV26" i="2"/>
  <c r="HG26" i="2"/>
  <c r="EX26" i="2"/>
  <c r="HI26" i="2"/>
  <c r="EB26" i="2"/>
  <c r="CM26" i="2"/>
  <c r="EA26" i="2"/>
  <c r="EC26" i="2"/>
  <c r="DG26" i="2"/>
  <c r="DH26" i="2"/>
  <c r="DF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M27" i="2" s="1"/>
  <c r="HD27" i="2"/>
  <c r="HE27" i="2"/>
  <c r="HH27" i="2" s="1"/>
  <c r="GI27" i="2"/>
  <c r="GL27" i="2" s="1"/>
  <c r="FO27" i="2"/>
  <c r="FR27" i="2" s="1"/>
  <c r="ES27" i="2"/>
  <c r="EV27" i="2" s="1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N27" i="2" s="1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G27" i="2" l="1"/>
  <c r="HI27" i="2"/>
  <c r="EX27" i="2"/>
  <c r="FQ27" i="2"/>
  <c r="EW27" i="2"/>
  <c r="EC27" i="2"/>
  <c r="CM27" i="2"/>
  <c r="EA27" i="2"/>
  <c r="EB27" i="2"/>
  <c r="AW27" i="2"/>
  <c r="DG27" i="2"/>
  <c r="DH27" i="2"/>
  <c r="DF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EW28" i="2" s="1"/>
  <c r="W28" i="2"/>
  <c r="X28" i="2"/>
  <c r="HB28" i="2"/>
  <c r="HC28" i="2"/>
  <c r="GR28" i="2"/>
  <c r="GH28" i="2"/>
  <c r="GN28" i="2" s="1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GL28" i="2" l="1"/>
  <c r="FQ28" i="2"/>
  <c r="HH28" i="2"/>
  <c r="HG28" i="2"/>
  <c r="FR28" i="2"/>
  <c r="GM28" i="2"/>
  <c r="EX28" i="2"/>
  <c r="HI28" i="2"/>
  <c r="EC28" i="2"/>
  <c r="EB28" i="2"/>
  <c r="DG28" i="2"/>
  <c r="CM28" i="2"/>
  <c r="DF28" i="2"/>
  <c r="EA28" i="2"/>
  <c r="DH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R29" i="2" s="1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N29" i="2" s="1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HI30" i="2" s="1"/>
  <c r="EX29" i="2"/>
  <c r="EW29" i="2"/>
  <c r="EV29" i="2"/>
  <c r="FQ29" i="2"/>
  <c r="HG29" i="2"/>
  <c r="GM29" i="2"/>
  <c r="GL29" i="2"/>
  <c r="HH29" i="2"/>
  <c r="EC29" i="2"/>
  <c r="CM29" i="2"/>
  <c r="EA29" i="2"/>
  <c r="EB29" i="2"/>
  <c r="DH29" i="2"/>
  <c r="DG29" i="2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HH30" i="2" s="1"/>
  <c r="GI30" i="2"/>
  <c r="GJ30" i="2"/>
  <c r="ET30" i="2"/>
  <c r="EW30" i="2" s="1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GN30" i="2" s="1"/>
  <c r="FL30" i="2"/>
  <c r="FC30" i="2"/>
  <c r="FW30" i="2"/>
  <c r="FM30" i="2"/>
  <c r="FS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FQ30" i="2" l="1"/>
  <c r="GM30" i="2"/>
  <c r="EX30" i="2"/>
  <c r="FR30" i="2"/>
  <c r="GL30" i="2"/>
  <c r="HG30" i="2"/>
  <c r="CM30" i="2"/>
  <c r="EA30" i="2"/>
  <c r="EB30" i="2"/>
  <c r="EC30" i="2"/>
  <c r="DH30" i="2"/>
  <c r="DG30" i="2"/>
  <c r="DF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M31" i="2" s="1"/>
  <c r="HD31" i="2"/>
  <c r="HE31" i="2"/>
  <c r="GI31" i="2"/>
  <c r="ES31" i="2"/>
  <c r="ET31" i="2"/>
  <c r="FN31" i="2"/>
  <c r="FQ31" i="2" s="1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I31" i="2" s="1"/>
  <c r="HF31" i="2"/>
  <c r="HB31" i="2"/>
  <c r="GK31" i="2"/>
  <c r="GS31" i="2"/>
  <c r="GG31" i="2"/>
  <c r="FX31" i="2"/>
  <c r="GH31" i="2"/>
  <c r="GN31" i="2" s="1"/>
  <c r="FL31" i="2"/>
  <c r="FC31" i="2"/>
  <c r="FW31" i="2"/>
  <c r="FM31" i="2"/>
  <c r="FS31" i="2" s="1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R31" i="2" l="1"/>
  <c r="EW31" i="2"/>
  <c r="EX31" i="2"/>
  <c r="EV31" i="2"/>
  <c r="HH31" i="2"/>
  <c r="GL31" i="2"/>
  <c r="HG31" i="2"/>
  <c r="HG32" i="2" s="1"/>
  <c r="EB31" i="2"/>
  <c r="EC31" i="2"/>
  <c r="EA31" i="2"/>
  <c r="CM31" i="2"/>
  <c r="DH31" i="2"/>
  <c r="DF31" i="2"/>
  <c r="DG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GM32" i="2" s="1"/>
  <c r="HE32" i="2"/>
  <c r="HH32" i="2" s="1"/>
  <c r="FO32" i="2"/>
  <c r="GI32" i="2"/>
  <c r="DY32" i="2"/>
  <c r="ES32" i="2"/>
  <c r="EV32" i="2" s="1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I32" i="2" s="1"/>
  <c r="GR32" i="2"/>
  <c r="GK32" i="2"/>
  <c r="HF32" i="2"/>
  <c r="GS32" i="2"/>
  <c r="FP32" i="2"/>
  <c r="GG32" i="2"/>
  <c r="FX32" i="2"/>
  <c r="GH32" i="2"/>
  <c r="GN32" i="2" s="1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FS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GL32" i="2" l="1"/>
  <c r="FR32" i="2"/>
  <c r="EX32" i="2"/>
  <c r="FQ32" i="2"/>
  <c r="EW32" i="2"/>
  <c r="CM32" i="2"/>
  <c r="EC32" i="2"/>
  <c r="EB32" i="2"/>
  <c r="EA32" i="2"/>
  <c r="DH32" i="2"/>
  <c r="DF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GM33" i="2" s="1"/>
  <c r="HD33" i="2"/>
  <c r="FO33" i="2"/>
  <c r="FR33" i="2" s="1"/>
  <c r="FN33" i="2"/>
  <c r="FQ33" i="2" s="1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HG34" i="2" s="1"/>
  <c r="EX33" i="2"/>
  <c r="GL33" i="2"/>
  <c r="HI33" i="2"/>
  <c r="GN33" i="2"/>
  <c r="FS33" i="2"/>
  <c r="FS34" i="2" s="1"/>
  <c r="EB33" i="2"/>
  <c r="EA33" i="2"/>
  <c r="EC33" i="2"/>
  <c r="DF33" i="2"/>
  <c r="DG33" i="2"/>
  <c r="DH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HH34" i="2" s="1"/>
  <c r="GI34" i="2"/>
  <c r="GJ34" i="2"/>
  <c r="ET34" i="2"/>
  <c r="EW34" i="2" s="1"/>
  <c r="FN34" i="2"/>
  <c r="FQ34" i="2" s="1"/>
  <c r="DD34" i="2"/>
  <c r="BN34" i="2"/>
  <c r="DY34" i="2"/>
  <c r="CH34" i="2"/>
  <c r="AS34" i="2"/>
  <c r="DC34" i="2"/>
  <c r="W34" i="2"/>
  <c r="X34" i="2"/>
  <c r="ES34" i="2"/>
  <c r="EV34" i="2" s="1"/>
  <c r="DX34" i="2"/>
  <c r="FO34" i="2"/>
  <c r="FR34" i="2" s="1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L34" i="2" l="1"/>
  <c r="GN34" i="2"/>
  <c r="HI34" i="2"/>
  <c r="GM34" i="2"/>
  <c r="DH34" i="2"/>
  <c r="EX34" i="2"/>
  <c r="CM34" i="2"/>
  <c r="EB34" i="2"/>
  <c r="EA34" i="2"/>
  <c r="EC34" i="2"/>
  <c r="DF34" i="2"/>
  <c r="DG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GL35" i="2" s="1"/>
  <c r="FO35" i="2"/>
  <c r="FR35" i="2" s="1"/>
  <c r="ES35" i="2"/>
  <c r="EV35" i="2" s="1"/>
  <c r="ET35" i="2"/>
  <c r="EW35" i="2" s="1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G35" i="2" s="1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X35" i="2" l="1"/>
  <c r="HI35" i="2"/>
  <c r="GN35" i="2"/>
  <c r="GM35" i="2"/>
  <c r="DH35" i="2"/>
  <c r="EB35" i="2"/>
  <c r="EA35" i="2"/>
  <c r="CM35" i="2"/>
  <c r="EC35" i="2"/>
  <c r="DG35" i="2"/>
  <c r="DF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FR36" i="2" s="1"/>
  <c r="DY36" i="2"/>
  <c r="ES36" i="2"/>
  <c r="EV36" i="2" s="1"/>
  <c r="DX36" i="2"/>
  <c r="GI36" i="2"/>
  <c r="CI36" i="2"/>
  <c r="BM36" i="2"/>
  <c r="ET36" i="2"/>
  <c r="EW36" i="2" s="1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HG36" i="2" s="1"/>
  <c r="GR36" i="2"/>
  <c r="GK36" i="2"/>
  <c r="GS36" i="2"/>
  <c r="FP36" i="2"/>
  <c r="HF36" i="2"/>
  <c r="GG36" i="2"/>
  <c r="FX36" i="2"/>
  <c r="GH36" i="2"/>
  <c r="FL36" i="2"/>
  <c r="FC36" i="2"/>
  <c r="FM36" i="2"/>
  <c r="FS36" i="2" s="1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GL36" i="2" l="1"/>
  <c r="GN36" i="2"/>
  <c r="GM36" i="2"/>
  <c r="HI36" i="2"/>
  <c r="HH36" i="2"/>
  <c r="EX36" i="2"/>
  <c r="EA36" i="2"/>
  <c r="DH36" i="2"/>
  <c r="EB36" i="2"/>
  <c r="EC36" i="2"/>
  <c r="DF36" i="2"/>
  <c r="DG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GL37" i="2" s="1"/>
  <c r="FO37" i="2"/>
  <c r="FN37" i="2"/>
  <c r="DY37" i="2"/>
  <c r="ET37" i="2"/>
  <c r="EW37" i="2" s="1"/>
  <c r="ES37" i="2"/>
  <c r="EV37" i="2" s="1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S37" i="2" s="1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GM37" i="2"/>
  <c r="EX37" i="2"/>
  <c r="HH37" i="2"/>
  <c r="HI37" i="2"/>
  <c r="GN37" i="2"/>
  <c r="FQ37" i="2"/>
  <c r="FR37" i="2"/>
  <c r="DH37" i="2"/>
  <c r="EB37" i="2"/>
  <c r="EA37" i="2"/>
  <c r="EC37" i="2"/>
  <c r="DG37" i="2"/>
  <c r="DF37" i="2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Q38" i="2"/>
  <c r="FR38" i="2"/>
  <c r="EW38" i="2"/>
  <c r="GN38" i="2"/>
  <c r="GM38" i="2"/>
  <c r="GL38" i="2"/>
  <c r="EV38" i="2"/>
  <c r="HI38" i="2"/>
  <c r="HH38" i="2"/>
  <c r="EX38" i="2"/>
  <c r="EB38" i="2"/>
  <c r="EA38" i="2"/>
  <c r="EC38" i="2"/>
  <c r="CM38" i="2"/>
  <c r="DH38" i="2"/>
  <c r="DG38" i="2"/>
  <c r="DF38" i="2"/>
  <c r="BR38" i="2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M39" i="2" s="1"/>
  <c r="HD39" i="2"/>
  <c r="HE39" i="2"/>
  <c r="GI39" i="2"/>
  <c r="GL39" i="2" s="1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FS39" i="2" s="1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I39" i="2" l="1"/>
  <c r="HH39" i="2"/>
  <c r="HG39" i="2"/>
  <c r="GN39" i="2"/>
  <c r="EW39" i="2"/>
  <c r="EX39" i="2"/>
  <c r="FQ39" i="2"/>
  <c r="FR39" i="2"/>
  <c r="EV39" i="2"/>
  <c r="EV40" i="2" s="1"/>
  <c r="CM39" i="2"/>
  <c r="EB39" i="2"/>
  <c r="EA39" i="2"/>
  <c r="EC39" i="2"/>
  <c r="DH39" i="2"/>
  <c r="DF39" i="2"/>
  <c r="DG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GM40" i="2" s="1"/>
  <c r="FO40" i="2"/>
  <c r="HE40" i="2"/>
  <c r="GI40" i="2"/>
  <c r="DY40" i="2"/>
  <c r="ES40" i="2"/>
  <c r="DX40" i="2"/>
  <c r="FN40" i="2"/>
  <c r="FQ40" i="2" s="1"/>
  <c r="ET40" i="2"/>
  <c r="EW40" i="2" s="1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HG40" i="2"/>
  <c r="GN40" i="2"/>
  <c r="GL40" i="2"/>
  <c r="HH40" i="2"/>
  <c r="FR40" i="2"/>
  <c r="HI40" i="2"/>
  <c r="CM40" i="2"/>
  <c r="EA40" i="2"/>
  <c r="EB40" i="2"/>
  <c r="EC40" i="2"/>
  <c r="DH40" i="2"/>
  <c r="DF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HH41" i="2" s="1"/>
  <c r="GJ41" i="2"/>
  <c r="GM41" i="2" s="1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EW41" i="2" s="1"/>
  <c r="HF41" i="2"/>
  <c r="HB41" i="2"/>
  <c r="GR41" i="2"/>
  <c r="GK41" i="2"/>
  <c r="HC41" i="2"/>
  <c r="FW41" i="2"/>
  <c r="FM41" i="2"/>
  <c r="FS41" i="2" s="1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GN41" i="2"/>
  <c r="EV41" i="2"/>
  <c r="FQ41" i="2"/>
  <c r="EX41" i="2"/>
  <c r="GL41" i="2"/>
  <c r="FR41" i="2"/>
  <c r="CM41" i="2"/>
  <c r="AW41" i="2"/>
  <c r="EA41" i="2"/>
  <c r="EB41" i="2"/>
  <c r="EC41" i="2"/>
  <c r="DH41" i="2"/>
  <c r="DG41" i="2"/>
  <c r="DF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HH42" i="2" s="1"/>
  <c r="GI42" i="2"/>
  <c r="GJ42" i="2"/>
  <c r="ET42" i="2"/>
  <c r="FN42" i="2"/>
  <c r="FQ42" i="2" s="1"/>
  <c r="FO42" i="2"/>
  <c r="FR42" i="2" s="1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S42" i="2" s="1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GL42" i="2" l="1"/>
  <c r="HG42" i="2"/>
  <c r="EV42" i="2"/>
  <c r="EX42" i="2"/>
  <c r="GN42" i="2"/>
  <c r="EW42" i="2"/>
  <c r="HI42" i="2"/>
  <c r="GM42" i="2"/>
  <c r="CM42" i="2"/>
  <c r="EA42" i="2"/>
  <c r="EB42" i="2"/>
  <c r="EC42" i="2"/>
  <c r="DH42" i="2"/>
  <c r="DF42" i="2"/>
  <c r="DG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HH43" i="2" s="1"/>
  <c r="GI43" i="2"/>
  <c r="GL43" i="2" s="1"/>
  <c r="FO43" i="2"/>
  <c r="ES43" i="2"/>
  <c r="GJ43" i="2"/>
  <c r="ET43" i="2"/>
  <c r="EW43" i="2" s="1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FS43" i="2" s="1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Q43" i="2" l="1"/>
  <c r="HI43" i="2"/>
  <c r="EV43" i="2"/>
  <c r="GN43" i="2"/>
  <c r="GM43" i="2"/>
  <c r="FR43" i="2"/>
  <c r="EX43" i="2"/>
  <c r="HG43" i="2"/>
  <c r="EA43" i="2"/>
  <c r="EB43" i="2"/>
  <c r="CM43" i="2"/>
  <c r="EC43" i="2"/>
  <c r="AW43" i="2"/>
  <c r="DH43" i="2"/>
  <c r="DF43" i="2"/>
  <c r="DG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EV44" i="2" s="1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X44" i="2" l="1"/>
  <c r="GL44" i="2"/>
  <c r="GM44" i="2"/>
  <c r="EW44" i="2"/>
  <c r="FR44" i="2"/>
  <c r="HH44" i="2"/>
  <c r="FQ44" i="2"/>
  <c r="HG44" i="2"/>
  <c r="GN44" i="2"/>
  <c r="HI44" i="2"/>
  <c r="AU44" i="2"/>
  <c r="CM44" i="2"/>
  <c r="DH44" i="2"/>
  <c r="EB44" i="2"/>
  <c r="EA44" i="2"/>
  <c r="EC44" i="2"/>
  <c r="DG44" i="2"/>
  <c r="DF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M45" i="2" s="1"/>
  <c r="GI45" i="2"/>
  <c r="GL45" i="2" s="1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G45" i="2" s="1"/>
  <c r="GR45" i="2"/>
  <c r="GK45" i="2"/>
  <c r="HB45" i="2"/>
  <c r="GS45" i="2"/>
  <c r="FW45" i="2"/>
  <c r="FM45" i="2"/>
  <c r="FS45" i="2" s="1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GN45" i="2" l="1"/>
  <c r="HH45" i="2"/>
  <c r="EV45" i="2"/>
  <c r="EW45" i="2"/>
  <c r="FQ45" i="2"/>
  <c r="FR45" i="2"/>
  <c r="EX45" i="2"/>
  <c r="HI45" i="2"/>
  <c r="CM45" i="2"/>
  <c r="DH45" i="2"/>
  <c r="EB45" i="2"/>
  <c r="EA45" i="2"/>
  <c r="EC45" i="2"/>
  <c r="DF45" i="2"/>
  <c r="DG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HH46" i="2" s="1"/>
  <c r="GI46" i="2"/>
  <c r="GJ46" i="2"/>
  <c r="ET46" i="2"/>
  <c r="EW46" i="2" s="1"/>
  <c r="FO46" i="2"/>
  <c r="FR46" i="2" s="1"/>
  <c r="FN46" i="2"/>
  <c r="FQ46" i="2" s="1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X46" i="2"/>
  <c r="GM46" i="2"/>
  <c r="GN46" i="2"/>
  <c r="GL46" i="2"/>
  <c r="HG46" i="2"/>
  <c r="EV46" i="2"/>
  <c r="CM46" i="2"/>
  <c r="EB46" i="2"/>
  <c r="EA46" i="2"/>
  <c r="EC46" i="2"/>
  <c r="DH46" i="2"/>
  <c r="DF46" i="2"/>
  <c r="DG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L47" i="2" s="1"/>
  <c r="GJ47" i="2"/>
  <c r="GM47" i="2" s="1"/>
  <c r="ES47" i="2"/>
  <c r="EV47" i="2" s="1"/>
  <c r="ET47" i="2"/>
  <c r="FN47" i="2"/>
  <c r="FQ47" i="2" s="1"/>
  <c r="FO47" i="2"/>
  <c r="FR47" i="2" s="1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S47" i="2" s="1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W47" i="2" l="1"/>
  <c r="GN47" i="2"/>
  <c r="HG47" i="2"/>
  <c r="EX47" i="2"/>
  <c r="HI47" i="2"/>
  <c r="HH47" i="2"/>
  <c r="CM47" i="2"/>
  <c r="EA47" i="2"/>
  <c r="EB47" i="2"/>
  <c r="EC47" i="2"/>
  <c r="DH47" i="2"/>
  <c r="DF47" i="2"/>
  <c r="DG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GL48" i="2" s="1"/>
  <c r="DY48" i="2"/>
  <c r="ES48" i="2"/>
  <c r="DX48" i="2"/>
  <c r="FN48" i="2"/>
  <c r="FQ48" i="2" s="1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R48" i="2"/>
  <c r="EW48" i="2"/>
  <c r="HI48" i="2"/>
  <c r="EV48" i="2"/>
  <c r="EX48" i="2"/>
  <c r="GN48" i="2"/>
  <c r="GM48" i="2"/>
  <c r="GM49" i="2" s="1"/>
  <c r="CM48" i="2"/>
  <c r="EA48" i="2"/>
  <c r="EB48" i="2"/>
  <c r="EC48" i="2"/>
  <c r="DH48" i="2"/>
  <c r="DG48" i="2"/>
  <c r="DF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R49" i="2" s="1"/>
  <c r="FN49" i="2"/>
  <c r="GI49" i="2"/>
  <c r="GL49" i="2" s="1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H49" i="2" s="1"/>
  <c r="GR49" i="2"/>
  <c r="GK49" i="2"/>
  <c r="FW49" i="2"/>
  <c r="FM49" i="2"/>
  <c r="FS49" i="2" s="1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V49" i="2" l="1"/>
  <c r="GN49" i="2"/>
  <c r="FQ49" i="2"/>
  <c r="EX49" i="2"/>
  <c r="HI49" i="2"/>
  <c r="HG49" i="2"/>
  <c r="EW49" i="2"/>
  <c r="CM49" i="2"/>
  <c r="DH49" i="2"/>
  <c r="EB49" i="2"/>
  <c r="EC49" i="2"/>
  <c r="EA49" i="2"/>
  <c r="DG49" i="2"/>
  <c r="DF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HH50" i="2" s="1"/>
  <c r="GI50" i="2"/>
  <c r="GL50" i="2" s="1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X50" i="2"/>
  <c r="HG50" i="2"/>
  <c r="EV50" i="2"/>
  <c r="FR50" i="2"/>
  <c r="FQ50" i="2"/>
  <c r="GN50" i="2"/>
  <c r="EW50" i="2"/>
  <c r="GM50" i="2"/>
  <c r="GM51" i="2" s="1"/>
  <c r="DH50" i="2"/>
  <c r="EA50" i="2"/>
  <c r="EB50" i="2"/>
  <c r="EC50" i="2"/>
  <c r="DG50" i="2"/>
  <c r="DF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HH51" i="2" s="1"/>
  <c r="GI51" i="2"/>
  <c r="GL51" i="2" s="1"/>
  <c r="FO51" i="2"/>
  <c r="FR51" i="2" s="1"/>
  <c r="ES51" i="2"/>
  <c r="EV51" i="2" s="1"/>
  <c r="ET51" i="2"/>
  <c r="EW51" i="2" s="1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FS51" i="2" s="1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GN51" i="2" l="1"/>
  <c r="FQ51" i="2"/>
  <c r="EX51" i="2"/>
  <c r="HG51" i="2"/>
  <c r="HI51" i="2"/>
  <c r="AW51" i="2"/>
  <c r="DH51" i="2"/>
  <c r="EB51" i="2"/>
  <c r="EA51" i="2"/>
  <c r="EC51" i="2"/>
  <c r="DF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FR52" i="2" s="1"/>
  <c r="HE52" i="2"/>
  <c r="GJ52" i="2"/>
  <c r="GM52" i="2" s="1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GL52" i="2" s="1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S52" i="2" s="1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H52" i="2" l="1"/>
  <c r="HI52" i="2"/>
  <c r="EX52" i="2"/>
  <c r="EW52" i="2"/>
  <c r="HG52" i="2"/>
  <c r="FQ52" i="2"/>
  <c r="GN52" i="2"/>
  <c r="DH52" i="2"/>
  <c r="AU52" i="2"/>
  <c r="EB52" i="2"/>
  <c r="EA52" i="2"/>
  <c r="EC52" i="2"/>
  <c r="DF52" i="2"/>
  <c r="DG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HH53" i="2" s="1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S53" i="2" s="1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GM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GN53" i="2" l="1"/>
  <c r="FR53" i="2"/>
  <c r="EW53" i="2"/>
  <c r="EV53" i="2"/>
  <c r="EX53" i="2"/>
  <c r="HI53" i="2"/>
  <c r="FQ53" i="2"/>
  <c r="GL53" i="2"/>
  <c r="HG53" i="2"/>
  <c r="EB53" i="2"/>
  <c r="EC53" i="2"/>
  <c r="EA53" i="2"/>
  <c r="AW53" i="2"/>
  <c r="DH53" i="2"/>
  <c r="DG53" i="2"/>
  <c r="DF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HH54" i="2" s="1"/>
  <c r="GI54" i="2"/>
  <c r="GL54" i="2" s="1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GM54" i="2" s="1"/>
  <c r="FL54" i="2"/>
  <c r="FC54" i="2"/>
  <c r="FW54" i="2"/>
  <c r="FM54" i="2"/>
  <c r="FS54" i="2" s="1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FR54" i="2" l="1"/>
  <c r="FQ54" i="2"/>
  <c r="EW54" i="2"/>
  <c r="HI54" i="2"/>
  <c r="EX54" i="2"/>
  <c r="HG54" i="2"/>
  <c r="GN54" i="2"/>
  <c r="EV54" i="2"/>
  <c r="EA54" i="2"/>
  <c r="EB54" i="2"/>
  <c r="EC54" i="2"/>
  <c r="DH54" i="2"/>
  <c r="DF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HH55" i="2" s="1"/>
  <c r="GI55" i="2"/>
  <c r="GL55" i="2" s="1"/>
  <c r="GJ55" i="2"/>
  <c r="GM55" i="2" s="1"/>
  <c r="ES55" i="2"/>
  <c r="EV55" i="2" s="1"/>
  <c r="ET55" i="2"/>
  <c r="EW55" i="2" s="1"/>
  <c r="FO55" i="2"/>
  <c r="FR55" i="2" s="1"/>
  <c r="FN55" i="2"/>
  <c r="FQ55" i="2" s="1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FS55" i="2" s="1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GN55" i="2" l="1"/>
  <c r="EX55" i="2"/>
  <c r="HI55" i="2"/>
  <c r="HG55" i="2"/>
  <c r="EB55" i="2"/>
  <c r="EA55" i="2"/>
  <c r="EC55" i="2"/>
  <c r="DH55" i="2"/>
  <c r="DG55" i="2"/>
  <c r="DF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GL56" i="2" s="1"/>
  <c r="DY56" i="2"/>
  <c r="HE56" i="2"/>
  <c r="HH56" i="2" s="1"/>
  <c r="ES56" i="2"/>
  <c r="EV56" i="2" s="1"/>
  <c r="DX56" i="2"/>
  <c r="FN56" i="2"/>
  <c r="FQ56" i="2" s="1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FS56" i="2" s="1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EW56" i="2"/>
  <c r="FR56" i="2"/>
  <c r="HI56" i="2"/>
  <c r="EX56" i="2"/>
  <c r="GM56" i="2"/>
  <c r="GN56" i="2"/>
  <c r="EB56" i="2"/>
  <c r="EA56" i="2"/>
  <c r="EC56" i="2"/>
  <c r="DH56" i="2"/>
  <c r="DF56" i="2"/>
  <c r="DG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GL57" i="2" s="1"/>
  <c r="DD57" i="2"/>
  <c r="ES57" i="2"/>
  <c r="DX57" i="2"/>
  <c r="CH57" i="2"/>
  <c r="AS57" i="2"/>
  <c r="CI57" i="2"/>
  <c r="BM57" i="2"/>
  <c r="X57" i="2"/>
  <c r="ET57" i="2"/>
  <c r="EW57" i="2" s="1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GN57" i="2" l="1"/>
  <c r="EX57" i="2"/>
  <c r="HI57" i="2"/>
  <c r="HI58" i="2" s="1"/>
  <c r="FR57" i="2"/>
  <c r="GM57" i="2"/>
  <c r="FQ57" i="2"/>
  <c r="HG57" i="2"/>
  <c r="HH57" i="2"/>
  <c r="EV57" i="2"/>
  <c r="EA57" i="2"/>
  <c r="EC57" i="2"/>
  <c r="EB57" i="2"/>
  <c r="DH57" i="2"/>
  <c r="DF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EW58" i="2" s="1"/>
  <c r="FN58" i="2"/>
  <c r="FQ58" i="2" s="1"/>
  <c r="FO58" i="2"/>
  <c r="FR58" i="2" s="1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GL58" i="2" s="1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V58" i="2" l="1"/>
  <c r="GM58" i="2"/>
  <c r="EX58" i="2"/>
  <c r="HH58" i="2"/>
  <c r="GN58" i="2"/>
  <c r="HG58" i="2"/>
  <c r="EB58" i="2"/>
  <c r="HH59" i="2"/>
  <c r="EA58" i="2"/>
  <c r="EC58" i="2"/>
  <c r="DH58" i="2"/>
  <c r="DF58" i="2"/>
  <c r="DG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FR59" i="2" s="1"/>
  <c r="ES59" i="2"/>
  <c r="GJ59" i="2"/>
  <c r="ET59" i="2"/>
  <c r="EW59" i="2" s="1"/>
  <c r="FN59" i="2"/>
  <c r="FQ59" i="2" s="1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HI59" i="2" s="1"/>
  <c r="GK59" i="2"/>
  <c r="HB59" i="2"/>
  <c r="GS59" i="2"/>
  <c r="GG59" i="2"/>
  <c r="FX59" i="2"/>
  <c r="GH59" i="2"/>
  <c r="FL59" i="2"/>
  <c r="FC59" i="2"/>
  <c r="GR59" i="2"/>
  <c r="FW59" i="2"/>
  <c r="FM59" i="2"/>
  <c r="FS59" i="2" s="1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GM59" i="2" l="1"/>
  <c r="EV59" i="2"/>
  <c r="GL59" i="2"/>
  <c r="GN59" i="2"/>
  <c r="EX59" i="2"/>
  <c r="HG59" i="2"/>
  <c r="DH59" i="2"/>
  <c r="EB59" i="2"/>
  <c r="EA59" i="2"/>
  <c r="EC59" i="2"/>
  <c r="DG59" i="2"/>
  <c r="DF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FR60" i="2" s="1"/>
  <c r="GI60" i="2"/>
  <c r="GL60" i="2" s="1"/>
  <c r="DY60" i="2"/>
  <c r="ES60" i="2"/>
  <c r="EV60" i="2" s="1"/>
  <c r="GJ60" i="2"/>
  <c r="GM60" i="2" s="1"/>
  <c r="DX60" i="2"/>
  <c r="DD60" i="2"/>
  <c r="CI60" i="2"/>
  <c r="BM60" i="2"/>
  <c r="FN60" i="2"/>
  <c r="FQ60" i="2" s="1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1" i="2" l="1"/>
  <c r="HH60" i="2"/>
  <c r="HH61" i="2" s="1"/>
  <c r="EX60" i="2"/>
  <c r="GN60" i="2"/>
  <c r="HG60" i="2"/>
  <c r="DH60" i="2"/>
  <c r="EA60" i="2"/>
  <c r="EB60" i="2"/>
  <c r="EC60" i="2"/>
  <c r="DG60" i="2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HG61" i="2" s="1"/>
  <c r="GI61" i="2"/>
  <c r="FO61" i="2"/>
  <c r="FR61" i="2" s="1"/>
  <c r="FN61" i="2"/>
  <c r="FQ61" i="2" s="1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GM61" i="2" l="1"/>
  <c r="GM62" i="2" s="1"/>
  <c r="EV61" i="2"/>
  <c r="EW61" i="2"/>
  <c r="GL61" i="2"/>
  <c r="GN61" i="2"/>
  <c r="EX61" i="2"/>
  <c r="EA61" i="2"/>
  <c r="DH61" i="2"/>
  <c r="EB61" i="2"/>
  <c r="EC61" i="2"/>
  <c r="DF61" i="2"/>
  <c r="DG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EW62" i="2" s="1"/>
  <c r="FO62" i="2"/>
  <c r="FR62" i="2" s="1"/>
  <c r="FN62" i="2"/>
  <c r="FQ62" i="2" s="1"/>
  <c r="DY62" i="2"/>
  <c r="ES62" i="2"/>
  <c r="EV62" i="2" s="1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FS62" i="2" s="1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X62" i="2" l="1"/>
  <c r="GN62" i="2"/>
  <c r="GL62" i="2"/>
  <c r="HG62" i="2"/>
  <c r="EB62" i="2"/>
  <c r="EC62" i="2"/>
  <c r="EA62" i="2"/>
  <c r="DH62" i="2"/>
  <c r="DF62" i="2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FQ63" i="2" s="1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I63" i="2" s="1"/>
  <c r="HF63" i="2"/>
  <c r="GK63" i="2"/>
  <c r="HB63" i="2"/>
  <c r="GS63" i="2"/>
  <c r="GG63" i="2"/>
  <c r="FX63" i="2"/>
  <c r="GH63" i="2"/>
  <c r="FL63" i="2"/>
  <c r="FC63" i="2"/>
  <c r="FW63" i="2"/>
  <c r="FM63" i="2"/>
  <c r="FS63" i="2" s="1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GN63" i="2"/>
  <c r="EX63" i="2"/>
  <c r="EW63" i="2"/>
  <c r="EV63" i="2"/>
  <c r="GM63" i="2"/>
  <c r="GL63" i="2"/>
  <c r="FR63" i="2"/>
  <c r="HH63" i="2"/>
  <c r="EC63" i="2"/>
  <c r="EA63" i="2"/>
  <c r="EB63" i="2"/>
  <c r="DH63" i="2"/>
  <c r="DG63" i="2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FR64" i="2" s="1"/>
  <c r="GJ64" i="2"/>
  <c r="GI64" i="2"/>
  <c r="DY64" i="2"/>
  <c r="ES64" i="2"/>
  <c r="EV64" i="2" s="1"/>
  <c r="DX64" i="2"/>
  <c r="FN64" i="2"/>
  <c r="ET64" i="2"/>
  <c r="EW64" i="2" s="1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FS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G64" i="2" l="1"/>
  <c r="EX64" i="2"/>
  <c r="GN64" i="2"/>
  <c r="GL64" i="2"/>
  <c r="FQ64" i="2"/>
  <c r="FQ65" i="2" s="1"/>
  <c r="GM64" i="2"/>
  <c r="EC64" i="2"/>
  <c r="EA64" i="2"/>
  <c r="EB64" i="2"/>
  <c r="DH64" i="2"/>
  <c r="DG64" i="2"/>
  <c r="DF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HG65" i="2" s="1"/>
  <c r="GJ65" i="2"/>
  <c r="FO65" i="2"/>
  <c r="FN65" i="2"/>
  <c r="GI65" i="2"/>
  <c r="DD65" i="2"/>
  <c r="ET65" i="2"/>
  <c r="EW65" i="2" s="1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HI65" i="2" s="1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HH65" i="2" l="1"/>
  <c r="GN65" i="2"/>
  <c r="GL65" i="2"/>
  <c r="EX65" i="2"/>
  <c r="EV65" i="2"/>
  <c r="FR65" i="2"/>
  <c r="GM65" i="2"/>
  <c r="EC65" i="2"/>
  <c r="DH65" i="2"/>
  <c r="EB65" i="2"/>
  <c r="EA65" i="2"/>
  <c r="DG65" i="2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G66" i="2" s="1"/>
  <c r="HE66" i="2"/>
  <c r="GI66" i="2"/>
  <c r="GJ66" i="2"/>
  <c r="ET66" i="2"/>
  <c r="EW66" i="2" s="1"/>
  <c r="FN66" i="2"/>
  <c r="DD66" i="2"/>
  <c r="BN66" i="2"/>
  <c r="CH66" i="2"/>
  <c r="AS66" i="2"/>
  <c r="DY66" i="2"/>
  <c r="DC66" i="2"/>
  <c r="W66" i="2"/>
  <c r="FO66" i="2"/>
  <c r="X66" i="2"/>
  <c r="ES66" i="2"/>
  <c r="EV66" i="2" s="1"/>
  <c r="DX66" i="2"/>
  <c r="CI66" i="2"/>
  <c r="AR66" i="2"/>
  <c r="BM66" i="2"/>
  <c r="HC66" i="2"/>
  <c r="HI66" i="2" s="1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R66" i="2"/>
  <c r="GM66" i="2"/>
  <c r="GL66" i="2"/>
  <c r="GN66" i="2"/>
  <c r="FQ66" i="2"/>
  <c r="FQ67" i="2" s="1"/>
  <c r="HH66" i="2"/>
  <c r="EA66" i="2"/>
  <c r="EB66" i="2"/>
  <c r="DH66" i="2"/>
  <c r="EC66" i="2"/>
  <c r="DG66" i="2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EW67" i="2" s="1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I67" i="2" s="1"/>
  <c r="HF67" i="2"/>
  <c r="GK67" i="2"/>
  <c r="HB67" i="2"/>
  <c r="GS67" i="2"/>
  <c r="GR67" i="2"/>
  <c r="GG67" i="2"/>
  <c r="FX67" i="2"/>
  <c r="GH67" i="2"/>
  <c r="FL67" i="2"/>
  <c r="FC67" i="2"/>
  <c r="FW67" i="2"/>
  <c r="FM67" i="2"/>
  <c r="FS67" i="2" s="1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GM67" i="2" l="1"/>
  <c r="GN67" i="2"/>
  <c r="FR67" i="2"/>
  <c r="EV67" i="2"/>
  <c r="EX67" i="2"/>
  <c r="GL67" i="2"/>
  <c r="HH67" i="2"/>
  <c r="HG67" i="2"/>
  <c r="EA67" i="2"/>
  <c r="DH67" i="2"/>
  <c r="EC67" i="2"/>
  <c r="EB67" i="2"/>
  <c r="DG67" i="2"/>
  <c r="DF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HH68" i="2" s="1"/>
  <c r="FO68" i="2"/>
  <c r="GJ68" i="2"/>
  <c r="GM68" i="2" s="1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I68" i="2" s="1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9" i="2" l="1"/>
  <c r="FR68" i="2"/>
  <c r="HG68" i="2"/>
  <c r="EX68" i="2"/>
  <c r="EV68" i="2"/>
  <c r="EW68" i="2"/>
  <c r="GN68" i="2"/>
  <c r="GL68" i="2"/>
  <c r="FQ68" i="2"/>
  <c r="EC68" i="2"/>
  <c r="EB68" i="2"/>
  <c r="DH68" i="2"/>
  <c r="EA68" i="2"/>
  <c r="DG68" i="2"/>
  <c r="DF68" i="2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W69" i="2" s="1"/>
  <c r="ES69" i="2"/>
  <c r="EV69" i="2" s="1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Q69" i="2" l="1"/>
  <c r="FR69" i="2"/>
  <c r="HG69" i="2"/>
  <c r="GN69" i="2"/>
  <c r="GM69" i="2"/>
  <c r="GL69" i="2"/>
  <c r="HH69" i="2"/>
  <c r="EX69" i="2"/>
  <c r="EA69" i="2"/>
  <c r="EC69" i="2"/>
  <c r="EB69" i="2"/>
  <c r="DH69" i="2"/>
  <c r="DG69" i="2"/>
  <c r="DF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R70" i="2" s="1"/>
  <c r="FN70" i="2"/>
  <c r="ES70" i="2"/>
  <c r="EV70" i="2" s="1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I70" i="2" s="1"/>
  <c r="HB70" i="2"/>
  <c r="GS70" i="2"/>
  <c r="GR70" i="2"/>
  <c r="GK70" i="2"/>
  <c r="GH70" i="2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GN70" i="2" l="1"/>
  <c r="EX70" i="2"/>
  <c r="GM70" i="2"/>
  <c r="FQ70" i="2"/>
  <c r="GL70" i="2"/>
  <c r="HH70" i="2"/>
  <c r="HG70" i="2"/>
  <c r="EC70" i="2"/>
  <c r="EA70" i="2"/>
  <c r="EB70" i="2"/>
  <c r="DH70" i="2"/>
  <c r="DF70" i="2"/>
  <c r="DG70" i="2"/>
  <c r="AU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GM71" i="2" s="1"/>
  <c r="ES71" i="2"/>
  <c r="EV71" i="2" s="1"/>
  <c r="ET71" i="2"/>
  <c r="EW71" i="2" s="1"/>
  <c r="FO71" i="2"/>
  <c r="FR71" i="2" s="1"/>
  <c r="FN71" i="2"/>
  <c r="FQ71" i="2" s="1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I71" i="2" s="1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GL71" i="2" l="1"/>
  <c r="HG71" i="2"/>
  <c r="EX71" i="2"/>
  <c r="GN71" i="2"/>
  <c r="EC71" i="2"/>
  <c r="EB71" i="2"/>
  <c r="EA71" i="2"/>
  <c r="DH71" i="2"/>
  <c r="DF71" i="2"/>
  <c r="DG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FR72" i="2" s="1"/>
  <c r="HE72" i="2"/>
  <c r="GJ72" i="2"/>
  <c r="GI72" i="2"/>
  <c r="ES72" i="2"/>
  <c r="DX72" i="2"/>
  <c r="FN72" i="2"/>
  <c r="ET72" i="2"/>
  <c r="EW72" i="2" s="1"/>
  <c r="CI72" i="2"/>
  <c r="BM72" i="2"/>
  <c r="DD72" i="2"/>
  <c r="DC72" i="2"/>
  <c r="AR72" i="2"/>
  <c r="AS72" i="2"/>
  <c r="DY72" i="2"/>
  <c r="CH72" i="2"/>
  <c r="BN72" i="2"/>
  <c r="X72" i="2"/>
  <c r="W72" i="2"/>
  <c r="HC72" i="2"/>
  <c r="HI72" i="2" s="1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V72" i="2" s="1"/>
  <c r="DV72" i="2"/>
  <c r="DM72" i="2"/>
  <c r="DA72" i="2"/>
  <c r="FM72" i="2"/>
  <c r="FS72" i="2" s="1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GN72" i="2" l="1"/>
  <c r="EX72" i="2"/>
  <c r="FQ72" i="2"/>
  <c r="GL72" i="2"/>
  <c r="HG72" i="2"/>
  <c r="GM72" i="2"/>
  <c r="HH72" i="2"/>
  <c r="EV73" i="2"/>
  <c r="EC72" i="2"/>
  <c r="EB72" i="2"/>
  <c r="EA72" i="2"/>
  <c r="DH72" i="2"/>
  <c r="DF72" i="2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GM73" i="2" s="1"/>
  <c r="HD73" i="2"/>
  <c r="FO73" i="2"/>
  <c r="FN73" i="2"/>
  <c r="DD73" i="2"/>
  <c r="GI73" i="2"/>
  <c r="GL73" i="2" s="1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S73" i="2" s="1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FQ73" i="2" l="1"/>
  <c r="FR73" i="2"/>
  <c r="HG73" i="2"/>
  <c r="HH73" i="2"/>
  <c r="EX73" i="2"/>
  <c r="GN73" i="2"/>
  <c r="EB73" i="2"/>
  <c r="EC73" i="2"/>
  <c r="EA73" i="2"/>
  <c r="DH73" i="2"/>
  <c r="DF73" i="2"/>
  <c r="DG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HH74" i="2" s="1"/>
  <c r="GI74" i="2"/>
  <c r="GJ74" i="2"/>
  <c r="ET74" i="2"/>
  <c r="EW74" i="2" s="1"/>
  <c r="FN74" i="2"/>
  <c r="FQ74" i="2" s="1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I74" i="2" s="1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EV74" i="2" s="1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GN74" i="2" l="1"/>
  <c r="EX74" i="2"/>
  <c r="GM74" i="2"/>
  <c r="HG74" i="2"/>
  <c r="GL74" i="2"/>
  <c r="FR74" i="2"/>
  <c r="DH74" i="2"/>
  <c r="EA74" i="2"/>
  <c r="EC74" i="2"/>
  <c r="EB74" i="2"/>
  <c r="DF74" i="2"/>
  <c r="DG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FQ75" i="2" s="1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HI75" i="2" s="1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EV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DH75" i="2" l="1"/>
  <c r="GN75" i="2"/>
  <c r="EW75" i="2"/>
  <c r="GM75" i="2"/>
  <c r="FR75" i="2"/>
  <c r="GL75" i="2"/>
  <c r="EX75" i="2"/>
  <c r="HG75" i="2"/>
  <c r="EA75" i="2"/>
  <c r="EB75" i="2"/>
  <c r="EC75" i="2"/>
  <c r="DF75" i="2"/>
  <c r="DG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GL76" i="2" s="1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EV76" i="2" s="1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X76" i="2" l="1"/>
  <c r="FR76" i="2"/>
  <c r="EW76" i="2"/>
  <c r="FQ76" i="2"/>
  <c r="GN76" i="2"/>
  <c r="GN77" i="2" s="1"/>
  <c r="GM76" i="2"/>
  <c r="HG76" i="2"/>
  <c r="EB76" i="2"/>
  <c r="EA76" i="2"/>
  <c r="DH76" i="2"/>
  <c r="EC76" i="2"/>
  <c r="DG76" i="2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HG77" i="2" s="1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S77" i="2" s="1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V77" i="2" l="1"/>
  <c r="FR77" i="2"/>
  <c r="GM77" i="2"/>
  <c r="HH77" i="2"/>
  <c r="EW77" i="2"/>
  <c r="FQ77" i="2"/>
  <c r="GL77" i="2"/>
  <c r="EX77" i="2"/>
  <c r="EB77" i="2"/>
  <c r="EA77" i="2"/>
  <c r="EC77" i="2"/>
  <c r="DH77" i="2"/>
  <c r="DG77" i="2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HH78" i="2" s="1"/>
  <c r="GI78" i="2"/>
  <c r="GJ78" i="2"/>
  <c r="ET78" i="2"/>
  <c r="EW78" i="2" s="1"/>
  <c r="FO78" i="2"/>
  <c r="FR78" i="2" s="1"/>
  <c r="FN78" i="2"/>
  <c r="FQ78" i="2" s="1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I78" i="2" s="1"/>
  <c r="HB78" i="2"/>
  <c r="GS78" i="2"/>
  <c r="GR78" i="2"/>
  <c r="GH78" i="2"/>
  <c r="GN78" i="2" s="1"/>
  <c r="FL78" i="2"/>
  <c r="FC78" i="2"/>
  <c r="FW78" i="2"/>
  <c r="FM78" i="2"/>
  <c r="FS78" i="2" s="1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GM78" i="2" l="1"/>
  <c r="HG78" i="2"/>
  <c r="GL78" i="2"/>
  <c r="EX78" i="2"/>
  <c r="EC78" i="2"/>
  <c r="EB78" i="2"/>
  <c r="EA78" i="2"/>
  <c r="DH78" i="2"/>
  <c r="DF78" i="2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FQ79" i="2" s="1"/>
  <c r="DY79" i="2"/>
  <c r="FO79" i="2"/>
  <c r="FR79" i="2" s="1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HI79" i="2" s="1"/>
  <c r="GK79" i="2"/>
  <c r="HB79" i="2"/>
  <c r="GS79" i="2"/>
  <c r="GG79" i="2"/>
  <c r="FX79" i="2"/>
  <c r="GH79" i="2"/>
  <c r="GN79" i="2" s="1"/>
  <c r="FL79" i="2"/>
  <c r="FC79" i="2"/>
  <c r="FW79" i="2"/>
  <c r="FM79" i="2"/>
  <c r="FS79" i="2" s="1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FS80" i="2" l="1"/>
  <c r="EX79" i="2"/>
  <c r="EX80" i="2" s="1"/>
  <c r="EW79" i="2"/>
  <c r="EV79" i="2"/>
  <c r="GM79" i="2"/>
  <c r="GL79" i="2"/>
  <c r="HG79" i="2"/>
  <c r="EC79" i="2"/>
  <c r="EA79" i="2"/>
  <c r="EB79" i="2"/>
  <c r="DH79" i="2"/>
  <c r="DF79" i="2"/>
  <c r="DG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FR80" i="2" s="1"/>
  <c r="GJ80" i="2"/>
  <c r="GI80" i="2"/>
  <c r="ES80" i="2"/>
  <c r="EV80" i="2" s="1"/>
  <c r="DX80" i="2"/>
  <c r="FN80" i="2"/>
  <c r="FQ80" i="2" s="1"/>
  <c r="ET80" i="2"/>
  <c r="EW80" i="2" s="1"/>
  <c r="DY80" i="2"/>
  <c r="CI80" i="2"/>
  <c r="BM80" i="2"/>
  <c r="DC80" i="2"/>
  <c r="AR80" i="2"/>
  <c r="CH80" i="2"/>
  <c r="DD80" i="2"/>
  <c r="BN80" i="2"/>
  <c r="AS80" i="2"/>
  <c r="X80" i="2"/>
  <c r="W80" i="2"/>
  <c r="HC80" i="2"/>
  <c r="HI80" i="2" s="1"/>
  <c r="GR80" i="2"/>
  <c r="GK80" i="2"/>
  <c r="HF80" i="2"/>
  <c r="HB80" i="2"/>
  <c r="GS80" i="2"/>
  <c r="FP80" i="2"/>
  <c r="GG80" i="2"/>
  <c r="FX80" i="2"/>
  <c r="GH80" i="2"/>
  <c r="GN80" i="2" s="1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GL80" i="2"/>
  <c r="GM80" i="2"/>
  <c r="EC80" i="2"/>
  <c r="EA80" i="2"/>
  <c r="EB80" i="2"/>
  <c r="DH80" i="2"/>
  <c r="DG80" i="2"/>
  <c r="DF80" i="2"/>
  <c r="AU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GM81" i="2" s="1"/>
  <c r="FO81" i="2"/>
  <c r="FN81" i="2"/>
  <c r="GI81" i="2"/>
  <c r="GL81" i="2" s="1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FS81" i="2" s="1"/>
  <c r="HB81" i="2"/>
  <c r="GS81" i="2"/>
  <c r="FP81" i="2"/>
  <c r="GG81" i="2"/>
  <c r="FX81" i="2"/>
  <c r="EQ81" i="2"/>
  <c r="EH81" i="2"/>
  <c r="CJ81" i="2"/>
  <c r="FB81" i="2"/>
  <c r="ER81" i="2"/>
  <c r="EX81" i="2" s="1"/>
  <c r="DV81" i="2"/>
  <c r="DM81" i="2"/>
  <c r="DA81" i="2"/>
  <c r="GH81" i="2"/>
  <c r="GN81" i="2" s="1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2" i="2" l="1"/>
  <c r="FQ81" i="2"/>
  <c r="FR81" i="2"/>
  <c r="FR82" i="2" s="1"/>
  <c r="HG81" i="2"/>
  <c r="HH81" i="2"/>
  <c r="EV81" i="2"/>
  <c r="EW81" i="2"/>
  <c r="EC81" i="2"/>
  <c r="EB81" i="2"/>
  <c r="EA81" i="2"/>
  <c r="AW81" i="2"/>
  <c r="DH81" i="2"/>
  <c r="DG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EW82" i="2" s="1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GN82" i="2" s="1"/>
  <c r="FL82" i="2"/>
  <c r="FC82" i="2"/>
  <c r="FW82" i="2"/>
  <c r="FM82" i="2"/>
  <c r="FS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X82" i="2" s="1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FQ82" i="2" l="1"/>
  <c r="GM82" i="2"/>
  <c r="GL82" i="2"/>
  <c r="EV82" i="2"/>
  <c r="HG82" i="2"/>
  <c r="EC82" i="2"/>
  <c r="EB82" i="2"/>
  <c r="EA82" i="2"/>
  <c r="DH82" i="2"/>
  <c r="DG82" i="2"/>
  <c r="DF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HH83" i="2" s="1"/>
  <c r="GI83" i="2"/>
  <c r="GL83" i="2" s="1"/>
  <c r="FO83" i="2"/>
  <c r="FR83" i="2" s="1"/>
  <c r="ES83" i="2"/>
  <c r="EV83" i="2" s="1"/>
  <c r="ET83" i="2"/>
  <c r="EW83" i="2" s="1"/>
  <c r="DY83" i="2"/>
  <c r="DX83" i="2"/>
  <c r="DC83" i="2"/>
  <c r="DD83" i="2"/>
  <c r="BN83" i="2"/>
  <c r="GJ83" i="2"/>
  <c r="GM83" i="2" s="1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GN83" i="2" s="1"/>
  <c r="FL83" i="2"/>
  <c r="FC83" i="2"/>
  <c r="FW83" i="2"/>
  <c r="FM83" i="2"/>
  <c r="FS83" i="2" s="1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HI84" i="2" l="1"/>
  <c r="FQ83" i="2"/>
  <c r="HG83" i="2"/>
  <c r="EC83" i="2"/>
  <c r="EA83" i="2"/>
  <c r="EB83" i="2"/>
  <c r="DH83" i="2"/>
  <c r="DF83" i="2"/>
  <c r="DG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HH84" i="2" s="1"/>
  <c r="DX84" i="2"/>
  <c r="CI84" i="2"/>
  <c r="BM84" i="2"/>
  <c r="GI84" i="2"/>
  <c r="ET84" i="2"/>
  <c r="EW84" i="2" s="1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GN84" i="2" s="1"/>
  <c r="FL84" i="2"/>
  <c r="FC84" i="2"/>
  <c r="FM84" i="2"/>
  <c r="FS84" i="2" s="1"/>
  <c r="FB84" i="2"/>
  <c r="ER84" i="2"/>
  <c r="EX84" i="2" s="1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GL84" i="2" l="1"/>
  <c r="FR84" i="2"/>
  <c r="FQ84" i="2"/>
  <c r="GM84" i="2"/>
  <c r="EV84" i="2"/>
  <c r="HG84" i="2"/>
  <c r="EB84" i="2"/>
  <c r="EA84" i="2"/>
  <c r="EC84" i="2"/>
  <c r="DH84" i="2"/>
  <c r="DF84" i="2"/>
  <c r="DG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EX85" i="2" s="1"/>
  <c r="DV85" i="2"/>
  <c r="DM85" i="2"/>
  <c r="DA85" i="2"/>
  <c r="EU85" i="2"/>
  <c r="EG85" i="2"/>
  <c r="DW85" i="2"/>
  <c r="DB85" i="2"/>
  <c r="GH85" i="2"/>
  <c r="GN85" i="2" s="1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Q85" i="2" l="1"/>
  <c r="FR85" i="2"/>
  <c r="GL85" i="2"/>
  <c r="HG85" i="2"/>
  <c r="GM85" i="2"/>
  <c r="DH85" i="2"/>
  <c r="EA85" i="2"/>
  <c r="EC85" i="2"/>
  <c r="EB85" i="2"/>
  <c r="DF85" i="2"/>
  <c r="DG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EV86" i="2" s="1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I86" i="2" s="1"/>
  <c r="HF86" i="2"/>
  <c r="HB86" i="2"/>
  <c r="GS86" i="2"/>
  <c r="GR86" i="2"/>
  <c r="GK86" i="2"/>
  <c r="GH86" i="2"/>
  <c r="GN86" i="2" s="1"/>
  <c r="FL86" i="2"/>
  <c r="FC86" i="2"/>
  <c r="FW86" i="2"/>
  <c r="FM86" i="2"/>
  <c r="FQ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X86" i="2" s="1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HG86" i="2" l="1"/>
  <c r="FR86" i="2"/>
  <c r="EW86" i="2"/>
  <c r="GM86" i="2"/>
  <c r="GL86" i="2"/>
  <c r="FS86" i="2"/>
  <c r="FS87" i="2" s="1"/>
  <c r="HH86" i="2"/>
  <c r="EC86" i="2"/>
  <c r="DH86" i="2"/>
  <c r="EB86" i="2"/>
  <c r="EA86" i="2"/>
  <c r="DF86" i="2"/>
  <c r="DG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R87" i="2" s="1"/>
  <c r="FN87" i="2"/>
  <c r="FQ87" i="2" s="1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GN87" i="2" s="1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V87" i="2" l="1"/>
  <c r="GM87" i="2"/>
  <c r="EW87" i="2"/>
  <c r="GL87" i="2"/>
  <c r="HH87" i="2"/>
  <c r="HG87" i="2"/>
  <c r="EA87" i="2"/>
  <c r="EC87" i="2"/>
  <c r="EB87" i="2"/>
  <c r="DG87" i="2"/>
  <c r="DF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FR88" i="2" s="1"/>
  <c r="GJ88" i="2"/>
  <c r="GM88" i="2" s="1"/>
  <c r="GI88" i="2"/>
  <c r="ES88" i="2"/>
  <c r="EV88" i="2" s="1"/>
  <c r="DX88" i="2"/>
  <c r="HE88" i="2"/>
  <c r="FN88" i="2"/>
  <c r="ET88" i="2"/>
  <c r="EW88" i="2" s="1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GN88" i="2" s="1"/>
  <c r="FL88" i="2"/>
  <c r="FC88" i="2"/>
  <c r="FB88" i="2"/>
  <c r="ER88" i="2"/>
  <c r="DV88" i="2"/>
  <c r="DM88" i="2"/>
  <c r="DA88" i="2"/>
  <c r="FM88" i="2"/>
  <c r="FS88" i="2" s="1"/>
  <c r="EU88" i="2"/>
  <c r="EX88" i="2" s="1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Q88" i="2"/>
  <c r="HH88" i="2"/>
  <c r="GL88" i="2"/>
  <c r="EA88" i="2"/>
  <c r="EB88" i="2"/>
  <c r="DH88" i="2"/>
  <c r="EC88" i="2"/>
  <c r="DG88" i="2"/>
  <c r="DF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HH89" i="2" s="1"/>
  <c r="GJ89" i="2"/>
  <c r="FO89" i="2"/>
  <c r="FN89" i="2"/>
  <c r="GI89" i="2"/>
  <c r="DD89" i="2"/>
  <c r="HD89" i="2"/>
  <c r="HG89" i="2" s="1"/>
  <c r="ES89" i="2"/>
  <c r="EV89" i="2" s="1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S89" i="2" s="1"/>
  <c r="FP89" i="2"/>
  <c r="GG89" i="2"/>
  <c r="FX89" i="2"/>
  <c r="HC89" i="2"/>
  <c r="HI89" i="2" s="1"/>
  <c r="GH89" i="2"/>
  <c r="GN89" i="2" s="1"/>
  <c r="FL89" i="2"/>
  <c r="FC89" i="2"/>
  <c r="EQ89" i="2"/>
  <c r="EH89" i="2"/>
  <c r="CJ89" i="2"/>
  <c r="FB89" i="2"/>
  <c r="ER89" i="2"/>
  <c r="EX89" i="2" s="1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EW89" i="2" l="1"/>
  <c r="GL89" i="2"/>
  <c r="FQ89" i="2"/>
  <c r="FR89" i="2"/>
  <c r="GM89" i="2"/>
  <c r="DH89" i="2"/>
  <c r="EC89" i="2"/>
  <c r="EA89" i="2"/>
  <c r="EB89" i="2"/>
  <c r="DF89" i="2"/>
  <c r="DG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HH90" i="2" s="1"/>
  <c r="GI90" i="2"/>
  <c r="GJ90" i="2"/>
  <c r="ET90" i="2"/>
  <c r="EW90" i="2" s="1"/>
  <c r="FN90" i="2"/>
  <c r="FQ90" i="2" s="1"/>
  <c r="FO90" i="2"/>
  <c r="FR90" i="2" s="1"/>
  <c r="DY90" i="2"/>
  <c r="BN90" i="2"/>
  <c r="ES90" i="2"/>
  <c r="EV90" i="2" s="1"/>
  <c r="DX90" i="2"/>
  <c r="CH90" i="2"/>
  <c r="AS90" i="2"/>
  <c r="DD90" i="2"/>
  <c r="DC90" i="2"/>
  <c r="W90" i="2"/>
  <c r="X90" i="2"/>
  <c r="CI90" i="2"/>
  <c r="BM90" i="2"/>
  <c r="AR90" i="2"/>
  <c r="HC90" i="2"/>
  <c r="HF90" i="2"/>
  <c r="HI90" i="2" s="1"/>
  <c r="HB90" i="2"/>
  <c r="GS90" i="2"/>
  <c r="GR90" i="2"/>
  <c r="GH90" i="2"/>
  <c r="GN90" i="2" s="1"/>
  <c r="FL90" i="2"/>
  <c r="FC90" i="2"/>
  <c r="GK90" i="2"/>
  <c r="FW90" i="2"/>
  <c r="FM90" i="2"/>
  <c r="FP90" i="2"/>
  <c r="FS90" i="2" s="1"/>
  <c r="DZ90" i="2"/>
  <c r="DL90" i="2"/>
  <c r="DE90" i="2"/>
  <c r="EQ90" i="2"/>
  <c r="EH90" i="2"/>
  <c r="CJ90" i="2"/>
  <c r="CR90" i="2"/>
  <c r="FX90" i="2"/>
  <c r="FB90" i="2"/>
  <c r="ER90" i="2"/>
  <c r="EX90" i="2" s="1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GM90" i="2" l="1"/>
  <c r="GL90" i="2"/>
  <c r="HG90" i="2"/>
  <c r="EC90" i="2"/>
  <c r="DH90" i="2"/>
  <c r="EA90" i="2"/>
  <c r="EB90" i="2"/>
  <c r="DF90" i="2"/>
  <c r="DG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HH91" i="2" s="1"/>
  <c r="GI91" i="2"/>
  <c r="FO91" i="2"/>
  <c r="FR91" i="2" s="1"/>
  <c r="ES91" i="2"/>
  <c r="GJ91" i="2"/>
  <c r="GM91" i="2" s="1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GN91" i="2" s="1"/>
  <c r="FL91" i="2"/>
  <c r="FC91" i="2"/>
  <c r="GR91" i="2"/>
  <c r="FW91" i="2"/>
  <c r="FM91" i="2"/>
  <c r="FS91" i="2" s="1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W91" i="2" l="1"/>
  <c r="EV91" i="2"/>
  <c r="GL91" i="2"/>
  <c r="HG91" i="2"/>
  <c r="FQ91" i="2"/>
  <c r="DH91" i="2"/>
  <c r="EC91" i="2"/>
  <c r="EA91" i="2"/>
  <c r="EB91" i="2"/>
  <c r="DG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HH92" i="2" s="1"/>
  <c r="FO92" i="2"/>
  <c r="GI92" i="2"/>
  <c r="GL92" i="2" s="1"/>
  <c r="ES92" i="2"/>
  <c r="GJ92" i="2"/>
  <c r="GM92" i="2" s="1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I92" i="2" s="1"/>
  <c r="GR92" i="2"/>
  <c r="HF92" i="2"/>
  <c r="GK92" i="2"/>
  <c r="HB92" i="2"/>
  <c r="GS92" i="2"/>
  <c r="FP92" i="2"/>
  <c r="GG92" i="2"/>
  <c r="FX92" i="2"/>
  <c r="GH92" i="2"/>
  <c r="GN92" i="2" s="1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V92" i="2" l="1"/>
  <c r="EV93" i="2" s="1"/>
  <c r="FR92" i="2"/>
  <c r="FQ92" i="2"/>
  <c r="HG92" i="2"/>
  <c r="DH92" i="2"/>
  <c r="EW92" i="2"/>
  <c r="EB92" i="2"/>
  <c r="EC92" i="2"/>
  <c r="EA92" i="2"/>
  <c r="DF92" i="2"/>
  <c r="DG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GM93" i="2" s="1"/>
  <c r="HD93" i="2"/>
  <c r="HG93" i="2" s="1"/>
  <c r="GI93" i="2"/>
  <c r="GL93" i="2" s="1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GN93" i="2" s="1"/>
  <c r="FL93" i="2"/>
  <c r="FC93" i="2"/>
  <c r="FB93" i="2"/>
  <c r="ER93" i="2"/>
  <c r="EX93" i="2" s="1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R93" i="2" l="1"/>
  <c r="HH93" i="2"/>
  <c r="EW93" i="2"/>
  <c r="FQ93" i="2"/>
  <c r="AW93" i="2"/>
  <c r="EB93" i="2"/>
  <c r="EC93" i="2"/>
  <c r="EA93" i="2"/>
  <c r="DH93" i="2"/>
  <c r="DG93" i="2"/>
  <c r="DF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EW94" i="2" s="1"/>
  <c r="FO94" i="2"/>
  <c r="FR94" i="2" s="1"/>
  <c r="FN94" i="2"/>
  <c r="FQ94" i="2" s="1"/>
  <c r="ES94" i="2"/>
  <c r="EV94" i="2" s="1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I94" i="2" s="1"/>
  <c r="HF94" i="2"/>
  <c r="HB94" i="2"/>
  <c r="GS94" i="2"/>
  <c r="GR94" i="2"/>
  <c r="GH94" i="2"/>
  <c r="GN94" i="2" s="1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X94" i="2" s="1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GM94" i="2" l="1"/>
  <c r="GL94" i="2"/>
  <c r="HH94" i="2"/>
  <c r="HG94" i="2"/>
  <c r="EC94" i="2"/>
  <c r="EB94" i="2"/>
  <c r="EA94" i="2"/>
  <c r="DH94" i="2"/>
  <c r="DF94" i="2"/>
  <c r="DG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GM95" i="2" s="1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GN95" i="2" s="1"/>
  <c r="FL95" i="2"/>
  <c r="FC95" i="2"/>
  <c r="FW95" i="2"/>
  <c r="FM95" i="2"/>
  <c r="FP95" i="2"/>
  <c r="FS95" i="2" s="1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R95" i="2" l="1"/>
  <c r="EW95" i="2"/>
  <c r="EV95" i="2"/>
  <c r="HG95" i="2"/>
  <c r="GL95" i="2"/>
  <c r="HH95" i="2"/>
  <c r="DH95" i="2"/>
  <c r="EB95" i="2"/>
  <c r="EC95" i="2"/>
  <c r="EA95" i="2"/>
  <c r="DF95" i="2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HH96" i="2" s="1"/>
  <c r="FO96" i="2"/>
  <c r="GJ96" i="2"/>
  <c r="GM96" i="2" s="1"/>
  <c r="GI96" i="2"/>
  <c r="ES96" i="2"/>
  <c r="EV96" i="2" s="1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GN96" i="2" s="1"/>
  <c r="FL96" i="2"/>
  <c r="FC96" i="2"/>
  <c r="FB96" i="2"/>
  <c r="ER96" i="2"/>
  <c r="EX96" i="2" s="1"/>
  <c r="DV96" i="2"/>
  <c r="DM96" i="2"/>
  <c r="DA96" i="2"/>
  <c r="FW96" i="2"/>
  <c r="EU96" i="2"/>
  <c r="EG96" i="2"/>
  <c r="DW96" i="2"/>
  <c r="DB96" i="2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GL96" i="2"/>
  <c r="FR96" i="2"/>
  <c r="HG96" i="2"/>
  <c r="EW96" i="2"/>
  <c r="EW97" i="2" s="1"/>
  <c r="EB96" i="2"/>
  <c r="DH96" i="2"/>
  <c r="EA96" i="2"/>
  <c r="EC96" i="2"/>
  <c r="DF96" i="2"/>
  <c r="DG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GM97" i="2" s="1"/>
  <c r="FO97" i="2"/>
  <c r="FN97" i="2"/>
  <c r="GI97" i="2"/>
  <c r="GL97" i="2" s="1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FS97" i="2" s="1"/>
  <c r="HB97" i="2"/>
  <c r="GS97" i="2"/>
  <c r="FP97" i="2"/>
  <c r="GG97" i="2"/>
  <c r="FX97" i="2"/>
  <c r="EQ97" i="2"/>
  <c r="EH97" i="2"/>
  <c r="CJ97" i="2"/>
  <c r="FB97" i="2"/>
  <c r="ER97" i="2"/>
  <c r="EX97" i="2" s="1"/>
  <c r="DV97" i="2"/>
  <c r="DM97" i="2"/>
  <c r="DA97" i="2"/>
  <c r="GH97" i="2"/>
  <c r="GN97" i="2" s="1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G97" i="2" l="1"/>
  <c r="EV97" i="2"/>
  <c r="FQ97" i="2"/>
  <c r="FR97" i="2"/>
  <c r="HH97" i="2"/>
  <c r="AW97" i="2"/>
  <c r="EC97" i="2"/>
  <c r="EB97" i="2"/>
  <c r="EA97" i="2"/>
  <c r="DH97" i="2"/>
  <c r="DG97" i="2"/>
  <c r="DF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HH98" i="2" s="1"/>
  <c r="GI98" i="2"/>
  <c r="GJ98" i="2"/>
  <c r="ET98" i="2"/>
  <c r="EW98" i="2" s="1"/>
  <c r="FN98" i="2"/>
  <c r="FQ98" i="2" s="1"/>
  <c r="DD98" i="2"/>
  <c r="BN98" i="2"/>
  <c r="CH98" i="2"/>
  <c r="AS98" i="2"/>
  <c r="DY98" i="2"/>
  <c r="DC98" i="2"/>
  <c r="W98" i="2"/>
  <c r="X98" i="2"/>
  <c r="ES98" i="2"/>
  <c r="EV98" i="2" s="1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GN98" i="2" s="1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G98" i="2" l="1"/>
  <c r="GL98" i="2"/>
  <c r="GM98" i="2"/>
  <c r="FR98" i="2"/>
  <c r="EB98" i="2"/>
  <c r="EC98" i="2"/>
  <c r="EA98" i="2"/>
  <c r="DH98" i="2"/>
  <c r="DG98" i="2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GL99" i="2" s="1"/>
  <c r="FO99" i="2"/>
  <c r="FR99" i="2" s="1"/>
  <c r="ES99" i="2"/>
  <c r="EV99" i="2" s="1"/>
  <c r="ET99" i="2"/>
  <c r="DY99" i="2"/>
  <c r="GJ99" i="2"/>
  <c r="DX99" i="2"/>
  <c r="DC99" i="2"/>
  <c r="DD99" i="2"/>
  <c r="BN99" i="2"/>
  <c r="CI99" i="2"/>
  <c r="BM99" i="2"/>
  <c r="W99" i="2"/>
  <c r="FN99" i="2"/>
  <c r="FQ99" i="2" s="1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GN99" i="2" s="1"/>
  <c r="FL99" i="2"/>
  <c r="FC99" i="2"/>
  <c r="FW99" i="2"/>
  <c r="FM99" i="2"/>
  <c r="FS99" i="2" s="1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EX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G99" i="2" l="1"/>
  <c r="GM99" i="2"/>
  <c r="EW99" i="2"/>
  <c r="EW100" i="2" s="1"/>
  <c r="EC99" i="2"/>
  <c r="DH99" i="2"/>
  <c r="EA99" i="2"/>
  <c r="EB99" i="2"/>
  <c r="DG99" i="2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HH100" i="2" s="1"/>
  <c r="FO100" i="2"/>
  <c r="GJ100" i="2"/>
  <c r="GM100" i="2" s="1"/>
  <c r="ES100" i="2"/>
  <c r="DX100" i="2"/>
  <c r="GI100" i="2"/>
  <c r="GL100" i="2" s="1"/>
  <c r="CI100" i="2"/>
  <c r="BM100" i="2"/>
  <c r="ET100" i="2"/>
  <c r="DC100" i="2"/>
  <c r="DD100" i="2"/>
  <c r="CH100" i="2"/>
  <c r="BN100" i="2"/>
  <c r="AS100" i="2"/>
  <c r="AR100" i="2"/>
  <c r="DY100" i="2"/>
  <c r="FN100" i="2"/>
  <c r="FQ100" i="2" s="1"/>
  <c r="X100" i="2"/>
  <c r="W100" i="2"/>
  <c r="HC100" i="2"/>
  <c r="HI100" i="2" s="1"/>
  <c r="GR100" i="2"/>
  <c r="GK100" i="2"/>
  <c r="GN100" i="2" s="1"/>
  <c r="HB100" i="2"/>
  <c r="GS100" i="2"/>
  <c r="FP100" i="2"/>
  <c r="HF100" i="2"/>
  <c r="GG100" i="2"/>
  <c r="FX100" i="2"/>
  <c r="GH100" i="2"/>
  <c r="FL100" i="2"/>
  <c r="FC100" i="2"/>
  <c r="FM100" i="2"/>
  <c r="FS100" i="2" s="1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FR100" i="2"/>
  <c r="HG100" i="2"/>
  <c r="EW101" i="2"/>
  <c r="DH100" i="2"/>
  <c r="EA100" i="2"/>
  <c r="EC100" i="2"/>
  <c r="EB100" i="2"/>
  <c r="DG100" i="2"/>
  <c r="DF100" i="2"/>
  <c r="AU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HH101" i="2" s="1"/>
  <c r="GJ101" i="2"/>
  <c r="GM101" i="2" s="1"/>
  <c r="HD101" i="2"/>
  <c r="GI101" i="2"/>
  <c r="FO101" i="2"/>
  <c r="FN101" i="2"/>
  <c r="ET101" i="2"/>
  <c r="ES101" i="2"/>
  <c r="EV101" i="2" s="1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EX101" i="2" s="1"/>
  <c r="DV101" i="2"/>
  <c r="DM101" i="2"/>
  <c r="DA101" i="2"/>
  <c r="EU101" i="2"/>
  <c r="EG101" i="2"/>
  <c r="DW101" i="2"/>
  <c r="DB101" i="2"/>
  <c r="GH101" i="2"/>
  <c r="GN101" i="2" s="1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Q101" i="2" l="1"/>
  <c r="FR101" i="2"/>
  <c r="GL101" i="2"/>
  <c r="HG101" i="2"/>
  <c r="DH101" i="2"/>
  <c r="EC101" i="2"/>
  <c r="EB101" i="2"/>
  <c r="EA101" i="2"/>
  <c r="AW101" i="2"/>
  <c r="DF101" i="2"/>
  <c r="DG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HH102" i="2" s="1"/>
  <c r="GI102" i="2"/>
  <c r="GJ102" i="2"/>
  <c r="ET102" i="2"/>
  <c r="EW102" i="2" s="1"/>
  <c r="FO102" i="2"/>
  <c r="FN102" i="2"/>
  <c r="ES102" i="2"/>
  <c r="EV102" i="2" s="1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N102" i="2" s="1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G102" i="2" l="1"/>
  <c r="FQ102" i="2"/>
  <c r="FR102" i="2"/>
  <c r="GM102" i="2"/>
  <c r="EP3" i="2"/>
  <c r="GF3" i="2"/>
  <c r="FK3" i="2"/>
  <c r="HA3" i="2"/>
  <c r="GL102" i="2"/>
  <c r="EC102" i="2"/>
  <c r="EA102" i="2"/>
  <c r="EB102" i="2"/>
  <c r="AU102" i="2"/>
  <c r="DF102" i="2"/>
  <c r="DG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HH103" i="2" s="1"/>
  <c r="GI103" i="2"/>
  <c r="GL103" i="2" s="1"/>
  <c r="GJ103" i="2"/>
  <c r="GM103" i="2" s="1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GN103" i="2" s="1"/>
  <c r="FL103" i="2"/>
  <c r="FC103" i="2"/>
  <c r="FW103" i="2"/>
  <c r="FM103" i="2"/>
  <c r="FS103" i="2" s="1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G103" i="2" l="1"/>
  <c r="FQ103" i="2"/>
  <c r="FR103" i="2"/>
  <c r="EW103" i="2"/>
  <c r="EV103" i="2"/>
  <c r="DH103" i="2"/>
  <c r="EA103" i="2"/>
  <c r="AW103" i="2"/>
  <c r="EB103" i="2"/>
  <c r="EC103" i="2"/>
  <c r="DF103" i="2"/>
  <c r="DG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FR104" i="2" s="1"/>
  <c r="HE104" i="2"/>
  <c r="HH104" i="2" s="1"/>
  <c r="GJ104" i="2"/>
  <c r="GM104" i="2" s="1"/>
  <c r="GI104" i="2"/>
  <c r="GL104" i="2" s="1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GN104" i="2" s="1"/>
  <c r="FL104" i="2"/>
  <c r="FC104" i="2"/>
  <c r="FB104" i="2"/>
  <c r="ER104" i="2"/>
  <c r="EX104" i="2" s="1"/>
  <c r="DV104" i="2"/>
  <c r="DM104" i="2"/>
  <c r="DA104" i="2"/>
  <c r="FM104" i="2"/>
  <c r="FS104" i="2" s="1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H104" i="2" l="1"/>
  <c r="HG104" i="2"/>
  <c r="EW104" i="2"/>
  <c r="EW105" i="2" s="1"/>
  <c r="FQ104" i="2"/>
  <c r="EV104" i="2"/>
  <c r="AU104" i="2"/>
  <c r="EB104" i="2"/>
  <c r="EA104" i="2"/>
  <c r="EC104" i="2"/>
  <c r="DG104" i="2"/>
  <c r="DF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S105" i="2" s="1"/>
  <c r="FP105" i="2"/>
  <c r="GG105" i="2"/>
  <c r="FX105" i="2"/>
  <c r="GH105" i="2"/>
  <c r="GN105" i="2" s="1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Q105" i="2"/>
  <c r="FQ106" i="2" s="1"/>
  <c r="GL105" i="2"/>
  <c r="FR105" i="2"/>
  <c r="HG105" i="2"/>
  <c r="GM105" i="2"/>
  <c r="HH105" i="2"/>
  <c r="EB105" i="2"/>
  <c r="EA105" i="2"/>
  <c r="EC105" i="2"/>
  <c r="DH105" i="2"/>
  <c r="DG105" i="2"/>
  <c r="DF105" i="2"/>
  <c r="CM105" i="2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HH106" i="2" s="1"/>
  <c r="GI106" i="2"/>
  <c r="GJ106" i="2"/>
  <c r="GM106" i="2" s="1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FL106" i="2"/>
  <c r="FC106" i="2"/>
  <c r="GK106" i="2"/>
  <c r="GN106" i="2" s="1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X106" i="2" s="1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GL106" i="2" l="1"/>
  <c r="EV106" i="2"/>
  <c r="HG106" i="2"/>
  <c r="EW106" i="2"/>
  <c r="FR106" i="2"/>
  <c r="EC106" i="2"/>
  <c r="EA106" i="2"/>
  <c r="EB106" i="2"/>
  <c r="DH106" i="2"/>
  <c r="DF106" i="2"/>
  <c r="DG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HH107" i="2" s="1"/>
  <c r="GI107" i="2"/>
  <c r="FO107" i="2"/>
  <c r="ES107" i="2"/>
  <c r="GJ107" i="2"/>
  <c r="ET107" i="2"/>
  <c r="EW107" i="2" s="1"/>
  <c r="DY107" i="2"/>
  <c r="FN107" i="2"/>
  <c r="FQ107" i="2" s="1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GN107" i="2" s="1"/>
  <c r="FL107" i="2"/>
  <c r="FC107" i="2"/>
  <c r="GR107" i="2"/>
  <c r="FW107" i="2"/>
  <c r="FM107" i="2"/>
  <c r="FS107" i="2" s="1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V107" i="2" l="1"/>
  <c r="GL107" i="2"/>
  <c r="HG107" i="2"/>
  <c r="GM107" i="2"/>
  <c r="FR107" i="2"/>
  <c r="EA107" i="2"/>
  <c r="EB107" i="2"/>
  <c r="EC107" i="2"/>
  <c r="DH107" i="2"/>
  <c r="DG107" i="2"/>
  <c r="DF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G108" i="2" s="1"/>
  <c r="HE108" i="2"/>
  <c r="HH108" i="2" s="1"/>
  <c r="FO108" i="2"/>
  <c r="GI108" i="2"/>
  <c r="GL108" i="2" s="1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I108" i="2" s="1"/>
  <c r="GR108" i="2"/>
  <c r="HF108" i="2"/>
  <c r="GK108" i="2"/>
  <c r="HB108" i="2"/>
  <c r="GS108" i="2"/>
  <c r="FP108" i="2"/>
  <c r="GG108" i="2"/>
  <c r="FX108" i="2"/>
  <c r="GH108" i="2"/>
  <c r="GN108" i="2" s="1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Q108" i="2"/>
  <c r="GM108" i="2"/>
  <c r="FR108" i="2"/>
  <c r="EV108" i="2"/>
  <c r="EB108" i="2"/>
  <c r="EC108" i="2"/>
  <c r="EA108" i="2"/>
  <c r="DH108" i="2"/>
  <c r="DG108" i="2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HH109" i="2" s="1"/>
  <c r="GJ109" i="2"/>
  <c r="GI109" i="2"/>
  <c r="FO109" i="2"/>
  <c r="FR109" i="2" s="1"/>
  <c r="FN109" i="2"/>
  <c r="FQ109" i="2" s="1"/>
  <c r="HD109" i="2"/>
  <c r="HG109" i="2" s="1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I109" i="2" s="1"/>
  <c r="HC109" i="2"/>
  <c r="GR109" i="2"/>
  <c r="GK109" i="2"/>
  <c r="HB109" i="2"/>
  <c r="GS109" i="2"/>
  <c r="FW109" i="2"/>
  <c r="FM109" i="2"/>
  <c r="FS109" i="2" s="1"/>
  <c r="FP109" i="2"/>
  <c r="GG109" i="2"/>
  <c r="FX109" i="2"/>
  <c r="EQ109" i="2"/>
  <c r="EH109" i="2"/>
  <c r="CJ109" i="2"/>
  <c r="GH109" i="2"/>
  <c r="GN109" i="2" s="1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V109" i="2" l="1"/>
  <c r="EW109" i="2"/>
  <c r="GL109" i="2"/>
  <c r="GM109" i="2"/>
  <c r="EC109" i="2"/>
  <c r="EA109" i="2"/>
  <c r="EB109" i="2"/>
  <c r="DH109" i="2"/>
  <c r="DG109" i="2"/>
  <c r="DF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R110" i="2" s="1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GN110" i="2" s="1"/>
  <c r="FL110" i="2"/>
  <c r="FC110" i="2"/>
  <c r="FW110" i="2"/>
  <c r="FM110" i="2"/>
  <c r="FS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EX110" i="2" s="1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W110" i="2" l="1"/>
  <c r="HG110" i="2"/>
  <c r="GM110" i="2"/>
  <c r="GL110" i="2"/>
  <c r="EV110" i="2"/>
  <c r="FQ110" i="2"/>
  <c r="EC110" i="2"/>
  <c r="EA110" i="2"/>
  <c r="EB110" i="2"/>
  <c r="DH110" i="2"/>
  <c r="DF110" i="2"/>
  <c r="DG110" i="2"/>
  <c r="AU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HH111" i="2" s="1"/>
  <c r="GI111" i="2"/>
  <c r="GL111" i="2" s="1"/>
  <c r="GJ111" i="2"/>
  <c r="GM111" i="2" s="1"/>
  <c r="ES111" i="2"/>
  <c r="EV111" i="2" s="1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I111" i="2" s="1"/>
  <c r="HF111" i="2"/>
  <c r="GK111" i="2"/>
  <c r="HB111" i="2"/>
  <c r="GS111" i="2"/>
  <c r="GG111" i="2"/>
  <c r="FX111" i="2"/>
  <c r="GH111" i="2"/>
  <c r="GN111" i="2" s="1"/>
  <c r="FL111" i="2"/>
  <c r="FC111" i="2"/>
  <c r="FW111" i="2"/>
  <c r="FM111" i="2"/>
  <c r="FS111" i="2" s="1"/>
  <c r="FP111" i="2"/>
  <c r="EU111" i="2"/>
  <c r="EX111" i="2" s="1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HG111" i="2" l="1"/>
  <c r="FR111" i="2"/>
  <c r="FQ111" i="2"/>
  <c r="EW111" i="2"/>
  <c r="EC111" i="2"/>
  <c r="EA111" i="2"/>
  <c r="EB111" i="2"/>
  <c r="AW111" i="2"/>
  <c r="DH111" i="2"/>
  <c r="DG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HH112" i="2" s="1"/>
  <c r="FO112" i="2"/>
  <c r="FR112" i="2" s="1"/>
  <c r="GJ112" i="2"/>
  <c r="GI112" i="2"/>
  <c r="ES112" i="2"/>
  <c r="EV112" i="2" s="1"/>
  <c r="DX112" i="2"/>
  <c r="FN112" i="2"/>
  <c r="FQ112" i="2" s="1"/>
  <c r="ET112" i="2"/>
  <c r="EW112" i="2" s="1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GN112" i="2" s="1"/>
  <c r="FL112" i="2"/>
  <c r="FC112" i="2"/>
  <c r="FB112" i="2"/>
  <c r="ER112" i="2"/>
  <c r="DV112" i="2"/>
  <c r="DM112" i="2"/>
  <c r="DA112" i="2"/>
  <c r="FW112" i="2"/>
  <c r="EU112" i="2"/>
  <c r="EX112" i="2" s="1"/>
  <c r="EG112" i="2"/>
  <c r="DW112" i="2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G112" i="2" l="1"/>
  <c r="GL112" i="2"/>
  <c r="GM112" i="2"/>
  <c r="EC112" i="2"/>
  <c r="EA112" i="2"/>
  <c r="EB112" i="2"/>
  <c r="DH112" i="2"/>
  <c r="DG112" i="2"/>
  <c r="DF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H113" i="2" s="1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GN113" i="2" s="1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V113" i="2" l="1"/>
  <c r="GL113" i="2"/>
  <c r="FQ113" i="2"/>
  <c r="FR113" i="2"/>
  <c r="GM113" i="2"/>
  <c r="HG113" i="2"/>
  <c r="AW113" i="2"/>
  <c r="EC113" i="2"/>
  <c r="EA113" i="2"/>
  <c r="EB113" i="2"/>
  <c r="DH113" i="2"/>
  <c r="DG113" i="2"/>
  <c r="DF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L114" i="2" s="1"/>
  <c r="GJ114" i="2"/>
  <c r="GM114" i="2" s="1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I114" i="2" s="1"/>
  <c r="HF114" i="2"/>
  <c r="HB114" i="2"/>
  <c r="GS114" i="2"/>
  <c r="GR114" i="2"/>
  <c r="GH114" i="2"/>
  <c r="GN114" i="2" s="1"/>
  <c r="FL114" i="2"/>
  <c r="FC114" i="2"/>
  <c r="FW114" i="2"/>
  <c r="FM114" i="2"/>
  <c r="FS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EX114" i="2" s="1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FQ114" i="2"/>
  <c r="FQ115" i="2" s="1"/>
  <c r="FR114" i="2"/>
  <c r="EW114" i="2"/>
  <c r="EC114" i="2"/>
  <c r="AU114" i="2"/>
  <c r="EA114" i="2"/>
  <c r="EB114" i="2"/>
  <c r="DH114" i="2"/>
  <c r="DG114" i="2"/>
  <c r="DF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HH115" i="2" s="1"/>
  <c r="GI115" i="2"/>
  <c r="GL115" i="2" s="1"/>
  <c r="FO115" i="2"/>
  <c r="FR115" i="2" s="1"/>
  <c r="ES115" i="2"/>
  <c r="EV115" i="2" s="1"/>
  <c r="ET115" i="2"/>
  <c r="EW115" i="2" s="1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GN115" i="2" s="1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G115" i="2" l="1"/>
  <c r="GM115" i="2"/>
  <c r="EC115" i="2"/>
  <c r="EA115" i="2"/>
  <c r="EB115" i="2"/>
  <c r="AW115" i="2"/>
  <c r="DH115" i="2"/>
  <c r="DG115" i="2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FR116" i="2" s="1"/>
  <c r="HE116" i="2"/>
  <c r="GJ116" i="2"/>
  <c r="ES116" i="2"/>
  <c r="DX116" i="2"/>
  <c r="CI116" i="2"/>
  <c r="BM116" i="2"/>
  <c r="ET116" i="2"/>
  <c r="EW116" i="2" s="1"/>
  <c r="DC116" i="2"/>
  <c r="DD116" i="2"/>
  <c r="CH116" i="2"/>
  <c r="BN116" i="2"/>
  <c r="AS116" i="2"/>
  <c r="AR116" i="2"/>
  <c r="FN116" i="2"/>
  <c r="FQ116" i="2" s="1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GN116" i="2" s="1"/>
  <c r="FL116" i="2"/>
  <c r="FC116" i="2"/>
  <c r="FM116" i="2"/>
  <c r="FS116" i="2" s="1"/>
  <c r="FB116" i="2"/>
  <c r="ER116" i="2"/>
  <c r="DV116" i="2"/>
  <c r="DM116" i="2"/>
  <c r="DA116" i="2"/>
  <c r="EU116" i="2"/>
  <c r="EX116" i="2" s="1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GL116" i="2"/>
  <c r="EV116" i="2"/>
  <c r="GM116" i="2"/>
  <c r="HH116" i="2"/>
  <c r="EC116" i="2"/>
  <c r="EA116" i="2"/>
  <c r="EB116" i="2"/>
  <c r="DH116" i="2"/>
  <c r="DG116" i="2"/>
  <c r="DF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HH117" i="2" s="1"/>
  <c r="GJ117" i="2"/>
  <c r="GM117" i="2" s="1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HI117" i="2" s="1"/>
  <c r="GR117" i="2"/>
  <c r="HC117" i="2"/>
  <c r="GK117" i="2"/>
  <c r="FW117" i="2"/>
  <c r="FM117" i="2"/>
  <c r="FS117" i="2" s="1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DB117" i="2"/>
  <c r="GH117" i="2"/>
  <c r="GN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V117" i="2" l="1"/>
  <c r="EW117" i="2"/>
  <c r="FQ117" i="2"/>
  <c r="FR117" i="2"/>
  <c r="GL117" i="2"/>
  <c r="HG117" i="2"/>
  <c r="HG118" i="2" s="1"/>
  <c r="EC117" i="2"/>
  <c r="EB117" i="2"/>
  <c r="EA117" i="2"/>
  <c r="DH117" i="2"/>
  <c r="DF117" i="2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EW118" i="2" s="1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GN118" i="2" s="1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GL118" i="2" l="1"/>
  <c r="HH118" i="2"/>
  <c r="EV118" i="2"/>
  <c r="FQ118" i="2"/>
  <c r="FQ119" i="2" s="1"/>
  <c r="GM118" i="2"/>
  <c r="FR118" i="2"/>
  <c r="EC118" i="2"/>
  <c r="EB118" i="2"/>
  <c r="EA118" i="2"/>
  <c r="DH118" i="2"/>
  <c r="DF118" i="2"/>
  <c r="DG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HH119" i="2" s="1"/>
  <c r="GI119" i="2"/>
  <c r="GJ119" i="2"/>
  <c r="ES119" i="2"/>
  <c r="EV119" i="2" s="1"/>
  <c r="ET119" i="2"/>
  <c r="EW119" i="2" s="1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GN119" i="2" s="1"/>
  <c r="FL119" i="2"/>
  <c r="FC119" i="2"/>
  <c r="FW119" i="2"/>
  <c r="FM119" i="2"/>
  <c r="FS119" i="2" s="1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L119" i="2" l="1"/>
  <c r="HG119" i="2"/>
  <c r="GM119" i="2"/>
  <c r="GM120" i="2" s="1"/>
  <c r="FR119" i="2"/>
  <c r="DH119" i="2"/>
  <c r="EC119" i="2"/>
  <c r="EA119" i="2"/>
  <c r="EB119" i="2"/>
  <c r="DG119" i="2"/>
  <c r="DF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GL120" i="2" s="1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GN120" i="2" s="1"/>
  <c r="FL120" i="2"/>
  <c r="FC120" i="2"/>
  <c r="FB120" i="2"/>
  <c r="ER120" i="2"/>
  <c r="EX120" i="2" s="1"/>
  <c r="DV120" i="2"/>
  <c r="DM120" i="2"/>
  <c r="DA120" i="2"/>
  <c r="FM120" i="2"/>
  <c r="FS120" i="2" s="1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W120" i="2" l="1"/>
  <c r="HG120" i="2"/>
  <c r="FQ120" i="2"/>
  <c r="EV120" i="2"/>
  <c r="HH120" i="2"/>
  <c r="AU120" i="2"/>
  <c r="EC120" i="2"/>
  <c r="EB120" i="2"/>
  <c r="EA120" i="2"/>
  <c r="DH120" i="2"/>
  <c r="DG120" i="2"/>
  <c r="DF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GL121" i="2" s="1"/>
  <c r="ES121" i="2"/>
  <c r="EV121" i="2" s="1"/>
  <c r="DX121" i="2"/>
  <c r="CH121" i="2"/>
  <c r="AS121" i="2"/>
  <c r="CI121" i="2"/>
  <c r="BM121" i="2"/>
  <c r="X121" i="2"/>
  <c r="ET121" i="2"/>
  <c r="EW121" i="2" s="1"/>
  <c r="DY121" i="2"/>
  <c r="AR121" i="2"/>
  <c r="DD121" i="2"/>
  <c r="DC121" i="2"/>
  <c r="BN121" i="2"/>
  <c r="W121" i="2"/>
  <c r="HF121" i="2"/>
  <c r="GR121" i="2"/>
  <c r="GK121" i="2"/>
  <c r="FW121" i="2"/>
  <c r="FM121" i="2"/>
  <c r="FS121" i="2" s="1"/>
  <c r="HC121" i="2"/>
  <c r="HI121" i="2" s="1"/>
  <c r="FP121" i="2"/>
  <c r="GG121" i="2"/>
  <c r="FX121" i="2"/>
  <c r="HB121" i="2"/>
  <c r="GS121" i="2"/>
  <c r="GH121" i="2"/>
  <c r="GN121" i="2" s="1"/>
  <c r="FL121" i="2"/>
  <c r="FC121" i="2"/>
  <c r="EQ121" i="2"/>
  <c r="EH121" i="2"/>
  <c r="CJ121" i="2"/>
  <c r="FB121" i="2"/>
  <c r="ER121" i="2"/>
  <c r="EX121" i="2" s="1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Q121" i="2" l="1"/>
  <c r="HG121" i="2"/>
  <c r="GM121" i="2"/>
  <c r="HH121" i="2"/>
  <c r="AW121" i="2"/>
  <c r="EC121" i="2"/>
  <c r="EA121" i="2"/>
  <c r="EB121" i="2"/>
  <c r="DH121" i="2"/>
  <c r="DF121" i="2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L122" i="2" s="1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GN122" i="2" s="1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EX122" i="2" s="1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V122" i="2" l="1"/>
  <c r="HG122" i="2"/>
  <c r="FR122" i="2"/>
  <c r="FQ122" i="2"/>
  <c r="EW122" i="2"/>
  <c r="EW123" i="2" s="1"/>
  <c r="GM122" i="2"/>
  <c r="AU122" i="2"/>
  <c r="EC122" i="2"/>
  <c r="EB122" i="2"/>
  <c r="EA122" i="2"/>
  <c r="DH122" i="2"/>
  <c r="DG122" i="2"/>
  <c r="DF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FQ123" i="2" s="1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HI123" i="2" s="1"/>
  <c r="GK123" i="2"/>
  <c r="HB123" i="2"/>
  <c r="GS123" i="2"/>
  <c r="GG123" i="2"/>
  <c r="FX123" i="2"/>
  <c r="GH123" i="2"/>
  <c r="GN123" i="2" s="1"/>
  <c r="FL123" i="2"/>
  <c r="FC123" i="2"/>
  <c r="GR123" i="2"/>
  <c r="FW123" i="2"/>
  <c r="FM123" i="2"/>
  <c r="FS123" i="2" s="1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EX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GM123" i="2" l="1"/>
  <c r="EV123" i="2"/>
  <c r="FR123" i="2"/>
  <c r="GL123" i="2"/>
  <c r="HG123" i="2"/>
  <c r="EC123" i="2"/>
  <c r="EA123" i="2"/>
  <c r="EB123" i="2"/>
  <c r="DH123" i="2"/>
  <c r="DG123" i="2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FQ124" i="2" s="1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GN124" i="2" s="1"/>
  <c r="FL124" i="2"/>
  <c r="FC124" i="2"/>
  <c r="FW124" i="2"/>
  <c r="FB124" i="2"/>
  <c r="ER124" i="2"/>
  <c r="EW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V124" i="2" l="1"/>
  <c r="GL124" i="2"/>
  <c r="HG124" i="2"/>
  <c r="GM124" i="2"/>
  <c r="FR124" i="2"/>
  <c r="HH124" i="2"/>
  <c r="EX124" i="2"/>
  <c r="EX125" i="2" s="1"/>
  <c r="EA124" i="2"/>
  <c r="EC124" i="2"/>
  <c r="EB124" i="2"/>
  <c r="DH124" i="2"/>
  <c r="DF124" i="2"/>
  <c r="DG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GM125" i="2" s="1"/>
  <c r="HD125" i="2"/>
  <c r="HG125" i="2" s="1"/>
  <c r="GI125" i="2"/>
  <c r="GL125" i="2" s="1"/>
  <c r="FO125" i="2"/>
  <c r="FN125" i="2"/>
  <c r="FQ125" i="2" s="1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S125" i="2" s="1"/>
  <c r="FP125" i="2"/>
  <c r="GG125" i="2"/>
  <c r="FX125" i="2"/>
  <c r="EQ125" i="2"/>
  <c r="EH125" i="2"/>
  <c r="CJ125" i="2"/>
  <c r="GH125" i="2"/>
  <c r="GN125" i="2" s="1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V125" i="2" l="1"/>
  <c r="EW125" i="2"/>
  <c r="HH125" i="2"/>
  <c r="FR125" i="2"/>
  <c r="EC125" i="2"/>
  <c r="EB125" i="2"/>
  <c r="EA125" i="2"/>
  <c r="DH125" i="2"/>
  <c r="DG125" i="2"/>
  <c r="DF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HH126" i="2" s="1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GN126" i="2" s="1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Q126" i="2" l="1"/>
  <c r="FR126" i="2"/>
  <c r="HG126" i="2"/>
  <c r="EV126" i="2"/>
  <c r="EW126" i="2"/>
  <c r="GM126" i="2"/>
  <c r="GL126" i="2"/>
  <c r="EB126" i="2"/>
  <c r="EA126" i="2"/>
  <c r="EC126" i="2"/>
  <c r="DH126" i="2"/>
  <c r="DG126" i="2"/>
  <c r="DF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GN127" i="2" s="1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EX127" i="2" s="1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Q127" i="2" l="1"/>
  <c r="EW127" i="2"/>
  <c r="EV127" i="2"/>
  <c r="HH127" i="2"/>
  <c r="HH128" i="2" s="1"/>
  <c r="HG127" i="2"/>
  <c r="GM127" i="2"/>
  <c r="FR127" i="2"/>
  <c r="GL127" i="2"/>
  <c r="EC127" i="2"/>
  <c r="EA127" i="2"/>
  <c r="EB127" i="2"/>
  <c r="DH127" i="2"/>
  <c r="DG127" i="2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FR128" i="2" s="1"/>
  <c r="GJ128" i="2"/>
  <c r="GI128" i="2"/>
  <c r="ES128" i="2"/>
  <c r="DX128" i="2"/>
  <c r="FN128" i="2"/>
  <c r="FQ128" i="2" s="1"/>
  <c r="ET128" i="2"/>
  <c r="EW128" i="2" s="1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GN128" i="2" s="1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GL128" i="2"/>
  <c r="GM128" i="2"/>
  <c r="DH128" i="2"/>
  <c r="EB128" i="2"/>
  <c r="EA128" i="2"/>
  <c r="EC128" i="2"/>
  <c r="DF128" i="2"/>
  <c r="DG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GL129" i="2" s="1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GN129" i="2" s="1"/>
  <c r="FW129" i="2"/>
  <c r="FM129" i="2"/>
  <c r="FS129" i="2" s="1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H129" i="2" l="1"/>
  <c r="EW129" i="2"/>
  <c r="EV129" i="2"/>
  <c r="FQ129" i="2"/>
  <c r="HG129" i="2"/>
  <c r="FR129" i="2"/>
  <c r="GM129" i="2"/>
  <c r="EC129" i="2"/>
  <c r="DH129" i="2"/>
  <c r="EB129" i="2"/>
  <c r="EA129" i="2"/>
  <c r="DF129" i="2"/>
  <c r="DG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L130" i="2" s="1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GN130" i="2" s="1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V130" i="2" l="1"/>
  <c r="EW130" i="2"/>
  <c r="FR130" i="2"/>
  <c r="GM130" i="2"/>
  <c r="HG130" i="2"/>
  <c r="FQ130" i="2"/>
  <c r="EB130" i="2"/>
  <c r="EA130" i="2"/>
  <c r="DH130" i="2"/>
  <c r="EC130" i="2"/>
  <c r="DF130" i="2"/>
  <c r="DG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GL131" i="2" s="1"/>
  <c r="FO131" i="2"/>
  <c r="ES131" i="2"/>
  <c r="EV131" i="2" s="1"/>
  <c r="ET131" i="2"/>
  <c r="EW131" i="2" s="1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GN131" i="2" s="1"/>
  <c r="FL131" i="2"/>
  <c r="FC131" i="2"/>
  <c r="FW131" i="2"/>
  <c r="FM131" i="2"/>
  <c r="FQ131" i="2" s="1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GM131" i="2" l="1"/>
  <c r="FS131" i="2"/>
  <c r="HH131" i="2"/>
  <c r="FR131" i="2"/>
  <c r="HG131" i="2"/>
  <c r="EB131" i="2"/>
  <c r="EA131" i="2"/>
  <c r="DH131" i="2"/>
  <c r="EC131" i="2"/>
  <c r="DF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EV132" i="2" s="1"/>
  <c r="DX132" i="2"/>
  <c r="GI132" i="2"/>
  <c r="CI132" i="2"/>
  <c r="BM132" i="2"/>
  <c r="ET132" i="2"/>
  <c r="EW132" i="2" s="1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GN132" i="2" s="1"/>
  <c r="FL132" i="2"/>
  <c r="FC132" i="2"/>
  <c r="FM132" i="2"/>
  <c r="FQ132" i="2" s="1"/>
  <c r="FB132" i="2"/>
  <c r="ER132" i="2"/>
  <c r="EX132" i="2" s="1"/>
  <c r="DV132" i="2"/>
  <c r="DM132" i="2"/>
  <c r="DA132" i="2"/>
  <c r="HF132" i="2"/>
  <c r="HI132" i="2" s="1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GL132" i="2" l="1"/>
  <c r="FR132" i="2"/>
  <c r="HG132" i="2"/>
  <c r="FS132" i="2"/>
  <c r="GM132" i="2"/>
  <c r="HH132" i="2"/>
  <c r="EC132" i="2"/>
  <c r="EB132" i="2"/>
  <c r="EA132" i="2"/>
  <c r="DH132" i="2"/>
  <c r="DF132" i="2"/>
  <c r="DG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HG133" i="2" s="1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Q133" i="2" s="1"/>
  <c r="FP133" i="2"/>
  <c r="HB133" i="2"/>
  <c r="GS133" i="2"/>
  <c r="GG133" i="2"/>
  <c r="FX133" i="2"/>
  <c r="EQ133" i="2"/>
  <c r="EH133" i="2"/>
  <c r="CJ133" i="2"/>
  <c r="FB133" i="2"/>
  <c r="ER133" i="2"/>
  <c r="EX133" i="2" s="1"/>
  <c r="DV133" i="2"/>
  <c r="DM133" i="2"/>
  <c r="DA133" i="2"/>
  <c r="EU133" i="2"/>
  <c r="EG133" i="2"/>
  <c r="DW133" i="2"/>
  <c r="DB133" i="2"/>
  <c r="GH133" i="2"/>
  <c r="GN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GM133" i="2"/>
  <c r="FR133" i="2"/>
  <c r="FS133" i="2"/>
  <c r="FS134" i="2" s="1"/>
  <c r="GL133" i="2"/>
  <c r="DH133" i="2"/>
  <c r="EC133" i="2"/>
  <c r="EA133" i="2"/>
  <c r="EB133" i="2"/>
  <c r="DF133" i="2"/>
  <c r="DG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R134" i="2" s="1"/>
  <c r="FN134" i="2"/>
  <c r="FQ134" i="2" s="1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GN134" i="2" s="1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EX134" i="2" s="1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GM134" i="2" l="1"/>
  <c r="GL134" i="2"/>
  <c r="HG134" i="2"/>
  <c r="HH134" i="2"/>
  <c r="FQ135" i="2"/>
  <c r="EC134" i="2"/>
  <c r="EB134" i="2"/>
  <c r="EA134" i="2"/>
  <c r="DH134" i="2"/>
  <c r="DG134" i="2"/>
  <c r="DF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L135" i="2" s="1"/>
  <c r="GJ135" i="2"/>
  <c r="GM135" i="2" s="1"/>
  <c r="ES135" i="2"/>
  <c r="EV135" i="2" s="1"/>
  <c r="HD135" i="2"/>
  <c r="HG135" i="2" s="1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GN135" i="2" s="1"/>
  <c r="FL135" i="2"/>
  <c r="FC135" i="2"/>
  <c r="FW135" i="2"/>
  <c r="FM135" i="2"/>
  <c r="FS135" i="2" s="1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H135" i="2"/>
  <c r="FR135" i="2"/>
  <c r="EC135" i="2"/>
  <c r="FQ136" i="2"/>
  <c r="EA135" i="2"/>
  <c r="EB135" i="2"/>
  <c r="DH135" i="2"/>
  <c r="DG135" i="2"/>
  <c r="DF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FR136" i="2" s="1"/>
  <c r="HE136" i="2"/>
  <c r="GJ136" i="2"/>
  <c r="GI136" i="2"/>
  <c r="ES136" i="2"/>
  <c r="EV136" i="2" s="1"/>
  <c r="DX136" i="2"/>
  <c r="FN136" i="2"/>
  <c r="ET136" i="2"/>
  <c r="EW136" i="2" s="1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I136" i="2" s="1"/>
  <c r="HF136" i="2"/>
  <c r="GR136" i="2"/>
  <c r="GK136" i="2"/>
  <c r="HB136" i="2"/>
  <c r="GS136" i="2"/>
  <c r="FP136" i="2"/>
  <c r="GG136" i="2"/>
  <c r="FX136" i="2"/>
  <c r="GH136" i="2"/>
  <c r="GN136" i="2" s="1"/>
  <c r="FL136" i="2"/>
  <c r="FC136" i="2"/>
  <c r="FB136" i="2"/>
  <c r="ER136" i="2"/>
  <c r="EX136" i="2" s="1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7" i="2" l="1"/>
  <c r="GM136" i="2"/>
  <c r="HH136" i="2"/>
  <c r="HG136" i="2"/>
  <c r="GL136" i="2"/>
  <c r="FQ137" i="2"/>
  <c r="EC136" i="2"/>
  <c r="EB136" i="2"/>
  <c r="EA136" i="2"/>
  <c r="DH136" i="2"/>
  <c r="DF136" i="2"/>
  <c r="DG136" i="2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HG137" i="2" s="1"/>
  <c r="GJ137" i="2"/>
  <c r="GM137" i="2" s="1"/>
  <c r="FO137" i="2"/>
  <c r="FR137" i="2" s="1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HI137" i="2" s="1"/>
  <c r="GG137" i="2"/>
  <c r="FX137" i="2"/>
  <c r="GH137" i="2"/>
  <c r="GN137" i="2" s="1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V137" i="2" l="1"/>
  <c r="EW137" i="2"/>
  <c r="GL137" i="2"/>
  <c r="FQ138" i="2"/>
  <c r="EC137" i="2"/>
  <c r="EA137" i="2"/>
  <c r="EB137" i="2"/>
  <c r="DH137" i="2"/>
  <c r="DF137" i="2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HH138" i="2" s="1"/>
  <c r="GJ138" i="2"/>
  <c r="GM138" i="2" s="1"/>
  <c r="GI138" i="2"/>
  <c r="GL138" i="2" s="1"/>
  <c r="ET138" i="2"/>
  <c r="EW138" i="2" s="1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I138" i="2" s="1"/>
  <c r="HF138" i="2"/>
  <c r="HB138" i="2"/>
  <c r="GS138" i="2"/>
  <c r="GR138" i="2"/>
  <c r="GH138" i="2"/>
  <c r="FL138" i="2"/>
  <c r="FC138" i="2"/>
  <c r="GK138" i="2"/>
  <c r="GN138" i="2" s="1"/>
  <c r="FW138" i="2"/>
  <c r="FM138" i="2"/>
  <c r="FS138" i="2" s="1"/>
  <c r="FP138" i="2"/>
  <c r="DZ138" i="2"/>
  <c r="DL138" i="2"/>
  <c r="DE138" i="2"/>
  <c r="EQ138" i="2"/>
  <c r="EH138" i="2"/>
  <c r="CJ138" i="2"/>
  <c r="CR138" i="2"/>
  <c r="FX138" i="2"/>
  <c r="FB138" i="2"/>
  <c r="ER138" i="2"/>
  <c r="EX138" i="2" s="1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9" i="2" l="1"/>
  <c r="EV138" i="2"/>
  <c r="FR138" i="2"/>
  <c r="HG138" i="2"/>
  <c r="FQ139" i="2"/>
  <c r="EC138" i="2"/>
  <c r="EB138" i="2"/>
  <c r="EA138" i="2"/>
  <c r="DH138" i="2"/>
  <c r="DG138" i="2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GN139" i="2" s="1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EX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G139" i="2" l="1"/>
  <c r="HH139" i="2"/>
  <c r="FR139" i="2"/>
  <c r="GM139" i="2"/>
  <c r="GL139" i="2"/>
  <c r="EV139" i="2"/>
  <c r="EA139" i="2"/>
  <c r="EB139" i="2"/>
  <c r="EC139" i="2"/>
  <c r="DH139" i="2"/>
  <c r="DG139" i="2"/>
  <c r="DF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FQ140" i="2" s="1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HI140" i="2" s="1"/>
  <c r="GK140" i="2"/>
  <c r="HB140" i="2"/>
  <c r="GS140" i="2"/>
  <c r="FP140" i="2"/>
  <c r="GG140" i="2"/>
  <c r="FX140" i="2"/>
  <c r="GH140" i="2"/>
  <c r="GN140" i="2" s="1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V140" i="2" l="1"/>
  <c r="GM140" i="2"/>
  <c r="GL140" i="2"/>
  <c r="EW140" i="2"/>
  <c r="FR140" i="2"/>
  <c r="HH140" i="2"/>
  <c r="HG140" i="2"/>
  <c r="EC140" i="2"/>
  <c r="EA140" i="2"/>
  <c r="EB140" i="2"/>
  <c r="DH140" i="2"/>
  <c r="DG140" i="2"/>
  <c r="DF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FQ141" i="2" s="1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GN141" i="2" s="1"/>
  <c r="FL141" i="2"/>
  <c r="FC141" i="2"/>
  <c r="FB141" i="2"/>
  <c r="ER141" i="2"/>
  <c r="DV141" i="2"/>
  <c r="DM141" i="2"/>
  <c r="DA141" i="2"/>
  <c r="EU141" i="2"/>
  <c r="EX141" i="2" s="1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R141" i="2" l="1"/>
  <c r="HH141" i="2"/>
  <c r="HG141" i="2"/>
  <c r="EW141" i="2"/>
  <c r="GL141" i="2"/>
  <c r="GM141" i="2"/>
  <c r="EV141" i="2"/>
  <c r="EC141" i="2"/>
  <c r="EB141" i="2"/>
  <c r="EA141" i="2"/>
  <c r="DH141" i="2"/>
  <c r="DF141" i="2"/>
  <c r="DG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HH142" i="2" s="1"/>
  <c r="GJ142" i="2"/>
  <c r="GM142" i="2" s="1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I142" i="2" s="1"/>
  <c r="HF142" i="2"/>
  <c r="HB142" i="2"/>
  <c r="GS142" i="2"/>
  <c r="GR142" i="2"/>
  <c r="GH142" i="2"/>
  <c r="GN142" i="2" s="1"/>
  <c r="FL142" i="2"/>
  <c r="FC142" i="2"/>
  <c r="FW142" i="2"/>
  <c r="FM142" i="2"/>
  <c r="FS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EX142" i="2" s="1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3" i="2" l="1"/>
  <c r="GL142" i="2"/>
  <c r="EV142" i="2"/>
  <c r="HG142" i="2"/>
  <c r="FQ142" i="2"/>
  <c r="FR142" i="2"/>
  <c r="EW142" i="2"/>
  <c r="EC142" i="2"/>
  <c r="EA142" i="2"/>
  <c r="EB142" i="2"/>
  <c r="DH142" i="2"/>
  <c r="DG142" i="2"/>
  <c r="DF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GN143" i="2" s="1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EX143" i="2" s="1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GM143" i="2" l="1"/>
  <c r="HH143" i="2"/>
  <c r="EW143" i="2"/>
  <c r="EV143" i="2"/>
  <c r="FQ143" i="2"/>
  <c r="FS144" i="2"/>
  <c r="FR143" i="2"/>
  <c r="GL143" i="2"/>
  <c r="HG143" i="2"/>
  <c r="EC143" i="2"/>
  <c r="EB143" i="2"/>
  <c r="EA143" i="2"/>
  <c r="DH143" i="2"/>
  <c r="DG143" i="2"/>
  <c r="DF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M144" i="2" s="1"/>
  <c r="GI144" i="2"/>
  <c r="GL144" i="2" s="1"/>
  <c r="ES144" i="2"/>
  <c r="EV144" i="2" s="1"/>
  <c r="DX144" i="2"/>
  <c r="FN144" i="2"/>
  <c r="FQ144" i="2" s="1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GN144" i="2" s="1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W144" i="2" l="1"/>
  <c r="FR144" i="2"/>
  <c r="HH144" i="2"/>
  <c r="HG144" i="2"/>
  <c r="EC144" i="2"/>
  <c r="EB144" i="2"/>
  <c r="EA144" i="2"/>
  <c r="DH144" i="2"/>
  <c r="DG144" i="2"/>
  <c r="DF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EW145" i="2" s="1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I145" i="2" s="1"/>
  <c r="GR145" i="2"/>
  <c r="GK145" i="2"/>
  <c r="FW145" i="2"/>
  <c r="FM145" i="2"/>
  <c r="HB145" i="2"/>
  <c r="GS145" i="2"/>
  <c r="FP145" i="2"/>
  <c r="FS145" i="2" s="1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GN145" i="2" s="1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V145" i="2" l="1"/>
  <c r="FR145" i="2"/>
  <c r="FQ145" i="2"/>
  <c r="GM145" i="2"/>
  <c r="HG145" i="2"/>
  <c r="GL145" i="2"/>
  <c r="HH145" i="2"/>
  <c r="EC145" i="2"/>
  <c r="EA145" i="2"/>
  <c r="EB145" i="2"/>
  <c r="DH145" i="2"/>
  <c r="DG145" i="2"/>
  <c r="DF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FQ146" i="2" s="1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GN146" i="2" s="1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W146" i="2" s="1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GL146" i="2" l="1"/>
  <c r="EX146" i="2"/>
  <c r="FR146" i="2"/>
  <c r="GM146" i="2"/>
  <c r="EV146" i="2"/>
  <c r="HG146" i="2"/>
  <c r="EC146" i="2"/>
  <c r="EB146" i="2"/>
  <c r="EA146" i="2"/>
  <c r="DH146" i="2"/>
  <c r="DF146" i="2"/>
  <c r="DG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HG147" i="2" s="1"/>
  <c r="GI147" i="2"/>
  <c r="FO147" i="2"/>
  <c r="ES147" i="2"/>
  <c r="ET147" i="2"/>
  <c r="DY147" i="2"/>
  <c r="DX147" i="2"/>
  <c r="DC147" i="2"/>
  <c r="DD147" i="2"/>
  <c r="BN147" i="2"/>
  <c r="FN147" i="2"/>
  <c r="FQ147" i="2" s="1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GN147" i="2" s="1"/>
  <c r="FL147" i="2"/>
  <c r="FC147" i="2"/>
  <c r="FW147" i="2"/>
  <c r="FM147" i="2"/>
  <c r="EU147" i="2"/>
  <c r="EG147" i="2"/>
  <c r="DW147" i="2"/>
  <c r="DB147" i="2"/>
  <c r="FP147" i="2"/>
  <c r="FS147" i="2" s="1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H147" i="2" l="1"/>
  <c r="GM147" i="2"/>
  <c r="EW147" i="2"/>
  <c r="FR147" i="2"/>
  <c r="EX147" i="2"/>
  <c r="EX148" i="2" s="1"/>
  <c r="EV147" i="2"/>
  <c r="GL147" i="2"/>
  <c r="EB147" i="2"/>
  <c r="EC147" i="2"/>
  <c r="EA147" i="2"/>
  <c r="DH147" i="2"/>
  <c r="DG147" i="2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L148" i="2" s="1"/>
  <c r="GJ148" i="2"/>
  <c r="ES148" i="2"/>
  <c r="DX148" i="2"/>
  <c r="HE148" i="2"/>
  <c r="CI148" i="2"/>
  <c r="BM148" i="2"/>
  <c r="ET148" i="2"/>
  <c r="EW148" i="2" s="1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GN148" i="2" s="1"/>
  <c r="FL148" i="2"/>
  <c r="FC148" i="2"/>
  <c r="FM148" i="2"/>
  <c r="FS148" i="2" s="1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FQ148" i="2" l="1"/>
  <c r="EV148" i="2"/>
  <c r="GM148" i="2"/>
  <c r="FR148" i="2"/>
  <c r="HH148" i="2"/>
  <c r="HG148" i="2"/>
  <c r="EC148" i="2"/>
  <c r="EB148" i="2"/>
  <c r="EA148" i="2"/>
  <c r="DH148" i="2"/>
  <c r="DG148" i="2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FQ149" i="2" s="1"/>
  <c r="GI149" i="2"/>
  <c r="FO149" i="2"/>
  <c r="ET149" i="2"/>
  <c r="EW149" i="2" s="1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G149" i="2" s="1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X149" i="2" s="1"/>
  <c r="EG149" i="2"/>
  <c r="DW149" i="2"/>
  <c r="DB149" i="2"/>
  <c r="GH149" i="2"/>
  <c r="GN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GL149" i="2" l="1"/>
  <c r="GM149" i="2"/>
  <c r="HH149" i="2"/>
  <c r="EV149" i="2"/>
  <c r="HI149" i="2"/>
  <c r="HI150" i="2" s="1"/>
  <c r="FR149" i="2"/>
  <c r="EC149" i="2"/>
  <c r="EB149" i="2"/>
  <c r="EA149" i="2"/>
  <c r="DH149" i="2"/>
  <c r="DG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EW150" i="2" s="1"/>
  <c r="FN150" i="2"/>
  <c r="FQ150" i="2" s="1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GN150" i="2" s="1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X150" i="2" s="1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R150" i="2" l="1"/>
  <c r="GM150" i="2"/>
  <c r="HH150" i="2"/>
  <c r="HI151" i="2"/>
  <c r="GL150" i="2"/>
  <c r="HG150" i="2"/>
  <c r="EC150" i="2"/>
  <c r="EA150" i="2"/>
  <c r="EB150" i="2"/>
  <c r="DH150" i="2"/>
  <c r="DG150" i="2"/>
  <c r="DF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M151" i="2" s="1"/>
  <c r="GI151" i="2"/>
  <c r="ES151" i="2"/>
  <c r="EV151" i="2" s="1"/>
  <c r="ET151" i="2"/>
  <c r="EW151" i="2" s="1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GN151" i="2" s="1"/>
  <c r="FL151" i="2"/>
  <c r="FC151" i="2"/>
  <c r="FW151" i="2"/>
  <c r="FM151" i="2"/>
  <c r="FS151" i="2" s="1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HG151" i="2" l="1"/>
  <c r="FQ151" i="2"/>
  <c r="HI152" i="2"/>
  <c r="GL151" i="2"/>
  <c r="FR151" i="2"/>
  <c r="HH151" i="2"/>
  <c r="EC151" i="2"/>
  <c r="EA151" i="2"/>
  <c r="EB151" i="2"/>
  <c r="AW151" i="2"/>
  <c r="DH151" i="2"/>
  <c r="DG151" i="2"/>
  <c r="DF151" i="2"/>
  <c r="BQ151" i="2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M152" i="2" s="1"/>
  <c r="GI152" i="2"/>
  <c r="FO152" i="2"/>
  <c r="ES152" i="2"/>
  <c r="EV152" i="2" s="1"/>
  <c r="DX152" i="2"/>
  <c r="FN152" i="2"/>
  <c r="FQ152" i="2" s="1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GN152" i="2" s="1"/>
  <c r="FL152" i="2"/>
  <c r="FC152" i="2"/>
  <c r="FB152" i="2"/>
  <c r="ER152" i="2"/>
  <c r="EX152" i="2" s="1"/>
  <c r="DV152" i="2"/>
  <c r="DM152" i="2"/>
  <c r="DA152" i="2"/>
  <c r="FM152" i="2"/>
  <c r="FS152" i="2" s="1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FR152" i="2" l="1"/>
  <c r="HG152" i="2"/>
  <c r="EW152" i="2"/>
  <c r="GL152" i="2"/>
  <c r="HH152" i="2"/>
  <c r="EC152" i="2"/>
  <c r="EB152" i="2"/>
  <c r="EA152" i="2"/>
  <c r="DH152" i="2"/>
  <c r="DG152" i="2"/>
  <c r="DF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GN153" i="2" s="1"/>
  <c r="FL153" i="2"/>
  <c r="FC153" i="2"/>
  <c r="EQ153" i="2"/>
  <c r="EH153" i="2"/>
  <c r="CJ153" i="2"/>
  <c r="HC153" i="2"/>
  <c r="HI153" i="2" s="1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H153" i="2" l="1"/>
  <c r="GM153" i="2"/>
  <c r="EV153" i="2"/>
  <c r="FR153" i="2"/>
  <c r="FQ153" i="2"/>
  <c r="HG153" i="2"/>
  <c r="EW153" i="2"/>
  <c r="GL153" i="2"/>
  <c r="EA153" i="2"/>
  <c r="EB153" i="2"/>
  <c r="EC153" i="2"/>
  <c r="DH153" i="2"/>
  <c r="DG153" i="2"/>
  <c r="DF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HB154" i="2"/>
  <c r="HC154" i="2"/>
  <c r="HI154" i="2" s="1"/>
  <c r="GI154" i="2"/>
  <c r="FP154" i="2"/>
  <c r="HD154" i="2"/>
  <c r="GJ154" i="2"/>
  <c r="HE154" i="2"/>
  <c r="GK154" i="2"/>
  <c r="FB154" i="2"/>
  <c r="HF154" i="2"/>
  <c r="FC154" i="2"/>
  <c r="ER154" i="2"/>
  <c r="EX154" i="2" s="1"/>
  <c r="EH154" i="2"/>
  <c r="DV154" i="2"/>
  <c r="GH154" i="2"/>
  <c r="GN154" i="2" s="1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AC152" i="2"/>
  <c r="FR154" i="2" l="1"/>
  <c r="FQ154" i="2"/>
  <c r="FT154" i="2" s="1"/>
  <c r="GM154" i="2"/>
  <c r="Z154" i="2"/>
  <c r="AC154" i="2" s="1"/>
  <c r="GL154" i="2"/>
  <c r="GO154" i="2" s="1"/>
  <c r="EW154" i="2"/>
  <c r="HH154" i="2"/>
  <c r="EV154" i="2"/>
  <c r="HG154" i="2"/>
  <c r="EB154" i="2"/>
  <c r="EA154" i="2"/>
  <c r="EC154" i="2"/>
  <c r="DH154" i="2"/>
  <c r="DG154" i="2"/>
  <c r="DF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S155" i="2" s="1"/>
  <c r="GS155" i="2"/>
  <c r="GG155" i="2"/>
  <c r="FN155" i="2"/>
  <c r="HB155" i="2"/>
  <c r="GH155" i="2"/>
  <c r="GN155" i="2" s="1"/>
  <c r="FO155" i="2"/>
  <c r="FR155" i="2" s="1"/>
  <c r="HC155" i="2"/>
  <c r="HI155" i="2" s="1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FQ155" i="2" l="1"/>
  <c r="FQ156" i="2" s="1"/>
  <c r="EV155" i="2"/>
  <c r="GL155" i="2"/>
  <c r="EW155" i="2"/>
  <c r="HH155" i="2"/>
  <c r="GM155" i="2"/>
  <c r="Z155" i="2"/>
  <c r="ED154" i="2"/>
  <c r="AW155" i="2"/>
  <c r="CN154" i="2"/>
  <c r="DI154" i="2"/>
  <c r="EC155" i="2"/>
  <c r="EB155" i="2"/>
  <c r="EA155" i="2"/>
  <c r="DH155" i="2"/>
  <c r="DG155" i="2"/>
  <c r="DF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N156" i="2" s="1"/>
  <c r="FO156" i="2"/>
  <c r="FR156" i="2" s="1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GO155" i="2"/>
  <c r="AX152" i="2"/>
  <c r="GM156" i="2" l="1"/>
  <c r="HH156" i="2"/>
  <c r="HG156" i="2"/>
  <c r="EV156" i="2"/>
  <c r="EW156" i="2"/>
  <c r="AB156" i="2"/>
  <c r="GL156" i="2"/>
  <c r="EC156" i="2"/>
  <c r="ED155" i="2"/>
  <c r="EA156" i="2"/>
  <c r="EB156" i="2"/>
  <c r="DH156" i="2"/>
  <c r="DI155" i="2"/>
  <c r="DF156" i="2"/>
  <c r="DG156" i="2"/>
  <c r="CN155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GN157" i="2" s="1"/>
  <c r="FO157" i="2"/>
  <c r="FR157" i="2" s="1"/>
  <c r="HC157" i="2"/>
  <c r="HI157" i="2" s="1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V157" i="2"/>
  <c r="FQ157" i="2"/>
  <c r="FQ158" i="2" s="1"/>
  <c r="EW157" i="2"/>
  <c r="GM157" i="2"/>
  <c r="GL157" i="2"/>
  <c r="CN156" i="2"/>
  <c r="EC157" i="2"/>
  <c r="EB157" i="2"/>
  <c r="EA157" i="2"/>
  <c r="DH157" i="2"/>
  <c r="DF157" i="2"/>
  <c r="DG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I158" i="2" s="1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FS158" i="2" s="1"/>
  <c r="GS158" i="2"/>
  <c r="GG158" i="2"/>
  <c r="FN158" i="2"/>
  <c r="HB158" i="2"/>
  <c r="GH158" i="2"/>
  <c r="GN158" i="2" s="1"/>
  <c r="FO158" i="2"/>
  <c r="FC158" i="2"/>
  <c r="EH158" i="2"/>
  <c r="DZ158" i="2"/>
  <c r="EQ158" i="2"/>
  <c r="ER158" i="2"/>
  <c r="EX158" i="2" s="1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GN159" i="2" l="1"/>
  <c r="FR158" i="2"/>
  <c r="HG158" i="2"/>
  <c r="EW158" i="2"/>
  <c r="GL158" i="2"/>
  <c r="GM158" i="2"/>
  <c r="ED157" i="2"/>
  <c r="EC158" i="2"/>
  <c r="EB158" i="2"/>
  <c r="EA158" i="2"/>
  <c r="DH158" i="2"/>
  <c r="DI157" i="2"/>
  <c r="DG158" i="2"/>
  <c r="DF158" i="2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HG159" i="2" s="1"/>
  <c r="GJ159" i="2"/>
  <c r="HE159" i="2"/>
  <c r="GK159" i="2"/>
  <c r="FB159" i="2"/>
  <c r="HF159" i="2"/>
  <c r="FC159" i="2"/>
  <c r="GR159" i="2"/>
  <c r="FX159" i="2"/>
  <c r="FM159" i="2"/>
  <c r="FS159" i="2" s="1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GL159" i="2" l="1"/>
  <c r="FR159" i="2"/>
  <c r="EV159" i="2"/>
  <c r="EY159" i="2" s="1"/>
  <c r="HH159" i="2"/>
  <c r="GM159" i="2"/>
  <c r="GN160" i="2"/>
  <c r="EW159" i="2"/>
  <c r="FQ159" i="2"/>
  <c r="FQ160" i="2" s="1"/>
  <c r="DI158" i="2"/>
  <c r="EA159" i="2"/>
  <c r="ED158" i="2"/>
  <c r="EC159" i="2"/>
  <c r="EB159" i="2"/>
  <c r="DH159" i="2"/>
  <c r="DG159" i="2"/>
  <c r="DF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GL160" i="2" s="1"/>
  <c r="FP160" i="2"/>
  <c r="HD160" i="2"/>
  <c r="HG160" i="2" s="1"/>
  <c r="GJ160" i="2"/>
  <c r="GM160" i="2" s="1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R160" i="2" l="1"/>
  <c r="EW160" i="2"/>
  <c r="HH160" i="2"/>
  <c r="EV160" i="2"/>
  <c r="GN161" i="2"/>
  <c r="ED159" i="2"/>
  <c r="EB160" i="2"/>
  <c r="DI159" i="2"/>
  <c r="DH160" i="2"/>
  <c r="EA160" i="2"/>
  <c r="EC160" i="2"/>
  <c r="DG160" i="2"/>
  <c r="DF160" i="2"/>
  <c r="AU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FR161" i="2" s="1"/>
  <c r="HC161" i="2"/>
  <c r="HI161" i="2" s="1"/>
  <c r="GI161" i="2"/>
  <c r="GL161" i="2" s="1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EW161" i="2" s="1"/>
  <c r="DC161" i="2"/>
  <c r="CI161" i="2"/>
  <c r="GG161" i="2"/>
  <c r="EU161" i="2"/>
  <c r="DL161" i="2"/>
  <c r="DD161" i="2"/>
  <c r="CJ161" i="2"/>
  <c r="EH161" i="2"/>
  <c r="CR161" i="2"/>
  <c r="ES161" i="2"/>
  <c r="EV161" i="2" s="1"/>
  <c r="DB161" i="2"/>
  <c r="CH161" i="2"/>
  <c r="BB161" i="2"/>
  <c r="AP161" i="2"/>
  <c r="DV161" i="2"/>
  <c r="DE161" i="2"/>
  <c r="AQ161" i="2"/>
  <c r="FN161" i="2"/>
  <c r="FQ161" i="2" s="1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GM161" i="2"/>
  <c r="GN162" i="2"/>
  <c r="AB161" i="2"/>
  <c r="AW161" i="2"/>
  <c r="EA161" i="2"/>
  <c r="ED160" i="2"/>
  <c r="EC161" i="2"/>
  <c r="EB161" i="2"/>
  <c r="DH161" i="2"/>
  <c r="DF161" i="2"/>
  <c r="DG161" i="2"/>
  <c r="CN160" i="2"/>
  <c r="CM161" i="2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HI162" i="2" s="1"/>
  <c r="GI162" i="2"/>
  <c r="GL162" i="2" s="1"/>
  <c r="FP162" i="2"/>
  <c r="HD162" i="2"/>
  <c r="HG162" i="2" s="1"/>
  <c r="GJ162" i="2"/>
  <c r="GM162" i="2" s="1"/>
  <c r="HE162" i="2"/>
  <c r="HH162" i="2" s="1"/>
  <c r="GK162" i="2"/>
  <c r="FB162" i="2"/>
  <c r="HF162" i="2"/>
  <c r="FC162" i="2"/>
  <c r="ER162" i="2"/>
  <c r="EX162" i="2" s="1"/>
  <c r="GH162" i="2"/>
  <c r="EG162" i="2"/>
  <c r="DV162" i="2"/>
  <c r="EQ162" i="2"/>
  <c r="FO162" i="2"/>
  <c r="FR162" i="2" s="1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FQ162" i="2" l="1"/>
  <c r="EW162" i="2"/>
  <c r="EV162" i="2"/>
  <c r="EY162" i="2" s="1"/>
  <c r="ED161" i="2"/>
  <c r="EA162" i="2"/>
  <c r="EB162" i="2"/>
  <c r="EC162" i="2"/>
  <c r="DH162" i="2"/>
  <c r="DI161" i="2"/>
  <c r="DG162" i="2"/>
  <c r="DF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FQ163" i="2" s="1"/>
  <c r="HB163" i="2"/>
  <c r="GH163" i="2"/>
  <c r="FO163" i="2"/>
  <c r="HC163" i="2"/>
  <c r="HI163" i="2" s="1"/>
  <c r="HD163" i="2"/>
  <c r="HG163" i="2" s="1"/>
  <c r="GJ163" i="2"/>
  <c r="GM163" i="2" s="1"/>
  <c r="HE163" i="2"/>
  <c r="HH163" i="2" s="1"/>
  <c r="GK163" i="2"/>
  <c r="GN163" i="2" s="1"/>
  <c r="FB163" i="2"/>
  <c r="HF163" i="2"/>
  <c r="FC163" i="2"/>
  <c r="FW163" i="2"/>
  <c r="FL163" i="2"/>
  <c r="ES163" i="2"/>
  <c r="EQ163" i="2"/>
  <c r="DW163" i="2"/>
  <c r="GI163" i="2"/>
  <c r="GL163" i="2" s="1"/>
  <c r="ET163" i="2"/>
  <c r="EW163" i="2" s="1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EX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FS164" i="2" l="1"/>
  <c r="EV163" i="2"/>
  <c r="FR163" i="2"/>
  <c r="EB163" i="2"/>
  <c r="ED162" i="2"/>
  <c r="EA163" i="2"/>
  <c r="EC163" i="2"/>
  <c r="DH163" i="2"/>
  <c r="DG163" i="2"/>
  <c r="DF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FQ164" i="2" s="1"/>
  <c r="HB164" i="2"/>
  <c r="GH164" i="2"/>
  <c r="GN164" i="2" s="1"/>
  <c r="FO164" i="2"/>
  <c r="FR164" i="2" s="1"/>
  <c r="HC164" i="2"/>
  <c r="HI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GL164" i="2" l="1"/>
  <c r="FS165" i="2"/>
  <c r="EW164" i="2"/>
  <c r="HH164" i="2"/>
  <c r="GM164" i="2"/>
  <c r="EV164" i="2"/>
  <c r="HG164" i="2"/>
  <c r="DI163" i="2"/>
  <c r="EB164" i="2"/>
  <c r="ED163" i="2"/>
  <c r="EA164" i="2"/>
  <c r="EC164" i="2"/>
  <c r="DH164" i="2"/>
  <c r="DF164" i="2"/>
  <c r="DG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HI165" i="2" s="1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FQ165" i="2" s="1"/>
  <c r="GS165" i="2"/>
  <c r="GG165" i="2"/>
  <c r="FN165" i="2"/>
  <c r="EU165" i="2"/>
  <c r="DY165" i="2"/>
  <c r="EG165" i="2"/>
  <c r="GK165" i="2"/>
  <c r="GN165" i="2" s="1"/>
  <c r="EQ165" i="2"/>
  <c r="DM165" i="2"/>
  <c r="FB165" i="2"/>
  <c r="ES165" i="2"/>
  <c r="DW165" i="2"/>
  <c r="CQ165" i="2"/>
  <c r="BW165" i="2"/>
  <c r="ET165" i="2"/>
  <c r="EW165" i="2" s="1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GM165" i="2" l="1"/>
  <c r="EV165" i="2"/>
  <c r="GL165" i="2"/>
  <c r="FR165" i="2"/>
  <c r="EC165" i="2"/>
  <c r="EB165" i="2"/>
  <c r="EA165" i="2"/>
  <c r="DH165" i="2"/>
  <c r="DI164" i="2"/>
  <c r="DF165" i="2"/>
  <c r="DG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GL166" i="2" s="1"/>
  <c r="FP166" i="2"/>
  <c r="FS166" i="2" s="1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FQ166" i="2" s="1"/>
  <c r="HB166" i="2"/>
  <c r="GH166" i="2"/>
  <c r="GN166" i="2" s="1"/>
  <c r="FO166" i="2"/>
  <c r="EG166" i="2"/>
  <c r="DZ166" i="2"/>
  <c r="ES166" i="2"/>
  <c r="EV166" i="2" s="1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EX166" i="2" s="1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EW166" i="2" l="1"/>
  <c r="HG166" i="2"/>
  <c r="HJ166" i="2" s="1"/>
  <c r="HH166" i="2"/>
  <c r="FR166" i="2"/>
  <c r="GM166" i="2"/>
  <c r="CN165" i="2"/>
  <c r="EC166" i="2"/>
  <c r="ED165" i="2"/>
  <c r="EB166" i="2"/>
  <c r="EA166" i="2"/>
  <c r="DH166" i="2"/>
  <c r="DF166" i="2"/>
  <c r="DG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FQ167" i="2" s="1"/>
  <c r="GS167" i="2"/>
  <c r="GG167" i="2"/>
  <c r="FN167" i="2"/>
  <c r="HB167" i="2"/>
  <c r="GH167" i="2"/>
  <c r="GN167" i="2" s="1"/>
  <c r="FO167" i="2"/>
  <c r="HC167" i="2"/>
  <c r="HI167" i="2" s="1"/>
  <c r="GI167" i="2"/>
  <c r="GL167" i="2" s="1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V167" i="2" l="1"/>
  <c r="EY167" i="2" s="1"/>
  <c r="HH167" i="2"/>
  <c r="GM167" i="2"/>
  <c r="HG167" i="2"/>
  <c r="FR167" i="2"/>
  <c r="FS167" i="2"/>
  <c r="FS168" i="2" s="1"/>
  <c r="EW167" i="2"/>
  <c r="DH167" i="2"/>
  <c r="EA167" i="2"/>
  <c r="EC167" i="2"/>
  <c r="EB167" i="2"/>
  <c r="DI166" i="2"/>
  <c r="DF167" i="2"/>
  <c r="DG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FQ168" i="2" s="1"/>
  <c r="HB168" i="2"/>
  <c r="GH168" i="2"/>
  <c r="GN168" i="2" s="1"/>
  <c r="FO168" i="2"/>
  <c r="HC168" i="2"/>
  <c r="HI168" i="2" s="1"/>
  <c r="GI168" i="2"/>
  <c r="GL168" i="2" s="1"/>
  <c r="FP168" i="2"/>
  <c r="HD168" i="2"/>
  <c r="GJ168" i="2"/>
  <c r="GM168" i="2" s="1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EX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G168" i="2" l="1"/>
  <c r="FS169" i="2"/>
  <c r="EW168" i="2"/>
  <c r="FR168" i="2"/>
  <c r="EC168" i="2"/>
  <c r="HG169" i="2"/>
  <c r="DH168" i="2"/>
  <c r="DI167" i="2"/>
  <c r="EA168" i="2"/>
  <c r="EB168" i="2"/>
  <c r="DG168" i="2"/>
  <c r="DF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GN169" i="2" s="1"/>
  <c r="FO169" i="2"/>
  <c r="FR169" i="2" s="1"/>
  <c r="HC169" i="2"/>
  <c r="HI169" i="2" s="1"/>
  <c r="GI169" i="2"/>
  <c r="GL169" i="2" s="1"/>
  <c r="FP169" i="2"/>
  <c r="HD169" i="2"/>
  <c r="GJ169" i="2"/>
  <c r="HE169" i="2"/>
  <c r="GK169" i="2"/>
  <c r="FB169" i="2"/>
  <c r="EQ169" i="2"/>
  <c r="EU169" i="2"/>
  <c r="DM169" i="2"/>
  <c r="FN169" i="2"/>
  <c r="FQ169" i="2" s="1"/>
  <c r="EH169" i="2"/>
  <c r="DY169" i="2"/>
  <c r="GG169" i="2"/>
  <c r="ES169" i="2"/>
  <c r="EV169" i="2" s="1"/>
  <c r="DC169" i="2"/>
  <c r="CI169" i="2"/>
  <c r="ET169" i="2"/>
  <c r="EW169" i="2" s="1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GM169" i="2"/>
  <c r="EC169" i="2"/>
  <c r="DH169" i="2"/>
  <c r="HG170" i="2"/>
  <c r="DI168" i="2"/>
  <c r="EA169" i="2"/>
  <c r="EB169" i="2"/>
  <c r="DF169" i="2"/>
  <c r="DG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FQ170" i="2" s="1"/>
  <c r="HB170" i="2"/>
  <c r="HC170" i="2"/>
  <c r="HI170" i="2" s="1"/>
  <c r="GI170" i="2"/>
  <c r="GL170" i="2" s="1"/>
  <c r="FP170" i="2"/>
  <c r="FS170" i="2" s="1"/>
  <c r="HD170" i="2"/>
  <c r="GJ170" i="2"/>
  <c r="GM170" i="2" s="1"/>
  <c r="HE170" i="2"/>
  <c r="GK170" i="2"/>
  <c r="FB170" i="2"/>
  <c r="HF170" i="2"/>
  <c r="FC170" i="2"/>
  <c r="ER170" i="2"/>
  <c r="EX170" i="2" s="1"/>
  <c r="DV170" i="2"/>
  <c r="ES170" i="2"/>
  <c r="EV170" i="2" s="1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EW170" i="2" s="1"/>
  <c r="DC170" i="2"/>
  <c r="CI170" i="2"/>
  <c r="BL170" i="2"/>
  <c r="DW170" i="2"/>
  <c r="BM170" i="2"/>
  <c r="BA170" i="2"/>
  <c r="DX170" i="2"/>
  <c r="FO170" i="2"/>
  <c r="FR170" i="2" s="1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HH170" i="2" l="1"/>
  <c r="EC170" i="2"/>
  <c r="EA170" i="2"/>
  <c r="HG171" i="2"/>
  <c r="CN169" i="2"/>
  <c r="EB170" i="2"/>
  <c r="DF170" i="2"/>
  <c r="DG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FQ171" i="2" s="1"/>
  <c r="HB171" i="2"/>
  <c r="GH171" i="2"/>
  <c r="GN171" i="2" s="1"/>
  <c r="FO171" i="2"/>
  <c r="HC171" i="2"/>
  <c r="HD171" i="2"/>
  <c r="GJ171" i="2"/>
  <c r="GM171" i="2" s="1"/>
  <c r="HE171" i="2"/>
  <c r="GK171" i="2"/>
  <c r="FB171" i="2"/>
  <c r="HF171" i="2"/>
  <c r="HI171" i="2" s="1"/>
  <c r="FC171" i="2"/>
  <c r="FW171" i="2"/>
  <c r="FL171" i="2"/>
  <c r="ES171" i="2"/>
  <c r="EV171" i="2" s="1"/>
  <c r="GI171" i="2"/>
  <c r="GL171" i="2" s="1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EX171" i="2" s="1"/>
  <c r="CR171" i="2"/>
  <c r="ET171" i="2"/>
  <c r="EW171" i="2" s="1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R171" i="2" l="1"/>
  <c r="HH171" i="2"/>
  <c r="EA171" i="2"/>
  <c r="EB171" i="2"/>
  <c r="DH171" i="2"/>
  <c r="EC171" i="2"/>
  <c r="DI170" i="2"/>
  <c r="DF171" i="2"/>
  <c r="DG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FQ172" i="2" s="1"/>
  <c r="HB172" i="2"/>
  <c r="GH172" i="2"/>
  <c r="GN172" i="2" s="1"/>
  <c r="FO172" i="2"/>
  <c r="HC172" i="2"/>
  <c r="HI172" i="2" s="1"/>
  <c r="GI172" i="2"/>
  <c r="GL172" i="2" s="1"/>
  <c r="FP172" i="2"/>
  <c r="HD172" i="2"/>
  <c r="HG172" i="2" s="1"/>
  <c r="HE172" i="2"/>
  <c r="HH172" i="2" s="1"/>
  <c r="GK172" i="2"/>
  <c r="FB172" i="2"/>
  <c r="HF172" i="2"/>
  <c r="FC172" i="2"/>
  <c r="FW172" i="2"/>
  <c r="FL172" i="2"/>
  <c r="GR172" i="2"/>
  <c r="FX172" i="2"/>
  <c r="FM172" i="2"/>
  <c r="FS172" i="2" s="1"/>
  <c r="ET172" i="2"/>
  <c r="ER172" i="2"/>
  <c r="EX172" i="2" s="1"/>
  <c r="DX172" i="2"/>
  <c r="GJ172" i="2"/>
  <c r="GM172" i="2" s="1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FS173" i="2" l="1"/>
  <c r="EW172" i="2"/>
  <c r="EV172" i="2"/>
  <c r="FR172" i="2"/>
  <c r="ED171" i="2"/>
  <c r="EB172" i="2"/>
  <c r="EA172" i="2"/>
  <c r="DH172" i="2"/>
  <c r="EC172" i="2"/>
  <c r="DF172" i="2"/>
  <c r="DG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GN173" i="2" s="1"/>
  <c r="FO173" i="2"/>
  <c r="FR173" i="2" s="1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FQ173" i="2" s="1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EV173" i="2" s="1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GL173" i="2" l="1"/>
  <c r="HH173" i="2"/>
  <c r="GM173" i="2"/>
  <c r="HG173" i="2"/>
  <c r="DH173" i="2"/>
  <c r="ED172" i="2"/>
  <c r="CL173" i="2"/>
  <c r="EC173" i="2"/>
  <c r="EA173" i="2"/>
  <c r="EB173" i="2"/>
  <c r="DF173" i="2"/>
  <c r="DG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I174" i="2" s="1"/>
  <c r="GI174" i="2"/>
  <c r="GL174" i="2" s="1"/>
  <c r="FP174" i="2"/>
  <c r="FS174" i="2" s="1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FQ174" i="2" s="1"/>
  <c r="HB174" i="2"/>
  <c r="GH174" i="2"/>
  <c r="GN174" i="2" s="1"/>
  <c r="FO174" i="2"/>
  <c r="FR174" i="2" s="1"/>
  <c r="DZ174" i="2"/>
  <c r="ER174" i="2"/>
  <c r="EX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EV174" i="2" s="1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I175" i="2" l="1"/>
  <c r="EW174" i="2"/>
  <c r="HG174" i="2"/>
  <c r="HH174" i="2"/>
  <c r="GM174" i="2"/>
  <c r="FQ175" i="2"/>
  <c r="DI173" i="2"/>
  <c r="DH174" i="2"/>
  <c r="EA174" i="2"/>
  <c r="EB174" i="2"/>
  <c r="EC174" i="2"/>
  <c r="DF174" i="2"/>
  <c r="DG174" i="2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HH175" i="2" s="1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GN175" i="2" s="1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X175" i="2" s="1"/>
  <c r="ES175" i="2"/>
  <c r="EV175" i="2" s="1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6" i="2" l="1"/>
  <c r="FR175" i="2"/>
  <c r="GM175" i="2"/>
  <c r="HG175" i="2"/>
  <c r="GL175" i="2"/>
  <c r="ED174" i="2"/>
  <c r="CN174" i="2"/>
  <c r="EC175" i="2"/>
  <c r="EA175" i="2"/>
  <c r="EB175" i="2"/>
  <c r="DH175" i="2"/>
  <c r="DI174" i="2"/>
  <c r="DG175" i="2"/>
  <c r="DF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GN176" i="2" s="1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FQ176" i="2" s="1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R176" i="2" l="1"/>
  <c r="EW176" i="2"/>
  <c r="GL176" i="2"/>
  <c r="FS176" i="2"/>
  <c r="FS177" i="2" s="1"/>
  <c r="EV176" i="2"/>
  <c r="GM176" i="2"/>
  <c r="HG176" i="2"/>
  <c r="DI175" i="2"/>
  <c r="DH176" i="2"/>
  <c r="EC176" i="2"/>
  <c r="EA176" i="2"/>
  <c r="EB176" i="2"/>
  <c r="AU176" i="2"/>
  <c r="DG176" i="2"/>
  <c r="DF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GN177" i="2" s="1"/>
  <c r="FO177" i="2"/>
  <c r="FR177" i="2" s="1"/>
  <c r="HC177" i="2"/>
  <c r="HI177" i="2" s="1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EX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G177" i="2" l="1"/>
  <c r="FQ177" i="2"/>
  <c r="GL177" i="2"/>
  <c r="GM177" i="2"/>
  <c r="HH177" i="2"/>
  <c r="EV177" i="2"/>
  <c r="EA177" i="2"/>
  <c r="EC177" i="2"/>
  <c r="EB177" i="2"/>
  <c r="DH177" i="2"/>
  <c r="DF177" i="2"/>
  <c r="DG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HI178" i="2" s="1"/>
  <c r="GI178" i="2"/>
  <c r="GL178" i="2" s="1"/>
  <c r="FP178" i="2"/>
  <c r="FS178" i="2" s="1"/>
  <c r="HD178" i="2"/>
  <c r="GJ178" i="2"/>
  <c r="HE178" i="2"/>
  <c r="GK178" i="2"/>
  <c r="FB178" i="2"/>
  <c r="HF178" i="2"/>
  <c r="FC178" i="2"/>
  <c r="ER178" i="2"/>
  <c r="EX178" i="2" s="1"/>
  <c r="DV178" i="2"/>
  <c r="FO178" i="2"/>
  <c r="FR178" i="2" s="1"/>
  <c r="EQ178" i="2"/>
  <c r="DZ178" i="2"/>
  <c r="GH178" i="2"/>
  <c r="GN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W178" i="2"/>
  <c r="EV178" i="2"/>
  <c r="HH178" i="2"/>
  <c r="GM178" i="2"/>
  <c r="ED177" i="2"/>
  <c r="DH178" i="2"/>
  <c r="EB178" i="2"/>
  <c r="EA178" i="2"/>
  <c r="EC178" i="2"/>
  <c r="DF178" i="2"/>
  <c r="DG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FQ179" i="2" s="1"/>
  <c r="HB179" i="2"/>
  <c r="GH179" i="2"/>
  <c r="GN179" i="2" s="1"/>
  <c r="FO179" i="2"/>
  <c r="FR179" i="2" s="1"/>
  <c r="HC179" i="2"/>
  <c r="HI179" i="2" s="1"/>
  <c r="HD179" i="2"/>
  <c r="HG179" i="2" s="1"/>
  <c r="GJ179" i="2"/>
  <c r="GM179" i="2" s="1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EX179" i="2" s="1"/>
  <c r="DZ179" i="2"/>
  <c r="FP179" i="2"/>
  <c r="FS179" i="2" s="1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GL179" i="2" l="1"/>
  <c r="AW179" i="2"/>
  <c r="EW179" i="2"/>
  <c r="HH179" i="2"/>
  <c r="GL180" i="2"/>
  <c r="DH179" i="2"/>
  <c r="ED178" i="2"/>
  <c r="EC179" i="2"/>
  <c r="EA179" i="2"/>
  <c r="EB179" i="2"/>
  <c r="DF179" i="2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FQ180" i="2" s="1"/>
  <c r="HB180" i="2"/>
  <c r="GH180" i="2"/>
  <c r="FO180" i="2"/>
  <c r="HC180" i="2"/>
  <c r="HI180" i="2" s="1"/>
  <c r="GI180" i="2"/>
  <c r="FP180" i="2"/>
  <c r="HD180" i="2"/>
  <c r="HG180" i="2" s="1"/>
  <c r="HE180" i="2"/>
  <c r="GK180" i="2"/>
  <c r="GN180" i="2" s="1"/>
  <c r="FB180" i="2"/>
  <c r="HF180" i="2"/>
  <c r="FC180" i="2"/>
  <c r="FW180" i="2"/>
  <c r="FL180" i="2"/>
  <c r="GR180" i="2"/>
  <c r="FX180" i="2"/>
  <c r="FM180" i="2"/>
  <c r="FS180" i="2" s="1"/>
  <c r="ET180" i="2"/>
  <c r="EW180" i="2" s="1"/>
  <c r="GJ180" i="2"/>
  <c r="GM180" i="2" s="1"/>
  <c r="EQ180" i="2"/>
  <c r="DX180" i="2"/>
  <c r="DL180" i="2"/>
  <c r="EG180" i="2"/>
  <c r="DV180" i="2"/>
  <c r="BV180" i="2"/>
  <c r="EH180" i="2"/>
  <c r="DW180" i="2"/>
  <c r="CQ180" i="2"/>
  <c r="BW180" i="2"/>
  <c r="ES180" i="2"/>
  <c r="EV180" i="2" s="1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FR180" i="2" l="1"/>
  <c r="HH180" i="2"/>
  <c r="DH180" i="2"/>
  <c r="EB180" i="2"/>
  <c r="ED179" i="2"/>
  <c r="EA180" i="2"/>
  <c r="EC180" i="2"/>
  <c r="DI179" i="2"/>
  <c r="DG180" i="2"/>
  <c r="DF180" i="2"/>
  <c r="CN179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GN181" i="2" s="1"/>
  <c r="FO181" i="2"/>
  <c r="HC181" i="2"/>
  <c r="HI181" i="2" s="1"/>
  <c r="GI181" i="2"/>
  <c r="GL181" i="2" s="1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EX181" i="2" s="1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Q181" i="2" l="1"/>
  <c r="HH181" i="2"/>
  <c r="GM181" i="2"/>
  <c r="FR181" i="2"/>
  <c r="HG181" i="2"/>
  <c r="ED180" i="2"/>
  <c r="CN180" i="2"/>
  <c r="EC181" i="2"/>
  <c r="EA181" i="2"/>
  <c r="EB181" i="2"/>
  <c r="DH181" i="2"/>
  <c r="DI180" i="2"/>
  <c r="DG181" i="2"/>
  <c r="DF181" i="2"/>
  <c r="AU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I182" i="2" s="1"/>
  <c r="GI182" i="2"/>
  <c r="GL182" i="2" s="1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GN182" i="2" s="1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B182" i="2" l="1"/>
  <c r="HH182" i="2"/>
  <c r="EV182" i="2"/>
  <c r="EY182" i="2" s="1"/>
  <c r="GM182" i="2"/>
  <c r="HG182" i="2"/>
  <c r="HG183" i="2" s="1"/>
  <c r="FR182" i="2"/>
  <c r="FQ182" i="2"/>
  <c r="EW182" i="2"/>
  <c r="EA182" i="2"/>
  <c r="EC182" i="2"/>
  <c r="EB182" i="2"/>
  <c r="AW182" i="2"/>
  <c r="DH182" i="2"/>
  <c r="DF182" i="2"/>
  <c r="DG182" i="2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FQ183" i="2" s="1"/>
  <c r="HB183" i="2"/>
  <c r="GH183" i="2"/>
  <c r="GN183" i="2" s="1"/>
  <c r="FO183" i="2"/>
  <c r="FR183" i="2" s="1"/>
  <c r="HC183" i="2"/>
  <c r="HI183" i="2" s="1"/>
  <c r="GI183" i="2"/>
  <c r="GL183" i="2" s="1"/>
  <c r="FP183" i="2"/>
  <c r="FS183" i="2" s="1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EX183" i="2" s="1"/>
  <c r="DM183" i="2"/>
  <c r="ET183" i="2"/>
  <c r="EW183" i="2" s="1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V183" i="2" l="1"/>
  <c r="HH183" i="2"/>
  <c r="GM183" i="2"/>
  <c r="ED182" i="2"/>
  <c r="EA183" i="2"/>
  <c r="EB183" i="2"/>
  <c r="DH183" i="2"/>
  <c r="EC183" i="2"/>
  <c r="DI182" i="2"/>
  <c r="DG183" i="2"/>
  <c r="DF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HH184" i="2" s="1"/>
  <c r="GK184" i="2"/>
  <c r="FB184" i="2"/>
  <c r="HF184" i="2"/>
  <c r="HI184" i="2" s="1"/>
  <c r="FC184" i="2"/>
  <c r="FW184" i="2"/>
  <c r="FL184" i="2"/>
  <c r="GR184" i="2"/>
  <c r="GS184" i="2"/>
  <c r="GG184" i="2"/>
  <c r="FN184" i="2"/>
  <c r="FQ184" i="2" s="1"/>
  <c r="HB184" i="2"/>
  <c r="GH184" i="2"/>
  <c r="GN184" i="2" s="1"/>
  <c r="FO184" i="2"/>
  <c r="FR184" i="2" s="1"/>
  <c r="HC184" i="2"/>
  <c r="GI184" i="2"/>
  <c r="FP184" i="2"/>
  <c r="HD184" i="2"/>
  <c r="HG184" i="2" s="1"/>
  <c r="GJ184" i="2"/>
  <c r="EH184" i="2"/>
  <c r="EQ184" i="2"/>
  <c r="EU184" i="2"/>
  <c r="DZ184" i="2"/>
  <c r="DB184" i="2"/>
  <c r="FM184" i="2"/>
  <c r="FS184" i="2" s="1"/>
  <c r="EG184" i="2"/>
  <c r="DC184" i="2"/>
  <c r="DW184" i="2"/>
  <c r="CQ184" i="2"/>
  <c r="FX184" i="2"/>
  <c r="DX184" i="2"/>
  <c r="DY184" i="2"/>
  <c r="DA184" i="2"/>
  <c r="CI184" i="2"/>
  <c r="BN184" i="2"/>
  <c r="ER184" i="2"/>
  <c r="EX184" i="2" s="1"/>
  <c r="DD184" i="2"/>
  <c r="CJ184" i="2"/>
  <c r="BO184" i="2"/>
  <c r="ES184" i="2"/>
  <c r="EV184" i="2" s="1"/>
  <c r="DE184" i="2"/>
  <c r="ET184" i="2"/>
  <c r="EW184" i="2" s="1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GN185" i="2" l="1"/>
  <c r="GM184" i="2"/>
  <c r="GL184" i="2"/>
  <c r="DH184" i="2"/>
  <c r="EC184" i="2"/>
  <c r="EA184" i="2"/>
  <c r="EB184" i="2"/>
  <c r="AW184" i="2"/>
  <c r="DI183" i="2"/>
  <c r="DG184" i="2"/>
  <c r="DF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FS185" i="2" s="1"/>
  <c r="GS185" i="2"/>
  <c r="HB185" i="2"/>
  <c r="GH185" i="2"/>
  <c r="FO185" i="2"/>
  <c r="FR185" i="2" s="1"/>
  <c r="HC185" i="2"/>
  <c r="HI185" i="2" s="1"/>
  <c r="GI185" i="2"/>
  <c r="FP185" i="2"/>
  <c r="HD185" i="2"/>
  <c r="HG185" i="2" s="1"/>
  <c r="GJ185" i="2"/>
  <c r="GM185" i="2" s="1"/>
  <c r="HE185" i="2"/>
  <c r="GK185" i="2"/>
  <c r="FB185" i="2"/>
  <c r="EQ185" i="2"/>
  <c r="FN185" i="2"/>
  <c r="FQ185" i="2" s="1"/>
  <c r="ES185" i="2"/>
  <c r="GG185" i="2"/>
  <c r="EH185" i="2"/>
  <c r="DC185" i="2"/>
  <c r="ER185" i="2"/>
  <c r="EX185" i="2" s="1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GL185" i="2"/>
  <c r="EW185" i="2"/>
  <c r="EV185" i="2"/>
  <c r="EB185" i="2"/>
  <c r="EA185" i="2"/>
  <c r="DI184" i="2"/>
  <c r="EC185" i="2"/>
  <c r="ED184" i="2"/>
  <c r="DH185" i="2"/>
  <c r="DF185" i="2"/>
  <c r="DG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FQ186" i="2" s="1"/>
  <c r="HB186" i="2"/>
  <c r="HC186" i="2"/>
  <c r="HI186" i="2" s="1"/>
  <c r="GI186" i="2"/>
  <c r="FP186" i="2"/>
  <c r="FS186" i="2" s="1"/>
  <c r="HD186" i="2"/>
  <c r="HG186" i="2" s="1"/>
  <c r="GJ186" i="2"/>
  <c r="HE186" i="2"/>
  <c r="GK186" i="2"/>
  <c r="FB186" i="2"/>
  <c r="HF186" i="2"/>
  <c r="FC186" i="2"/>
  <c r="ER186" i="2"/>
  <c r="EX186" i="2" s="1"/>
  <c r="EU186" i="2"/>
  <c r="FO186" i="2"/>
  <c r="FR186" i="2" s="1"/>
  <c r="EH186" i="2"/>
  <c r="GH186" i="2"/>
  <c r="GN186" i="2" s="1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V186" i="2" l="1"/>
  <c r="HH186" i="2"/>
  <c r="GL186" i="2"/>
  <c r="GM186" i="2"/>
  <c r="EW186" i="2"/>
  <c r="ED185" i="2"/>
  <c r="EB186" i="2"/>
  <c r="EA186" i="2"/>
  <c r="EC186" i="2"/>
  <c r="DH186" i="2"/>
  <c r="DI185" i="2"/>
  <c r="DF186" i="2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FQ187" i="2" s="1"/>
  <c r="HB187" i="2"/>
  <c r="GH187" i="2"/>
  <c r="GN187" i="2" s="1"/>
  <c r="FO187" i="2"/>
  <c r="FR187" i="2" s="1"/>
  <c r="HC187" i="2"/>
  <c r="HI187" i="2" s="1"/>
  <c r="HD187" i="2"/>
  <c r="HG187" i="2" s="1"/>
  <c r="GJ187" i="2"/>
  <c r="GM187" i="2" s="1"/>
  <c r="HE187" i="2"/>
  <c r="GK187" i="2"/>
  <c r="FB187" i="2"/>
  <c r="HF187" i="2"/>
  <c r="FC187" i="2"/>
  <c r="FW187" i="2"/>
  <c r="FL187" i="2"/>
  <c r="ES187" i="2"/>
  <c r="FP187" i="2"/>
  <c r="FS187" i="2" s="1"/>
  <c r="ER187" i="2"/>
  <c r="EX187" i="2" s="1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GL187" i="2" l="1"/>
  <c r="HH187" i="2"/>
  <c r="EW187" i="2"/>
  <c r="EV187" i="2"/>
  <c r="EA187" i="2"/>
  <c r="DH187" i="2"/>
  <c r="EC187" i="2"/>
  <c r="EB187" i="2"/>
  <c r="DI186" i="2"/>
  <c r="DF187" i="2"/>
  <c r="DG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FQ188" i="2" s="1"/>
  <c r="HB188" i="2"/>
  <c r="GH188" i="2"/>
  <c r="GN188" i="2" s="1"/>
  <c r="FO188" i="2"/>
  <c r="HC188" i="2"/>
  <c r="GI188" i="2"/>
  <c r="FP188" i="2"/>
  <c r="HD188" i="2"/>
  <c r="HG188" i="2" s="1"/>
  <c r="HE188" i="2"/>
  <c r="GK188" i="2"/>
  <c r="FB188" i="2"/>
  <c r="HF188" i="2"/>
  <c r="HI188" i="2" s="1"/>
  <c r="FC188" i="2"/>
  <c r="FW188" i="2"/>
  <c r="FL188" i="2"/>
  <c r="GR188" i="2"/>
  <c r="FX188" i="2"/>
  <c r="FM188" i="2"/>
  <c r="FS188" i="2" s="1"/>
  <c r="ET188" i="2"/>
  <c r="EH188" i="2"/>
  <c r="EU188" i="2"/>
  <c r="DV188" i="2"/>
  <c r="GJ188" i="2"/>
  <c r="GM188" i="2" s="1"/>
  <c r="EG188" i="2"/>
  <c r="DW188" i="2"/>
  <c r="CQ188" i="2"/>
  <c r="ER188" i="2"/>
  <c r="EX188" i="2" s="1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W188" i="2" l="1"/>
  <c r="EW189" i="2" s="1"/>
  <c r="FR188" i="2"/>
  <c r="HH188" i="2"/>
  <c r="EV188" i="2"/>
  <c r="GL188" i="2"/>
  <c r="DH188" i="2"/>
  <c r="EC188" i="2"/>
  <c r="ED187" i="2"/>
  <c r="EB188" i="2"/>
  <c r="EA188" i="2"/>
  <c r="DI187" i="2"/>
  <c r="DG188" i="2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N189" i="2" s="1"/>
  <c r="FO189" i="2"/>
  <c r="FR189" i="2" s="1"/>
  <c r="HC189" i="2"/>
  <c r="HI189" i="2" s="1"/>
  <c r="GI189" i="2"/>
  <c r="FP189" i="2"/>
  <c r="HD189" i="2"/>
  <c r="HG189" i="2" s="1"/>
  <c r="GJ189" i="2"/>
  <c r="HE189" i="2"/>
  <c r="HF189" i="2"/>
  <c r="FC189" i="2"/>
  <c r="FW189" i="2"/>
  <c r="FL189" i="2"/>
  <c r="GR189" i="2"/>
  <c r="FX189" i="2"/>
  <c r="FM189" i="2"/>
  <c r="FS189" i="2" s="1"/>
  <c r="GS189" i="2"/>
  <c r="GG189" i="2"/>
  <c r="FN189" i="2"/>
  <c r="FQ189" i="2" s="1"/>
  <c r="EU189" i="2"/>
  <c r="GK189" i="2"/>
  <c r="ER189" i="2"/>
  <c r="EX189" i="2" s="1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GN190" i="2" l="1"/>
  <c r="GM189" i="2"/>
  <c r="AA189" i="2"/>
  <c r="HH189" i="2"/>
  <c r="EV189" i="2"/>
  <c r="EY189" i="2" s="1"/>
  <c r="GL189" i="2"/>
  <c r="EB189" i="2"/>
  <c r="DH189" i="2"/>
  <c r="EA189" i="2"/>
  <c r="EC189" i="2"/>
  <c r="DF189" i="2"/>
  <c r="DG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I190" i="2" s="1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FS190" i="2" s="1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EX190" i="2" s="1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GL190" i="2" l="1"/>
  <c r="FR190" i="2"/>
  <c r="EV190" i="2"/>
  <c r="GM190" i="2"/>
  <c r="GM191" i="2" s="1"/>
  <c r="FQ190" i="2"/>
  <c r="HH190" i="2"/>
  <c r="EB190" i="2"/>
  <c r="CN189" i="2"/>
  <c r="ED189" i="2"/>
  <c r="EC190" i="2"/>
  <c r="EA190" i="2"/>
  <c r="DH190" i="2"/>
  <c r="DG190" i="2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GN191" i="2" s="1"/>
  <c r="HC191" i="2"/>
  <c r="HI191" i="2" s="1"/>
  <c r="GI191" i="2"/>
  <c r="GL191" i="2" s="1"/>
  <c r="FP191" i="2"/>
  <c r="EG191" i="2"/>
  <c r="FC191" i="2"/>
  <c r="FW191" i="2"/>
  <c r="FL191" i="2"/>
  <c r="FM191" i="2"/>
  <c r="FS191" i="2" s="1"/>
  <c r="FO191" i="2"/>
  <c r="FR191" i="2" s="1"/>
  <c r="ER191" i="2"/>
  <c r="EX191" i="2" s="1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EV191" i="2" s="1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FQ191" i="2"/>
  <c r="ED190" i="2"/>
  <c r="EA191" i="2"/>
  <c r="EB191" i="2"/>
  <c r="EC191" i="2"/>
  <c r="DH191" i="2"/>
  <c r="DG191" i="2"/>
  <c r="DF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GN192" i="2" s="1"/>
  <c r="HC192" i="2"/>
  <c r="HI192" i="2" s="1"/>
  <c r="GI192" i="2"/>
  <c r="GL192" i="2" s="1"/>
  <c r="HD192" i="2"/>
  <c r="HG192" i="2" s="1"/>
  <c r="GJ192" i="2"/>
  <c r="GM192" i="2" s="1"/>
  <c r="EH192" i="2"/>
  <c r="FM192" i="2"/>
  <c r="EG192" i="2"/>
  <c r="FN192" i="2"/>
  <c r="FX192" i="2"/>
  <c r="FO192" i="2"/>
  <c r="FR192" i="2" s="1"/>
  <c r="ET192" i="2"/>
  <c r="EW192" i="2" s="1"/>
  <c r="FB192" i="2"/>
  <c r="FC192" i="2"/>
  <c r="DZ192" i="2"/>
  <c r="DB192" i="2"/>
  <c r="FL192" i="2"/>
  <c r="DC192" i="2"/>
  <c r="DM192" i="2"/>
  <c r="FP192" i="2"/>
  <c r="FS192" i="2" s="1"/>
  <c r="DV192" i="2"/>
  <c r="DW192" i="2"/>
  <c r="CQ192" i="2"/>
  <c r="CI192" i="2"/>
  <c r="BN192" i="2"/>
  <c r="EQ192" i="2"/>
  <c r="DX192" i="2"/>
  <c r="CR192" i="2"/>
  <c r="CJ192" i="2"/>
  <c r="BO192" i="2"/>
  <c r="ER192" i="2"/>
  <c r="EX192" i="2" s="1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FQ192" i="2" l="1"/>
  <c r="EB192" i="2"/>
  <c r="DI191" i="2"/>
  <c r="EA192" i="2"/>
  <c r="EC192" i="2"/>
  <c r="AW192" i="2"/>
  <c r="DH192" i="2"/>
  <c r="DF192" i="2"/>
  <c r="DG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GN193" i="2" s="1"/>
  <c r="HC193" i="2"/>
  <c r="HI193" i="2" s="1"/>
  <c r="GI193" i="2"/>
  <c r="GL193" i="2" s="1"/>
  <c r="HD193" i="2"/>
  <c r="GJ193" i="2"/>
  <c r="HE193" i="2"/>
  <c r="GK193" i="2"/>
  <c r="FB193" i="2"/>
  <c r="EQ193" i="2"/>
  <c r="FO193" i="2"/>
  <c r="FR193" i="2" s="1"/>
  <c r="ER193" i="2"/>
  <c r="EX193" i="2" s="1"/>
  <c r="FP193" i="2"/>
  <c r="FC193" i="2"/>
  <c r="FL193" i="2"/>
  <c r="FM193" i="2"/>
  <c r="FS193" i="2" s="1"/>
  <c r="EG193" i="2"/>
  <c r="DC193" i="2"/>
  <c r="FN193" i="2"/>
  <c r="EH193" i="2"/>
  <c r="DL193" i="2"/>
  <c r="DD193" i="2"/>
  <c r="ET193" i="2"/>
  <c r="EW193" i="2" s="1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GM193" i="2" l="1"/>
  <c r="HG193" i="2"/>
  <c r="FQ193" i="2"/>
  <c r="EV193" i="2"/>
  <c r="HH193" i="2"/>
  <c r="EA193" i="2"/>
  <c r="DH193" i="2"/>
  <c r="ED192" i="2"/>
  <c r="EC193" i="2"/>
  <c r="EB193" i="2"/>
  <c r="DI192" i="2"/>
  <c r="DF193" i="2"/>
  <c r="DG193" i="2"/>
  <c r="CN192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GL194" i="2" s="1"/>
  <c r="HD194" i="2"/>
  <c r="HG194" i="2" s="1"/>
  <c r="GJ194" i="2"/>
  <c r="GM194" i="2" s="1"/>
  <c r="HE194" i="2"/>
  <c r="GK194" i="2"/>
  <c r="HF194" i="2"/>
  <c r="FC194" i="2"/>
  <c r="ER194" i="2"/>
  <c r="EX194" i="2" s="1"/>
  <c r="ET194" i="2"/>
  <c r="EW194" i="2" s="1"/>
  <c r="FB194" i="2"/>
  <c r="GH194" i="2"/>
  <c r="GN194" i="2" s="1"/>
  <c r="FM194" i="2"/>
  <c r="FS194" i="2" s="1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R194" i="2" l="1"/>
  <c r="FR195" i="2" s="1"/>
  <c r="HH194" i="2"/>
  <c r="EV194" i="2"/>
  <c r="ED193" i="2"/>
  <c r="EB194" i="2"/>
  <c r="DH194" i="2"/>
  <c r="CN193" i="2"/>
  <c r="EC194" i="2"/>
  <c r="EA194" i="2"/>
  <c r="AW194" i="2"/>
  <c r="DI193" i="2"/>
  <c r="DF194" i="2"/>
  <c r="DG194" i="2"/>
  <c r="CM194" i="2"/>
  <c r="AV194" i="2"/>
  <c r="AU194" i="2"/>
  <c r="BR194" i="2"/>
  <c r="BQ194" i="2"/>
  <c r="BP194" i="2"/>
  <c r="CL194" i="2"/>
  <c r="CK194" i="2"/>
  <c r="FT193" i="2"/>
  <c r="GO193" i="2"/>
  <c r="HJ193" i="2"/>
  <c r="EY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GN195" i="2" s="1"/>
  <c r="HC195" i="2"/>
  <c r="HI195" i="2" s="1"/>
  <c r="HD195" i="2"/>
  <c r="HG195" i="2" s="1"/>
  <c r="GJ195" i="2"/>
  <c r="GM195" i="2" s="1"/>
  <c r="HE195" i="2"/>
  <c r="HH195" i="2" s="1"/>
  <c r="GK195" i="2"/>
  <c r="HF195" i="2"/>
  <c r="FW195" i="2"/>
  <c r="FL195" i="2"/>
  <c r="ES195" i="2"/>
  <c r="FB195" i="2"/>
  <c r="FC195" i="2"/>
  <c r="FM195" i="2"/>
  <c r="FS195" i="2" s="1"/>
  <c r="FO195" i="2"/>
  <c r="EQ195" i="2"/>
  <c r="GI195" i="2"/>
  <c r="GL195" i="2" s="1"/>
  <c r="FP195" i="2"/>
  <c r="ET195" i="2"/>
  <c r="EW195" i="2" s="1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V195" i="2"/>
  <c r="DH195" i="2"/>
  <c r="EA195" i="2"/>
  <c r="EB195" i="2"/>
  <c r="FR196" i="2"/>
  <c r="ED194" i="2"/>
  <c r="EC195" i="2"/>
  <c r="DF195" i="2"/>
  <c r="DG195" i="2"/>
  <c r="AU195" i="2"/>
  <c r="CN194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GN196" i="2" s="1"/>
  <c r="HC196" i="2"/>
  <c r="HI196" i="2" s="1"/>
  <c r="GI196" i="2"/>
  <c r="GL196" i="2" s="1"/>
  <c r="HD196" i="2"/>
  <c r="HE196" i="2"/>
  <c r="GK196" i="2"/>
  <c r="HF196" i="2"/>
  <c r="FW196" i="2"/>
  <c r="GR196" i="2"/>
  <c r="FX196" i="2"/>
  <c r="FM196" i="2"/>
  <c r="FS196" i="2" s="1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EX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GM196" i="2" l="1"/>
  <c r="EV196" i="2"/>
  <c r="EY196" i="2" s="1"/>
  <c r="HH196" i="2"/>
  <c r="FQ196" i="2"/>
  <c r="HG196" i="2"/>
  <c r="AW196" i="2"/>
  <c r="EA196" i="2"/>
  <c r="EB196" i="2"/>
  <c r="DF196" i="2"/>
  <c r="EC196" i="2"/>
  <c r="DH196" i="2"/>
  <c r="DG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N197" i="2" s="1"/>
  <c r="HC197" i="2"/>
  <c r="HI197" i="2" s="1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GM197" i="2" l="1"/>
  <c r="FR197" i="2"/>
  <c r="EV197" i="2"/>
  <c r="HH197" i="2"/>
  <c r="HG197" i="2"/>
  <c r="FQ197" i="2"/>
  <c r="GL197" i="2"/>
  <c r="AA197" i="2"/>
  <c r="DI196" i="2"/>
  <c r="ED196" i="2"/>
  <c r="Z197" i="2"/>
  <c r="DF197" i="2"/>
  <c r="EA197" i="2"/>
  <c r="EB197" i="2"/>
  <c r="EC197" i="2"/>
  <c r="DH197" i="2"/>
  <c r="DG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GN198" i="2" s="1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S198" i="2" s="1"/>
  <c r="FN198" i="2"/>
  <c r="FQ198" i="2" s="1"/>
  <c r="EQ198" i="2"/>
  <c r="DW198" i="2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GM198" i="2"/>
  <c r="GL198" i="2"/>
  <c r="HH198" i="2"/>
  <c r="FR198" i="2"/>
  <c r="HG198" i="2"/>
  <c r="AC197" i="2"/>
  <c r="ED197" i="2"/>
  <c r="Z198" i="2"/>
  <c r="EC198" i="2"/>
  <c r="EA198" i="2"/>
  <c r="EB198" i="2"/>
  <c r="AW198" i="2"/>
  <c r="DH198" i="2"/>
  <c r="DG198" i="2"/>
  <c r="DF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HI199" i="2" s="1"/>
  <c r="GR199" i="2"/>
  <c r="FX199" i="2"/>
  <c r="GS199" i="2"/>
  <c r="GG199" i="2"/>
  <c r="HB199" i="2"/>
  <c r="GH199" i="2"/>
  <c r="GN199" i="2" s="1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EX199" i="2" s="1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AU199" i="2" l="1"/>
  <c r="FQ199" i="2"/>
  <c r="GL199" i="2"/>
  <c r="HH199" i="2"/>
  <c r="FR199" i="2"/>
  <c r="GM199" i="2"/>
  <c r="DI198" i="2"/>
  <c r="EB199" i="2"/>
  <c r="EA199" i="2"/>
  <c r="EC199" i="2"/>
  <c r="DH199" i="2"/>
  <c r="DF199" i="2"/>
  <c r="DG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GN200" i="2" s="1"/>
  <c r="HC200" i="2"/>
  <c r="HI200" i="2" s="1"/>
  <c r="GI200" i="2"/>
  <c r="HD200" i="2"/>
  <c r="HG200" i="2" s="1"/>
  <c r="GJ200" i="2"/>
  <c r="FL200" i="2"/>
  <c r="EU200" i="2"/>
  <c r="FX200" i="2"/>
  <c r="FM200" i="2"/>
  <c r="FN200" i="2"/>
  <c r="FP200" i="2"/>
  <c r="FS200" i="2" s="1"/>
  <c r="EQ200" i="2"/>
  <c r="FB200" i="2"/>
  <c r="ES200" i="2"/>
  <c r="EV200" i="2" s="1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B200" i="2" s="1"/>
  <c r="BX4" i="2" a="1"/>
  <c r="BX4" i="2" s="1"/>
  <c r="BY4" i="2" s="1"/>
  <c r="AA199" i="2"/>
  <c r="AX197" i="2"/>
  <c r="GM200" i="2" l="1"/>
  <c r="FR200" i="2"/>
  <c r="FQ200" i="2"/>
  <c r="GL200" i="2"/>
  <c r="HH200" i="2"/>
  <c r="EC200" i="2"/>
  <c r="EA200" i="2"/>
  <c r="EB200" i="2"/>
  <c r="DH200" i="2"/>
  <c r="DG200" i="2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GN201" i="2" s="1"/>
  <c r="HC201" i="2"/>
  <c r="HI201" i="2" s="1"/>
  <c r="GI201" i="2"/>
  <c r="HD201" i="2"/>
  <c r="GJ201" i="2"/>
  <c r="HE201" i="2"/>
  <c r="GK201" i="2"/>
  <c r="FB201" i="2"/>
  <c r="FN201" i="2"/>
  <c r="FO201" i="2"/>
  <c r="FR201" i="2" s="1"/>
  <c r="GG201" i="2"/>
  <c r="FP201" i="2"/>
  <c r="ER201" i="2"/>
  <c r="FC201" i="2"/>
  <c r="FL201" i="2"/>
  <c r="ET201" i="2"/>
  <c r="EW201" i="2" s="1"/>
  <c r="DY201" i="2"/>
  <c r="DC201" i="2"/>
  <c r="FM201" i="2"/>
  <c r="FS201" i="2" s="1"/>
  <c r="EU201" i="2"/>
  <c r="EX201" i="2" s="1"/>
  <c r="DZ201" i="2"/>
  <c r="DD201" i="2"/>
  <c r="EH201" i="2"/>
  <c r="DL201" i="2"/>
  <c r="EQ201" i="2"/>
  <c r="ES201" i="2"/>
  <c r="EV201" i="2" s="1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GN202" i="2" l="1"/>
  <c r="GM201" i="2"/>
  <c r="FQ201" i="2"/>
  <c r="HH201" i="2"/>
  <c r="HH202" i="2" s="1"/>
  <c r="HG201" i="2"/>
  <c r="GL201" i="2"/>
  <c r="CM201" i="2"/>
  <c r="DH201" i="2"/>
  <c r="EC201" i="2"/>
  <c r="EA201" i="2"/>
  <c r="ED200" i="2"/>
  <c r="EB201" i="2"/>
  <c r="DI200" i="2"/>
  <c r="DG201" i="2"/>
  <c r="DF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GM202" i="2" s="1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FQ202" i="2" s="1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GL202" i="2" l="1"/>
  <c r="FR202" i="2"/>
  <c r="EV202" i="2"/>
  <c r="ED201" i="2"/>
  <c r="EA202" i="2"/>
  <c r="HH203" i="2"/>
  <c r="CN201" i="2"/>
  <c r="EC202" i="2"/>
  <c r="EB202" i="2"/>
  <c r="DH202" i="2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GM203" i="2" s="1"/>
  <c r="HD203" i="2"/>
  <c r="HG203" i="2" s="1"/>
  <c r="GK203" i="2"/>
  <c r="GN203" i="2" s="1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GL203" i="2" s="1"/>
  <c r="FN203" i="2"/>
  <c r="FQ203" i="2" s="1"/>
  <c r="ET203" i="2"/>
  <c r="FO203" i="2"/>
  <c r="FP203" i="2"/>
  <c r="DX203" i="2"/>
  <c r="DD203" i="2"/>
  <c r="EG203" i="2"/>
  <c r="DY203" i="2"/>
  <c r="DE203" i="2"/>
  <c r="ER203" i="2"/>
  <c r="EX203" i="2" s="1"/>
  <c r="DW203" i="2"/>
  <c r="FM203" i="2"/>
  <c r="FS203" i="2" s="1"/>
  <c r="ES203" i="2"/>
  <c r="EU203" i="2"/>
  <c r="BV203" i="2"/>
  <c r="BO203" i="2"/>
  <c r="DL203" i="2"/>
  <c r="CQ203" i="2"/>
  <c r="BW203" i="2"/>
  <c r="BX110" i="2" s="1" a="1"/>
  <c r="BX110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40" i="2" s="1" a="1"/>
  <c r="AH140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CS66" i="2" a="1"/>
  <c r="CS66" i="2" s="1"/>
  <c r="CS52" i="2" a="1"/>
  <c r="CS52" i="2" s="1"/>
  <c r="CS129" i="2" a="1"/>
  <c r="CS129" i="2" s="1"/>
  <c r="CS116" i="2" a="1"/>
  <c r="CS116" i="2" s="1"/>
  <c r="BX67" i="2" a="1"/>
  <c r="BX67" i="2" s="1"/>
  <c r="BX176" i="2" a="1"/>
  <c r="BX176" i="2" s="1"/>
  <c r="BX113" i="2" a="1"/>
  <c r="BX113" i="2" s="1"/>
  <c r="BX174" i="2" a="1"/>
  <c r="BX174" i="2" s="1"/>
  <c r="BX182" i="2" a="1"/>
  <c r="BX182" i="2" s="1"/>
  <c r="BX177" i="2" a="1"/>
  <c r="BX177" i="2" s="1"/>
  <c r="CS77" i="2" a="1"/>
  <c r="CS77" i="2" s="1"/>
  <c r="BX8" i="2" a="1"/>
  <c r="BX8" i="2" s="1"/>
  <c r="AH90" i="2" a="1"/>
  <c r="AH90" i="2" s="1"/>
  <c r="CS161" i="2" a="1"/>
  <c r="CS16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FD14" i="2" a="1"/>
  <c r="FD14" i="2" s="1"/>
  <c r="FD189" i="2" a="1"/>
  <c r="FD189" i="2" s="1"/>
  <c r="FD160" i="2" a="1"/>
  <c r="FD160" i="2" s="1"/>
  <c r="FD19" i="2" a="1"/>
  <c r="FD19" i="2" s="1"/>
  <c r="FD194" i="2" a="1"/>
  <c r="FD194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BX107" i="2" a="1"/>
  <c r="BX107" i="2" s="1"/>
  <c r="BX171" i="2" a="1"/>
  <c r="BX171" i="2" s="1"/>
  <c r="BX54" i="2" a="1"/>
  <c r="BX54" i="2" s="1"/>
  <c r="BX55" i="2" a="1"/>
  <c r="BX55" i="2" s="1"/>
  <c r="BX9" i="2" a="1"/>
  <c r="BX9" i="2" s="1"/>
  <c r="BX146" i="2" a="1"/>
  <c r="BX146" i="2" s="1"/>
  <c r="HJ202" i="2"/>
  <c r="EY202" i="2"/>
  <c r="AX200" i="2"/>
  <c r="AH62" i="2" l="1" a="1"/>
  <c r="AH62" i="2" s="1"/>
  <c r="BX17" i="2" a="1"/>
  <c r="BX17" i="2" s="1"/>
  <c r="BX117" i="2" a="1"/>
  <c r="BX117" i="2" s="1"/>
  <c r="BX150" i="2" a="1"/>
  <c r="BX150" i="2" s="1"/>
  <c r="FD188" i="2" a="1"/>
  <c r="FD188" i="2" s="1"/>
  <c r="AH157" i="2" a="1"/>
  <c r="AH157" i="2" s="1"/>
  <c r="BX50" i="2" a="1"/>
  <c r="BX50" i="2" s="1"/>
  <c r="FD107" i="2" a="1"/>
  <c r="FD107" i="2" s="1"/>
  <c r="BX201" i="2" a="1"/>
  <c r="BX201" i="2" s="1"/>
  <c r="EI142" i="2" a="1"/>
  <c r="EI142" i="2" s="1"/>
  <c r="CS27" i="2" a="1"/>
  <c r="CS27" i="2" s="1"/>
  <c r="FD82" i="2" a="1"/>
  <c r="FD82" i="2" s="1"/>
  <c r="BX79" i="2" a="1"/>
  <c r="BX79" i="2" s="1"/>
  <c r="CS185" i="2" a="1"/>
  <c r="CS185" i="2" s="1"/>
  <c r="EI34" i="2" a="1"/>
  <c r="EI34" i="2" s="1"/>
  <c r="GT107" i="2" a="1"/>
  <c r="GT107" i="2" s="1"/>
  <c r="GT21" i="2" a="1"/>
  <c r="GT21" i="2" s="1"/>
  <c r="FD167" i="2" a="1"/>
  <c r="FD167" i="2" s="1"/>
  <c r="AH56" i="2" a="1"/>
  <c r="AH56" i="2" s="1"/>
  <c r="BX152" i="2" a="1"/>
  <c r="BX152" i="2" s="1"/>
  <c r="BX73" i="2" a="1"/>
  <c r="BX73" i="2" s="1"/>
  <c r="BX136" i="2" a="1"/>
  <c r="BX136" i="2" s="1"/>
  <c r="EI178" i="2" a="1"/>
  <c r="EI178" i="2" s="1"/>
  <c r="GT102" i="2" a="1"/>
  <c r="GT102" i="2" s="1"/>
  <c r="GT184" i="2" a="1"/>
  <c r="GT184" i="2" s="1"/>
  <c r="AH37" i="2" a="1"/>
  <c r="AH37" i="2" s="1"/>
  <c r="FD137" i="2" a="1"/>
  <c r="FD137" i="2" s="1"/>
  <c r="AH201" i="2" a="1"/>
  <c r="AH201" i="2" s="1"/>
  <c r="BX158" i="2" a="1"/>
  <c r="BX158" i="2" s="1"/>
  <c r="EI20" i="2" a="1"/>
  <c r="EI20" i="2" s="1"/>
  <c r="BX163" i="2" a="1"/>
  <c r="BX163" i="2" s="1"/>
  <c r="BX51" i="2" a="1"/>
  <c r="BX51" i="2" s="1"/>
  <c r="EI37" i="2" a="1"/>
  <c r="EI37" i="2" s="1"/>
  <c r="EI165" i="2" a="1"/>
  <c r="EI165" i="2" s="1"/>
  <c r="GT174" i="2" a="1"/>
  <c r="GT174" i="2" s="1"/>
  <c r="GT12" i="2" a="1"/>
  <c r="GT12" i="2" s="1"/>
  <c r="FD131" i="2" a="1"/>
  <c r="FD131" i="2" s="1"/>
  <c r="AH186" i="2" a="1"/>
  <c r="AH186" i="2" s="1"/>
  <c r="BX76" i="2" a="1"/>
  <c r="BX76" i="2" s="1"/>
  <c r="BX125" i="2" a="1"/>
  <c r="BX125" i="2" s="1"/>
  <c r="BX197" i="2" a="1"/>
  <c r="BX197" i="2" s="1"/>
  <c r="EI145" i="2" a="1"/>
  <c r="EI145" i="2" s="1"/>
  <c r="GT147" i="2" a="1"/>
  <c r="GT147" i="2" s="1"/>
  <c r="GT115" i="2" a="1"/>
  <c r="GT115" i="2" s="1"/>
  <c r="AH155" i="2" a="1"/>
  <c r="AH155" i="2" s="1"/>
  <c r="FD44" i="2" a="1"/>
  <c r="FD44" i="2" s="1"/>
  <c r="BX119" i="2" a="1"/>
  <c r="BX119" i="2" s="1"/>
  <c r="FD159" i="2" a="1"/>
  <c r="FD159" i="2" s="1"/>
  <c r="BX12" i="2" a="1"/>
  <c r="BX12" i="2" s="1"/>
  <c r="BX72" i="2" a="1"/>
  <c r="BX72" i="2" s="1"/>
  <c r="AH197" i="2" a="1"/>
  <c r="AH197" i="2" s="1"/>
  <c r="BX58" i="2" a="1"/>
  <c r="BX58" i="2" s="1"/>
  <c r="BX80" i="2" a="1"/>
  <c r="BX80" i="2" s="1"/>
  <c r="BX7" i="2" a="1"/>
  <c r="BX7" i="2" s="1"/>
  <c r="EI71" i="2" a="1"/>
  <c r="EI71" i="2" s="1"/>
  <c r="GT190" i="2" a="1"/>
  <c r="GT190" i="2" s="1"/>
  <c r="CS120" i="2" a="1"/>
  <c r="CS120" i="2" s="1"/>
  <c r="FD43" i="2" a="1"/>
  <c r="FD43" i="2" s="1"/>
  <c r="CS38" i="2" a="1"/>
  <c r="CS38" i="2" s="1"/>
  <c r="AH19" i="2" a="1"/>
  <c r="AH19" i="2" s="1"/>
  <c r="BX96" i="2" a="1"/>
  <c r="BX96" i="2" s="1"/>
  <c r="BX157" i="2" a="1"/>
  <c r="BX157" i="2" s="1"/>
  <c r="CS137" i="2" a="1"/>
  <c r="CS137" i="2" s="1"/>
  <c r="EI162" i="2" a="1"/>
  <c r="EI162" i="2" s="1"/>
  <c r="GT152" i="2" a="1"/>
  <c r="GT152" i="2" s="1"/>
  <c r="CS195" i="2" a="1"/>
  <c r="CS195" i="2" s="1"/>
  <c r="EV203" i="2"/>
  <c r="FR203" i="2"/>
  <c r="AH163" i="2" a="1"/>
  <c r="AH163" i="2" s="1"/>
  <c r="BX65" i="2" a="1"/>
  <c r="BX65" i="2" s="1"/>
  <c r="AH199" i="2" a="1"/>
  <c r="AH199" i="2" s="1"/>
  <c r="BX29" i="2" a="1"/>
  <c r="BX29" i="2" s="1"/>
  <c r="BX66" i="2" a="1"/>
  <c r="BX66" i="2" s="1"/>
  <c r="AH166" i="2" a="1"/>
  <c r="AH166" i="2" s="1"/>
  <c r="BX159" i="2" a="1"/>
  <c r="BX159" i="2" s="1"/>
  <c r="FD60" i="2" a="1"/>
  <c r="FD60" i="2" s="1"/>
  <c r="BX41" i="2" a="1"/>
  <c r="BX41" i="2" s="1"/>
  <c r="BX155" i="2" a="1"/>
  <c r="BX155" i="2" s="1"/>
  <c r="BX100" i="2" a="1"/>
  <c r="BX100" i="2" s="1"/>
  <c r="BX63" i="2" a="1"/>
  <c r="BX63" i="2" s="1"/>
  <c r="EI35" i="2" a="1"/>
  <c r="EI35" i="2" s="1"/>
  <c r="BX36" i="2" a="1"/>
  <c r="BX36" i="2" s="1"/>
  <c r="BX59" i="2" a="1"/>
  <c r="BX59" i="2" s="1"/>
  <c r="CS72" i="2" a="1"/>
  <c r="CS72" i="2" s="1"/>
  <c r="EI139" i="2" a="1"/>
  <c r="EI139" i="2" s="1"/>
  <c r="EI57" i="2" a="1"/>
  <c r="EI57" i="2" s="1"/>
  <c r="GT191" i="2" a="1"/>
  <c r="GT191" i="2" s="1"/>
  <c r="FD187" i="2" a="1"/>
  <c r="FD187" i="2" s="1"/>
  <c r="FD64" i="2" a="1"/>
  <c r="FD64" i="2" s="1"/>
  <c r="CS105" i="2" a="1"/>
  <c r="CS105" i="2" s="1"/>
  <c r="AH89" i="2" a="1"/>
  <c r="AH89" i="2" s="1"/>
  <c r="BX142" i="2" a="1"/>
  <c r="BX142" i="2" s="1"/>
  <c r="EI195" i="2" a="1"/>
  <c r="EI195" i="2" s="1"/>
  <c r="EI150" i="2" a="1"/>
  <c r="EI150" i="2" s="1"/>
  <c r="GT33" i="2" a="1"/>
  <c r="GT33" i="2" s="1"/>
  <c r="FY11" i="2" a="1"/>
  <c r="FY11" i="2" s="1"/>
  <c r="FY20" i="2" a="1"/>
  <c r="FY20" i="2" s="1"/>
  <c r="FY177" i="2" a="1"/>
  <c r="FY177" i="2" s="1"/>
  <c r="FY7" i="2" a="1"/>
  <c r="FY7" i="2" s="1"/>
  <c r="FZ7" i="2" s="1"/>
  <c r="FZ8" i="2" s="1"/>
  <c r="FZ9" i="2" s="1"/>
  <c r="FZ10" i="2" s="1"/>
  <c r="FZ11" i="2" s="1"/>
  <c r="EW203" i="2"/>
  <c r="AH38" i="2" a="1"/>
  <c r="AH38" i="2" s="1"/>
  <c r="AH144" i="2" a="1"/>
  <c r="AH144" i="2" s="1"/>
  <c r="AH92" i="2" a="1"/>
  <c r="AH92" i="2" s="1"/>
  <c r="AH146" i="2" a="1"/>
  <c r="AH146" i="2" s="1"/>
  <c r="AH198" i="2" a="1"/>
  <c r="AH198" i="2" s="1"/>
  <c r="AH79" i="2" a="1"/>
  <c r="AH79" i="2" s="1"/>
  <c r="AH17" i="2" a="1"/>
  <c r="AH17" i="2" s="1"/>
  <c r="AH14" i="2" a="1"/>
  <c r="AH14" i="2" s="1"/>
  <c r="AH162" i="2" a="1"/>
  <c r="AH162" i="2" s="1"/>
  <c r="AH151" i="2" a="1"/>
  <c r="AH151" i="2" s="1"/>
  <c r="AH83" i="2" a="1"/>
  <c r="AH83" i="2" s="1"/>
  <c r="AH185" i="2" a="1"/>
  <c r="AH185" i="2" s="1"/>
  <c r="DN132" i="2" a="1"/>
  <c r="DN132" i="2" s="1"/>
  <c r="DN45" i="2" a="1"/>
  <c r="DN45" i="2" s="1"/>
  <c r="DN30" i="2" a="1"/>
  <c r="DN30" i="2" s="1"/>
  <c r="DN55" i="2" a="1"/>
  <c r="DN55" i="2" s="1"/>
  <c r="DN110" i="2" a="1"/>
  <c r="DN110" i="2" s="1"/>
  <c r="DN16" i="2" a="1"/>
  <c r="DN16" i="2" s="1"/>
  <c r="DN43" i="2" a="1"/>
  <c r="DN43" i="2" s="1"/>
  <c r="DN31" i="2" a="1"/>
  <c r="DN31" i="2" s="1"/>
  <c r="DN168" i="2" a="1"/>
  <c r="DN168" i="2" s="1"/>
  <c r="DN164" i="2" a="1"/>
  <c r="DN164" i="2" s="1"/>
  <c r="DN46" i="2" a="1"/>
  <c r="DN46" i="2" s="1"/>
  <c r="DN187" i="2" a="1"/>
  <c r="DN187" i="2" s="1"/>
  <c r="DN190" i="2" a="1"/>
  <c r="DN190" i="2" s="1"/>
  <c r="DN70" i="2" a="1"/>
  <c r="DN70" i="2" s="1"/>
  <c r="DN80" i="2" a="1"/>
  <c r="DN80" i="2" s="1"/>
  <c r="DN192" i="2" a="1"/>
  <c r="DN192" i="2" s="1"/>
  <c r="DN188" i="2" a="1"/>
  <c r="DN188" i="2" s="1"/>
  <c r="DN176" i="2" a="1"/>
  <c r="DN176" i="2" s="1"/>
  <c r="DN167" i="2" a="1"/>
  <c r="DN167" i="2" s="1"/>
  <c r="DN66" i="2" a="1"/>
  <c r="DN66" i="2" s="1"/>
  <c r="DN133" i="2" a="1"/>
  <c r="DN133" i="2" s="1"/>
  <c r="DN162" i="2" a="1"/>
  <c r="DN162" i="2" s="1"/>
  <c r="DN86" i="2" a="1"/>
  <c r="DN86" i="2" s="1"/>
  <c r="DN65" i="2" a="1"/>
  <c r="DN65" i="2" s="1"/>
  <c r="DN49" i="2" a="1"/>
  <c r="DN49" i="2" s="1"/>
  <c r="DN123" i="2" a="1"/>
  <c r="DN123" i="2" s="1"/>
  <c r="DN177" i="2" a="1"/>
  <c r="DN177" i="2" s="1"/>
  <c r="DN114" i="2" a="1"/>
  <c r="DN114" i="2" s="1"/>
  <c r="DN115" i="2" a="1"/>
  <c r="DN115" i="2" s="1"/>
  <c r="DN135" i="2" a="1"/>
  <c r="DN135" i="2" s="1"/>
  <c r="DN63" i="2" a="1"/>
  <c r="DN63" i="2" s="1"/>
  <c r="DN103" i="2" a="1"/>
  <c r="DN103" i="2" s="1"/>
  <c r="DN50" i="2" a="1"/>
  <c r="DN50" i="2" s="1"/>
  <c r="DN38" i="2" a="1"/>
  <c r="DN38" i="2" s="1"/>
  <c r="DN150" i="2" a="1"/>
  <c r="DN150" i="2" s="1"/>
  <c r="DN29" i="2" a="1"/>
  <c r="DN29" i="2" s="1"/>
  <c r="DN153" i="2" a="1"/>
  <c r="DN153" i="2" s="1"/>
  <c r="DN170" i="2" a="1"/>
  <c r="DN170" i="2" s="1"/>
  <c r="DN129" i="2" a="1"/>
  <c r="DN129" i="2" s="1"/>
  <c r="DN113" i="2" a="1"/>
  <c r="DN113" i="2" s="1"/>
  <c r="DN25" i="2" a="1"/>
  <c r="DN25" i="2" s="1"/>
  <c r="DN41" i="2" a="1"/>
  <c r="DN41" i="2" s="1"/>
  <c r="DN152" i="2" a="1"/>
  <c r="DN152" i="2" s="1"/>
  <c r="DN155" i="2" a="1"/>
  <c r="DN155" i="2" s="1"/>
  <c r="DN56" i="2" a="1"/>
  <c r="DN56" i="2" s="1"/>
  <c r="DN137" i="2" a="1"/>
  <c r="DN137" i="2" s="1"/>
  <c r="DN184" i="2" a="1"/>
  <c r="DN184" i="2" s="1"/>
  <c r="DN124" i="2" a="1"/>
  <c r="DN124" i="2" s="1"/>
  <c r="DN186" i="2" a="1"/>
  <c r="DN186" i="2" s="1"/>
  <c r="CM203" i="2"/>
  <c r="BC84" i="2" a="1"/>
  <c r="BC84" i="2" s="1"/>
  <c r="BC18" i="2" a="1"/>
  <c r="BC18" i="2" s="1"/>
  <c r="BC47" i="2" a="1"/>
  <c r="BC47" i="2" s="1"/>
  <c r="BC38" i="2" a="1"/>
  <c r="BC38" i="2" s="1"/>
  <c r="BC32" i="2" a="1"/>
  <c r="BC32" i="2" s="1"/>
  <c r="BC71" i="2" a="1"/>
  <c r="BC71" i="2" s="1"/>
  <c r="BC164" i="2" a="1"/>
  <c r="BC164" i="2" s="1"/>
  <c r="BC117" i="2" a="1"/>
  <c r="BC117" i="2" s="1"/>
  <c r="BC68" i="2" a="1"/>
  <c r="BC68" i="2" s="1"/>
  <c r="BC151" i="2" a="1"/>
  <c r="BC151" i="2" s="1"/>
  <c r="BC192" i="2" a="1"/>
  <c r="BC192" i="2" s="1"/>
  <c r="BC181" i="2" a="1"/>
  <c r="BC181" i="2" s="1"/>
  <c r="BC146" i="2" a="1"/>
  <c r="BC146" i="2" s="1"/>
  <c r="BC55" i="2" a="1"/>
  <c r="BC55" i="2" s="1"/>
  <c r="BC65" i="2" a="1"/>
  <c r="BC65" i="2" s="1"/>
  <c r="BC15" i="2" a="1"/>
  <c r="BC15" i="2" s="1"/>
  <c r="BC83" i="2" a="1"/>
  <c r="BC83" i="2" s="1"/>
  <c r="BC185" i="2" a="1"/>
  <c r="BC185" i="2" s="1"/>
  <c r="BC130" i="2" a="1"/>
  <c r="BC130" i="2" s="1"/>
  <c r="BC114" i="2" a="1"/>
  <c r="BC114" i="2" s="1"/>
  <c r="BC196" i="2" a="1"/>
  <c r="BC196" i="2" s="1"/>
  <c r="BC143" i="2" a="1"/>
  <c r="BC143" i="2" s="1"/>
  <c r="BC126" i="2" a="1"/>
  <c r="BC126" i="2" s="1"/>
  <c r="BC58" i="2" a="1"/>
  <c r="BC58" i="2" s="1"/>
  <c r="BC7" i="2" a="1"/>
  <c r="BC7" i="2" s="1"/>
  <c r="BC31" i="2" a="1"/>
  <c r="BC31" i="2" s="1"/>
  <c r="BC82" i="2" a="1"/>
  <c r="BC82" i="2" s="1"/>
  <c r="BC34" i="2" a="1"/>
  <c r="BC34" i="2" s="1"/>
  <c r="AH136" i="2" a="1"/>
  <c r="AH136" i="2" s="1"/>
  <c r="AH143" i="2" a="1"/>
  <c r="AH143" i="2" s="1"/>
  <c r="BQ203" i="2"/>
  <c r="DH203" i="2"/>
  <c r="EC203" i="2"/>
  <c r="EB203" i="2"/>
  <c r="EA203" i="2"/>
  <c r="BP203" i="2"/>
  <c r="DF203" i="2"/>
  <c r="DI203" i="2" s="1"/>
  <c r="DG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CN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93" i="2" l="1"/>
  <c r="CY47" i="2"/>
  <c r="CY16" i="2"/>
  <c r="CY70" i="2"/>
  <c r="CY6" i="2"/>
  <c r="CY130" i="2"/>
  <c r="CY69" i="2"/>
  <c r="CY201" i="2"/>
  <c r="CY164" i="2"/>
  <c r="CY24" i="2"/>
  <c r="CY10" i="2"/>
  <c r="CY168" i="2"/>
  <c r="CY175" i="2"/>
  <c r="CY74" i="2"/>
  <c r="CY73" i="2"/>
  <c r="CY60" i="2"/>
  <c r="CY117" i="2"/>
  <c r="CY7" i="2"/>
  <c r="CY51" i="2"/>
  <c r="CY91" i="2"/>
  <c r="CY152" i="2"/>
  <c r="CY176" i="2"/>
  <c r="CY68" i="2"/>
  <c r="CY26" i="2"/>
  <c r="CY85" i="2"/>
  <c r="CY44" i="2"/>
  <c r="CY66" i="2"/>
  <c r="CY107" i="2"/>
  <c r="CY62" i="2"/>
  <c r="CY21" i="2"/>
  <c r="CY137" i="2"/>
  <c r="CY172" i="2"/>
  <c r="CY97" i="2"/>
  <c r="CY22" i="2"/>
  <c r="CY127" i="2"/>
  <c r="CY179" i="2"/>
  <c r="CY115" i="2"/>
  <c r="CY188" i="2"/>
  <c r="CY109" i="2"/>
  <c r="CY86" i="2"/>
  <c r="CY28" i="2"/>
  <c r="CY31" i="2"/>
  <c r="CY183" i="2"/>
  <c r="CY134" i="2"/>
  <c r="CY143" i="2"/>
  <c r="CY36" i="2"/>
  <c r="CY76" i="2"/>
  <c r="CY61" i="2"/>
  <c r="CY52" i="2"/>
  <c r="CY42" i="2"/>
  <c r="CY45" i="2"/>
  <c r="CY58" i="2"/>
  <c r="CY129" i="2"/>
  <c r="CY75" i="2"/>
  <c r="CY59" i="2"/>
  <c r="CY40" i="2"/>
  <c r="CY148" i="2"/>
  <c r="CY131" i="2"/>
  <c r="CY88" i="2"/>
  <c r="CY57" i="2"/>
  <c r="CY99" i="2"/>
  <c r="CY166" i="2"/>
  <c r="CY193" i="2"/>
  <c r="CY173" i="2"/>
  <c r="CY111" i="2"/>
  <c r="CY133" i="2"/>
  <c r="CY23" i="2"/>
  <c r="CY100" i="2"/>
  <c r="CY101" i="2"/>
  <c r="CY180" i="2"/>
  <c r="CY140" i="2"/>
  <c r="CY80" i="2"/>
  <c r="CY119" i="2"/>
  <c r="CY29" i="2"/>
  <c r="CY64" i="2"/>
  <c r="CY113" i="2"/>
  <c r="CY162" i="2"/>
  <c r="CY128" i="2"/>
  <c r="CY34" i="2"/>
  <c r="CY158" i="2"/>
  <c r="CY72" i="2"/>
  <c r="CY191" i="2"/>
  <c r="CY181" i="2"/>
  <c r="CY203" i="2"/>
  <c r="CY156" i="2"/>
  <c r="CY150" i="2"/>
  <c r="CY83" i="2"/>
  <c r="CY190" i="2"/>
  <c r="CY8" i="2"/>
  <c r="CY171" i="2"/>
  <c r="CY104" i="2"/>
  <c r="CY138" i="2"/>
  <c r="CY186" i="2"/>
  <c r="CY79" i="2"/>
  <c r="CY3" i="2"/>
  <c r="C10" i="4" s="1"/>
  <c r="E10" i="4" s="1"/>
  <c r="F10" i="4" s="1"/>
  <c r="G10" i="4" s="1"/>
  <c r="L10" i="4" s="1"/>
  <c r="CY170" i="2"/>
  <c r="CY165" i="2"/>
  <c r="CY163" i="2"/>
  <c r="CY132" i="2"/>
  <c r="CY112" i="2"/>
  <c r="CY139" i="2"/>
  <c r="CY200" i="2"/>
  <c r="CY147" i="2"/>
  <c r="CY39" i="2"/>
  <c r="CY199" i="2"/>
  <c r="CY56" i="2"/>
  <c r="CY102" i="2"/>
  <c r="CY108" i="2"/>
  <c r="CY142" i="2"/>
  <c r="CY161" i="2"/>
  <c r="CY151" i="2"/>
  <c r="CY18" i="2"/>
  <c r="CY15" i="2"/>
  <c r="CY98" i="2"/>
  <c r="CY106" i="2"/>
  <c r="CY178" i="2"/>
  <c r="CY146" i="2"/>
  <c r="CY177" i="2"/>
  <c r="CY84" i="2"/>
  <c r="CY154" i="2"/>
  <c r="CY92" i="2"/>
  <c r="CY25" i="2"/>
  <c r="CY196" i="2"/>
  <c r="CY185" i="2"/>
  <c r="CY118" i="2"/>
  <c r="CY155" i="2"/>
  <c r="CY124" i="2"/>
  <c r="CY65" i="2"/>
  <c r="CY103" i="2"/>
  <c r="CY87" i="2"/>
  <c r="CY55" i="2"/>
  <c r="CY135" i="2"/>
  <c r="CY197" i="2"/>
  <c r="CY13" i="2"/>
  <c r="CY153" i="2"/>
  <c r="CY94" i="2"/>
  <c r="CY48" i="2"/>
  <c r="CY189" i="2"/>
  <c r="CY160" i="2"/>
  <c r="CY27" i="2"/>
  <c r="CY149" i="2"/>
  <c r="CY30" i="2"/>
  <c r="CY81" i="2"/>
  <c r="CY78" i="2"/>
  <c r="CY159" i="2"/>
  <c r="CY14" i="2"/>
  <c r="CY4" i="2"/>
  <c r="CY121" i="2"/>
  <c r="CY192" i="2"/>
  <c r="CY54" i="2"/>
  <c r="CY9" i="2"/>
  <c r="CY198" i="2"/>
  <c r="CY202" i="2"/>
  <c r="CY96" i="2"/>
  <c r="CY195" i="2"/>
  <c r="CY43" i="2"/>
  <c r="CY46" i="2"/>
  <c r="CY184" i="2"/>
  <c r="CY63" i="2"/>
  <c r="CY126" i="2"/>
  <c r="CY123" i="2"/>
  <c r="CY5" i="2"/>
  <c r="CY145" i="2"/>
  <c r="CY35" i="2"/>
  <c r="CY95" i="2"/>
  <c r="CY90" i="2"/>
  <c r="CY110" i="2"/>
  <c r="CY169" i="2"/>
  <c r="CY120" i="2"/>
  <c r="CY114" i="2"/>
  <c r="CY182" i="2"/>
  <c r="CY41" i="2"/>
  <c r="CY89" i="2"/>
  <c r="CY32" i="2"/>
  <c r="CY11" i="2"/>
  <c r="CY167" i="2"/>
  <c r="CY194" i="2"/>
  <c r="CY71" i="2"/>
  <c r="CY67" i="2"/>
  <c r="CY38" i="2"/>
  <c r="CY157" i="2"/>
  <c r="CY105" i="2"/>
  <c r="CY141" i="2"/>
  <c r="CY37" i="2"/>
  <c r="CY17" i="2"/>
  <c r="CY19" i="2"/>
  <c r="CY187" i="2"/>
  <c r="CY53" i="2"/>
  <c r="CY50" i="2"/>
  <c r="CY82" i="2"/>
  <c r="CY33" i="2"/>
  <c r="CY122" i="2"/>
  <c r="CY116" i="2"/>
  <c r="CY125" i="2"/>
  <c r="CY12" i="2"/>
  <c r="CY20" i="2"/>
  <c r="CY77" i="2"/>
  <c r="CY49" i="2"/>
  <c r="CY136" i="2"/>
  <c r="CY144" i="2"/>
  <c r="CY174" i="2"/>
  <c r="CD60" i="2"/>
  <c r="CD158" i="2"/>
  <c r="CD53" i="2"/>
  <c r="CD101" i="2"/>
  <c r="CD150" i="2"/>
  <c r="CD119" i="2"/>
  <c r="CD65" i="2"/>
  <c r="CD97" i="2"/>
  <c r="CD52" i="2"/>
  <c r="CD151" i="2"/>
  <c r="CD177" i="2"/>
  <c r="CD43" i="2"/>
  <c r="CD61" i="2"/>
  <c r="CD18" i="2"/>
  <c r="CD168" i="2"/>
  <c r="CD22" i="2"/>
  <c r="CD133" i="2"/>
  <c r="CD10" i="2"/>
  <c r="CD176" i="2"/>
  <c r="CD29" i="2"/>
  <c r="CD120" i="2"/>
  <c r="CD121" i="2"/>
  <c r="CD169" i="2"/>
  <c r="CD106" i="2"/>
  <c r="CD163" i="2"/>
  <c r="CD155" i="2"/>
  <c r="CD44" i="2"/>
  <c r="CD138" i="2"/>
  <c r="CD123" i="2"/>
  <c r="CD201" i="2"/>
  <c r="CD14" i="2"/>
  <c r="CD75" i="2"/>
  <c r="CD70" i="2"/>
  <c r="CD90" i="2"/>
  <c r="CD183" i="2"/>
  <c r="CD186" i="2"/>
  <c r="CD113" i="2"/>
  <c r="CD41" i="2"/>
  <c r="CD81" i="2"/>
  <c r="CD99" i="2"/>
  <c r="CD170" i="2"/>
  <c r="CD98" i="2"/>
  <c r="CD172" i="2"/>
  <c r="CD132" i="2"/>
  <c r="CD145" i="2"/>
  <c r="CD109" i="2"/>
  <c r="CD33" i="2"/>
  <c r="CD185" i="2"/>
  <c r="CD76" i="2"/>
  <c r="CD20" i="2"/>
  <c r="CD112" i="2"/>
  <c r="CD87" i="2"/>
  <c r="CD181" i="2"/>
  <c r="CD157" i="2"/>
  <c r="CD124" i="2"/>
  <c r="CD47" i="2"/>
  <c r="CD35" i="2"/>
  <c r="CD152" i="2"/>
  <c r="CD182" i="2"/>
  <c r="CD104" i="2"/>
  <c r="CD15" i="2"/>
  <c r="CD128" i="2"/>
  <c r="CD200" i="2"/>
  <c r="CD139" i="2"/>
  <c r="CD92" i="2"/>
  <c r="CD114" i="2"/>
  <c r="CD191" i="2"/>
  <c r="CD39" i="2"/>
  <c r="CD66" i="2"/>
  <c r="CD40" i="2"/>
  <c r="CD78" i="2"/>
  <c r="CD79" i="2"/>
  <c r="CD93" i="2"/>
  <c r="CD136" i="2"/>
  <c r="CD74" i="2"/>
  <c r="CD34" i="2"/>
  <c r="CD154" i="2"/>
  <c r="CD129" i="2"/>
  <c r="CD13" i="2"/>
  <c r="CD8" i="2"/>
  <c r="CD46" i="2"/>
  <c r="CD23" i="2"/>
  <c r="CD173" i="2"/>
  <c r="CD141" i="2"/>
  <c r="CD164" i="2"/>
  <c r="CD142" i="2"/>
  <c r="CD12" i="2"/>
  <c r="CD36" i="2"/>
  <c r="CD64" i="2"/>
  <c r="CD54" i="2"/>
  <c r="CD160" i="2"/>
  <c r="CD38" i="2"/>
  <c r="CD7" i="2"/>
  <c r="CD147" i="2"/>
  <c r="CD162" i="2"/>
  <c r="CD187" i="2"/>
  <c r="CD198" i="2"/>
  <c r="CD108" i="2"/>
  <c r="CD68" i="2"/>
  <c r="CD131" i="2"/>
  <c r="CD122" i="2"/>
  <c r="CD80" i="2"/>
  <c r="CD6" i="2"/>
  <c r="CD71" i="2"/>
  <c r="CD96" i="2"/>
  <c r="CD171" i="2"/>
  <c r="CD125" i="2"/>
  <c r="CD134" i="2"/>
  <c r="CD25" i="2"/>
  <c r="CD11" i="2"/>
  <c r="CD100" i="2"/>
  <c r="CD27" i="2"/>
  <c r="CD28" i="2"/>
  <c r="CD62" i="2"/>
  <c r="CD130" i="2"/>
  <c r="CD69" i="2"/>
  <c r="CD126" i="2"/>
  <c r="CD159" i="2"/>
  <c r="CD17" i="2"/>
  <c r="CD73" i="2"/>
  <c r="CD116" i="2"/>
  <c r="CD161" i="2"/>
  <c r="CD144" i="2"/>
  <c r="CD166" i="2"/>
  <c r="CD5" i="2"/>
  <c r="CD32" i="2"/>
  <c r="CD50" i="2"/>
  <c r="CD59" i="2"/>
  <c r="CD55" i="2"/>
  <c r="CD85" i="2"/>
  <c r="CD56" i="2"/>
  <c r="CD179" i="2"/>
  <c r="CD95" i="2"/>
  <c r="CD156" i="2"/>
  <c r="CD195" i="2"/>
  <c r="CD67" i="2"/>
  <c r="CD143" i="2"/>
  <c r="CD180" i="2"/>
  <c r="CD115" i="2"/>
  <c r="CD58" i="2"/>
  <c r="CD83" i="2"/>
  <c r="CD45" i="2"/>
  <c r="CD4" i="2"/>
  <c r="CD82" i="2"/>
  <c r="CD196" i="2"/>
  <c r="CD167" i="2"/>
  <c r="CD193" i="2"/>
  <c r="CD91" i="2"/>
  <c r="CD165" i="2"/>
  <c r="CD118" i="2"/>
  <c r="CD110" i="2"/>
  <c r="CD77" i="2"/>
  <c r="CD16" i="2"/>
  <c r="CD135" i="2"/>
  <c r="CD63" i="2"/>
  <c r="CD102" i="2"/>
  <c r="CD107" i="2"/>
  <c r="CD117" i="2"/>
  <c r="CD111" i="2"/>
  <c r="CD105" i="2"/>
  <c r="CD188" i="2"/>
  <c r="CD199" i="2"/>
  <c r="CD202" i="2"/>
  <c r="CD190" i="2"/>
  <c r="CD175" i="2"/>
  <c r="CD153" i="2"/>
  <c r="CD189" i="2"/>
  <c r="CD149" i="2"/>
  <c r="CD192" i="2"/>
  <c r="CD146" i="2"/>
  <c r="CD174" i="2"/>
  <c r="CD37" i="2"/>
  <c r="CD94" i="2"/>
  <c r="CD19" i="2"/>
  <c r="CD48" i="2"/>
  <c r="CD103" i="2"/>
  <c r="CD30" i="2"/>
  <c r="CD31" i="2"/>
  <c r="CD88" i="2"/>
  <c r="CD86" i="2"/>
  <c r="CD140" i="2"/>
  <c r="CD51" i="2"/>
  <c r="CD127" i="2"/>
  <c r="CD42" i="2"/>
  <c r="CD9" i="2"/>
  <c r="CD3" i="2"/>
  <c r="C9" i="4" s="1"/>
  <c r="E9" i="4" s="1"/>
  <c r="F9" i="4" s="1"/>
  <c r="G9" i="4" s="1"/>
  <c r="L9" i="4" s="1"/>
  <c r="CD57" i="2"/>
  <c r="CD194" i="2"/>
  <c r="CD49" i="2"/>
  <c r="CD137" i="2"/>
  <c r="CD84" i="2"/>
  <c r="CD24" i="2"/>
  <c r="CD26" i="2"/>
  <c r="CD21" i="2"/>
  <c r="CD148" i="2"/>
  <c r="CD178" i="2"/>
  <c r="CD72" i="2"/>
  <c r="CD197" i="2"/>
  <c r="CD203" i="2"/>
  <c r="CD89" i="2"/>
  <c r="CD18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22" i="2"/>
  <c r="BI101" i="2"/>
  <c r="BI80" i="2"/>
  <c r="BI8" i="2"/>
  <c r="BI123" i="2"/>
  <c r="BI169" i="2"/>
  <c r="BI46" i="2"/>
  <c r="BI179" i="2"/>
  <c r="BI130" i="2"/>
  <c r="BI12" i="2"/>
  <c r="BI83" i="2"/>
  <c r="BI99" i="2"/>
  <c r="BI192" i="2"/>
  <c r="BI3" i="2"/>
  <c r="C8" i="4" s="1"/>
  <c r="E8" i="4" s="1"/>
  <c r="F8" i="4" s="1"/>
  <c r="G8" i="4" s="1"/>
  <c r="L8" i="4" s="1"/>
  <c r="BI15" i="2"/>
  <c r="BI127" i="2"/>
  <c r="BI69" i="2"/>
  <c r="BI105" i="2"/>
  <c r="BI183" i="2"/>
  <c r="BI174" i="2"/>
  <c r="BI4" i="2"/>
  <c r="BI65" i="2"/>
  <c r="BI149" i="2"/>
  <c r="BI41" i="2"/>
  <c r="BI91" i="2"/>
  <c r="BI116" i="2"/>
  <c r="BI32" i="2"/>
  <c r="BI97" i="2"/>
  <c r="BI203" i="2"/>
  <c r="BI112" i="2"/>
  <c r="BI175" i="2"/>
  <c r="BI49" i="2"/>
  <c r="BI193" i="2"/>
  <c r="BI25" i="2"/>
  <c r="BI42" i="2"/>
  <c r="BI100" i="2"/>
  <c r="BI109" i="2"/>
  <c r="BI94" i="2"/>
  <c r="BI139" i="2"/>
  <c r="BI117" i="2"/>
  <c r="BI61" i="2"/>
  <c r="BI84" i="2"/>
  <c r="BI119" i="2"/>
  <c r="BI74" i="2"/>
  <c r="BI126" i="2"/>
  <c r="BI150" i="2"/>
  <c r="BI111" i="2"/>
  <c r="BI147" i="2"/>
  <c r="BI7" i="2"/>
  <c r="BI200" i="2"/>
  <c r="BI36" i="2"/>
  <c r="BI11" i="2"/>
  <c r="BI48" i="2"/>
  <c r="BI159" i="2"/>
  <c r="BI129" i="2"/>
  <c r="BI31" i="2"/>
  <c r="BI90" i="2"/>
  <c r="BI178" i="2"/>
  <c r="BI66" i="2"/>
  <c r="BI181" i="2"/>
  <c r="BI113" i="2"/>
  <c r="BI26" i="2"/>
  <c r="BI133" i="2"/>
  <c r="BI93" i="2"/>
  <c r="BI189" i="2"/>
  <c r="BI148" i="2"/>
  <c r="BI52" i="2"/>
  <c r="BI168" i="2"/>
  <c r="BI146" i="2"/>
  <c r="BI64" i="2"/>
  <c r="BI6" i="2"/>
  <c r="BI88" i="2"/>
  <c r="BI128" i="2"/>
  <c r="BI43" i="2"/>
  <c r="BI110" i="2"/>
  <c r="BI45" i="2"/>
  <c r="BI106" i="2"/>
  <c r="BI87" i="2"/>
  <c r="BI73" i="2"/>
  <c r="BI141" i="2"/>
  <c r="BI71" i="2"/>
  <c r="BI132" i="2"/>
  <c r="BI196" i="2"/>
  <c r="BI38" i="2"/>
  <c r="BI24" i="2"/>
  <c r="BI78" i="2"/>
  <c r="BI68" i="2"/>
  <c r="BI62" i="2"/>
  <c r="BI56" i="2"/>
  <c r="BI51" i="2"/>
  <c r="BI108" i="2"/>
  <c r="BI53" i="2"/>
  <c r="BI166" i="2"/>
  <c r="BI23" i="2"/>
  <c r="BI165" i="2"/>
  <c r="BI77" i="2"/>
  <c r="BI34" i="2"/>
  <c r="BI164" i="2"/>
  <c r="BI142" i="2"/>
  <c r="BI55" i="2"/>
  <c r="BI160" i="2"/>
  <c r="BI89" i="2"/>
  <c r="BI157" i="2"/>
  <c r="BI154" i="2"/>
  <c r="BI182" i="2"/>
  <c r="BI21" i="2"/>
  <c r="BI75" i="2"/>
  <c r="BI70" i="2"/>
  <c r="BI162" i="2"/>
  <c r="BI134" i="2"/>
  <c r="BI138" i="2"/>
  <c r="BI104" i="2"/>
  <c r="BI115" i="2"/>
  <c r="BI82" i="2"/>
  <c r="BI114" i="2"/>
  <c r="BI161" i="2"/>
  <c r="BI199" i="2"/>
  <c r="BI103" i="2"/>
  <c r="BI195" i="2"/>
  <c r="BI171" i="2"/>
  <c r="BI107" i="2"/>
  <c r="BI187" i="2"/>
  <c r="BI177" i="2"/>
  <c r="BI153" i="2"/>
  <c r="BI17" i="2"/>
  <c r="BI184" i="2"/>
  <c r="BI194" i="2"/>
  <c r="BI63" i="2"/>
  <c r="BI28" i="2"/>
  <c r="BI140" i="2"/>
  <c r="BI131" i="2"/>
  <c r="BI143" i="2"/>
  <c r="BI121" i="2"/>
  <c r="BI167" i="2"/>
  <c r="BI158" i="2"/>
  <c r="BI188" i="2"/>
  <c r="BI33" i="2"/>
  <c r="BI60" i="2"/>
  <c r="BI5" i="2"/>
  <c r="BI122" i="2"/>
  <c r="BI16" i="2"/>
  <c r="BI152" i="2"/>
  <c r="BI81" i="2"/>
  <c r="BI186" i="2"/>
  <c r="BI172" i="2"/>
  <c r="BI201" i="2"/>
  <c r="BI197" i="2"/>
  <c r="BI72" i="2"/>
  <c r="BI144" i="2"/>
  <c r="BI57" i="2"/>
  <c r="BI27" i="2"/>
  <c r="BI18" i="2"/>
  <c r="BI155" i="2"/>
  <c r="BI9" i="2"/>
  <c r="BI180" i="2"/>
  <c r="BI185" i="2"/>
  <c r="BI44" i="2"/>
  <c r="BI40" i="2"/>
  <c r="BI163" i="2"/>
  <c r="BI14" i="2"/>
  <c r="BI19" i="2"/>
  <c r="BI92" i="2"/>
  <c r="BI137" i="2"/>
  <c r="BI124" i="2"/>
  <c r="BI136" i="2"/>
  <c r="BI151" i="2"/>
  <c r="BI125" i="2"/>
  <c r="BI29" i="2"/>
  <c r="BI176" i="2"/>
  <c r="BI37" i="2"/>
  <c r="BI10" i="2"/>
  <c r="BI95" i="2"/>
  <c r="BI30" i="2"/>
  <c r="BI13" i="2"/>
  <c r="BI58" i="2"/>
  <c r="BI156" i="2"/>
  <c r="BI79" i="2"/>
  <c r="BI59" i="2"/>
  <c r="BI170" i="2"/>
  <c r="BI98" i="2"/>
  <c r="BI202" i="2"/>
  <c r="BI135" i="2"/>
  <c r="BI35" i="2"/>
  <c r="BI54" i="2"/>
  <c r="BI102" i="2"/>
  <c r="BI50" i="2"/>
  <c r="BI118" i="2"/>
  <c r="BI190" i="2"/>
  <c r="BI198" i="2"/>
  <c r="BI96" i="2"/>
  <c r="BI86" i="2"/>
  <c r="BI85" i="2"/>
  <c r="BI191" i="2"/>
  <c r="BI67" i="2"/>
  <c r="BI173" i="2"/>
  <c r="BI76" i="2"/>
  <c r="BI145" i="2"/>
  <c r="BI39" i="2"/>
  <c r="BI120" i="2"/>
  <c r="BI2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<sst xmlns="http://schemas.openxmlformats.org/spreadsheetml/2006/main" count="1005" uniqueCount="314">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</sst>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207.31313753029789</c:v>
                </c:pt>
                <c:pt idx="42">
                  <c:v>217.41541708927389</c:v>
                </c:pt>
                <c:pt idx="43">
                  <c:v>227.50690659831915</c:v>
                </c:pt>
                <c:pt idx="44">
                  <c:v>237.58815254200749</c:v>
                </c:pt>
                <c:pt idx="45">
                  <c:v>247.65965119723435</c:v>
                </c:pt>
                <c:pt idx="46">
                  <c:v>257.72185514470988</c:v>
                </c:pt>
                <c:pt idx="47">
                  <c:v>267.77517870928631</c:v>
                </c:pt>
                <c:pt idx="48">
                  <c:v>277.82000253977031</c:v>
                </c:pt>
                <c:pt idx="49">
                  <c:v>287.85667749117107</c:v>
                </c:pt>
                <c:pt idx="50">
                  <c:v>297.88552793675632</c:v>
                </c:pt>
                <c:pt idx="51">
                  <c:v>267.77517870928631</c:v>
                </c:pt>
                <c:pt idx="52">
                  <c:v>277.82000253977031</c:v>
                </c:pt>
                <c:pt idx="53">
                  <c:v>287.85667749117107</c:v>
                </c:pt>
                <c:pt idx="54">
                  <c:v>297.88552793675632</c:v>
                </c:pt>
                <c:pt idx="55">
                  <c:v>307.90685461043864</c:v>
                </c:pt>
                <c:pt idx="56">
                  <c:v>317.92093705953039</c:v>
                </c:pt>
                <c:pt idx="57">
                  <c:v>327.92803577212442</c:v>
                </c:pt>
                <c:pt idx="58">
                  <c:v>337.92839403108081</c:v>
                </c:pt>
                <c:pt idx="59">
                  <c:v>347.92223953697521</c:v>
                </c:pt>
                <c:pt idx="60">
                  <c:v>357.90978583474595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269.11497170292421</c:v>
                </c:pt>
                <c:pt idx="44">
                  <c:v>279.82797869837384</c:v>
                </c:pt>
                <c:pt idx="45">
                  <c:v>290.53178985560879</c:v>
                </c:pt>
                <c:pt idx="46">
                  <c:v>301.22679191692959</c:v>
                </c:pt>
                <c:pt idx="47">
                  <c:v>311.91334190386982</c:v>
                </c:pt>
                <c:pt idx="48">
                  <c:v>322.59177036318761</c:v>
                </c:pt>
                <c:pt idx="49">
                  <c:v>333.26238416035659</c:v>
                </c:pt>
                <c:pt idx="50">
                  <c:v>343.92546889640715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304.85669686987262</c:v>
                </c:pt>
                <c:pt idx="42">
                  <c:v>332.22900222431548</c:v>
                </c:pt>
                <c:pt idx="43">
                  <c:v>359.55159326635476</c:v>
                </c:pt>
                <c:pt idx="44">
                  <c:v>386.82877539566351</c:v>
                </c:pt>
                <c:pt idx="45">
                  <c:v>414.06419751906054</c:v>
                </c:pt>
                <c:pt idx="46">
                  <c:v>368.73383823272383</c:v>
                </c:pt>
                <c:pt idx="47">
                  <c:v>390.90393569861902</c:v>
                </c:pt>
                <c:pt idx="48">
                  <c:v>413.04676405305321</c:v>
                </c:pt>
                <c:pt idx="49">
                  <c:v>435.16398965501395</c:v>
                </c:pt>
                <c:pt idx="50">
                  <c:v>457.25709576545165</c:v>
                </c:pt>
                <c:pt idx="51">
                  <c:v>379.18532666257624</c:v>
                </c:pt>
                <c:pt idx="52">
                  <c:v>400.32423184951267</c:v>
                </c:pt>
                <c:pt idx="53">
                  <c:v>421.43898643111498</c:v>
                </c:pt>
                <c:pt idx="54">
                  <c:v>442.53096975588187</c:v>
                </c:pt>
                <c:pt idx="55">
                  <c:v>463.60141904065904</c:v>
                </c:pt>
                <c:pt idx="56">
                  <c:v>484.65144994203519</c:v>
                </c:pt>
                <c:pt idx="57">
                  <c:v>505.68207336832785</c:v>
                </c:pt>
                <c:pt idx="58">
                  <c:v>526.69420935002256</c:v>
                </c:pt>
                <c:pt idx="59">
                  <c:v>547.68869858244727</c:v>
                </c:pt>
                <c:pt idx="60">
                  <c:v>568.66631210732658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261.61017170872896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2.2717498554095301</c:v>
                </c:pt>
                <c:pt idx="2">
                  <c:v>2.7350622043140818</c:v>
                </c:pt>
                <c:pt idx="3">
                  <c:v>3.2932214399055741</c:v>
                </c:pt>
                <c:pt idx="4">
                  <c:v>3.9657130885759018</c:v>
                </c:pt>
                <c:pt idx="5">
                  <c:v>4.7760391092975141</c:v>
                </c:pt>
                <c:pt idx="6">
                  <c:v>5.7525483277733462</c:v>
                </c:pt>
                <c:pt idx="7">
                  <c:v>6.9294390586920329</c:v>
                </c:pt>
                <c:pt idx="8">
                  <c:v>8.3479697119388234</c:v>
                </c:pt>
                <c:pt idx="9">
                  <c:v>10.057920637862447</c:v>
                </c:pt>
                <c:pt idx="10">
                  <c:v>12.119359483691715</c:v>
                </c:pt>
                <c:pt idx="11">
                  <c:v>14.604773233878888</c:v>
                </c:pt>
                <c:pt idx="12">
                  <c:v>17.601643285787933</c:v>
                </c:pt>
                <c:pt idx="13">
                  <c:v>21.215555845678072</c:v>
                </c:pt>
                <c:pt idx="14">
                  <c:v>25.57395919531541</c:v>
                </c:pt>
                <c:pt idx="15">
                  <c:v>30.830702674770873</c:v>
                </c:pt>
                <c:pt idx="16">
                  <c:v>38.121723852889097</c:v>
                </c:pt>
                <c:pt idx="17">
                  <c:v>45.374685193535072</c:v>
                </c:pt>
                <c:pt idx="18">
                  <c:v>52.596565340992839</c:v>
                </c:pt>
                <c:pt idx="19">
                  <c:v>59.792252839405698</c:v>
                </c:pt>
                <c:pt idx="20">
                  <c:v>66.965355561225593</c:v>
                </c:pt>
                <c:pt idx="21">
                  <c:v>69.89395974513512</c:v>
                </c:pt>
                <c:pt idx="22">
                  <c:v>79.309850008006521</c:v>
                </c:pt>
                <c:pt idx="23">
                  <c:v>88.697368412737845</c:v>
                </c:pt>
                <c:pt idx="24">
                  <c:v>98.059947877024555</c:v>
                </c:pt>
                <c:pt idx="25">
                  <c:v>107.40030981071853</c:v>
                </c:pt>
                <c:pt idx="26">
                  <c:v>103.85987935040141</c:v>
                </c:pt>
                <c:pt idx="27">
                  <c:v>114.79386073387415</c:v>
                </c:pt>
                <c:pt idx="28">
                  <c:v>125.70235128325662</c:v>
                </c:pt>
                <c:pt idx="29">
                  <c:v>136.58787781146995</c:v>
                </c:pt>
                <c:pt idx="30">
                  <c:v>147.45253056632166</c:v>
                </c:pt>
                <c:pt idx="31">
                  <c:v>141.38356929623848</c:v>
                </c:pt>
                <c:pt idx="32">
                  <c:v>156.06664796267958</c:v>
                </c:pt>
                <c:pt idx="33">
                  <c:v>170.71691393482038</c:v>
                </c:pt>
                <c:pt idx="34">
                  <c:v>185.33758138444466</c:v>
                </c:pt>
                <c:pt idx="35">
                  <c:v>199.9313152055561</c:v>
                </c:pt>
                <c:pt idx="36">
                  <c:v>179.3020163432858</c:v>
                </c:pt>
                <c:pt idx="37">
                  <c:v>195.17530334919044</c:v>
                </c:pt>
                <c:pt idx="38">
                  <c:v>211.01859640956005</c:v>
                </c:pt>
                <c:pt idx="39">
                  <c:v>226.83446508061607</c:v>
                </c:pt>
                <c:pt idx="40">
                  <c:v>242.62509103866606</c:v>
                </c:pt>
                <c:pt idx="41">
                  <c:v>214.81681800476272</c:v>
                </c:pt>
                <c:pt idx="42">
                  <c:v>231.25829908950217</c:v>
                </c:pt>
                <c:pt idx="43">
                  <c:v>247.67307356127534</c:v>
                </c:pt>
                <c:pt idx="44">
                  <c:v>264.06316066374637</c:v>
                </c:pt>
                <c:pt idx="45">
                  <c:v>280.43030840202374</c:v>
                </c:pt>
                <c:pt idx="46">
                  <c:v>248.61930865618501</c:v>
                </c:pt>
                <c:pt idx="47">
                  <c:v>265.63789590085133</c:v>
                </c:pt>
                <c:pt idx="48">
                  <c:v>282.63191172516565</c:v>
                </c:pt>
                <c:pt idx="49">
                  <c:v>299.60304134178136</c:v>
                </c:pt>
                <c:pt idx="50">
                  <c:v>316.55276342878983</c:v>
                </c:pt>
                <c:pt idx="51">
                  <c:v>281.68841470022392</c:v>
                </c:pt>
                <c:pt idx="52">
                  <c:v>298.66077524812414</c:v>
                </c:pt>
                <c:pt idx="53">
                  <c:v>315.61165089864335</c:v>
                </c:pt>
                <c:pt idx="54">
                  <c:v>332.54235777302159</c:v>
                </c:pt>
                <c:pt idx="55">
                  <c:v>349.45406704138014</c:v>
                </c:pt>
                <c:pt idx="56">
                  <c:v>311.84657651907327</c:v>
                </c:pt>
                <c:pt idx="57">
                  <c:v>329.09508705409229</c:v>
                </c:pt>
                <c:pt idx="58">
                  <c:v>346.32365295129574</c:v>
                </c:pt>
                <c:pt idx="59">
                  <c:v>363.53340578528702</c:v>
                </c:pt>
                <c:pt idx="60">
                  <c:v>380.72536126649516</c:v>
                </c:pt>
                <c:pt idx="61">
                  <c:v>341.6268642704303</c:v>
                </c:pt>
                <c:pt idx="62">
                  <c:v>358.84164266475472</c:v>
                </c:pt>
                <c:pt idx="63">
                  <c:v>376.03835717192732</c:v>
                </c:pt>
                <c:pt idx="64">
                  <c:v>393.21794989343488</c:v>
                </c:pt>
                <c:pt idx="65">
                  <c:v>410.38127391457641</c:v>
                </c:pt>
                <c:pt idx="66">
                  <c:v>370.7248792851808</c:v>
                </c:pt>
                <c:pt idx="67">
                  <c:v>387.28506233326448</c:v>
                </c:pt>
                <c:pt idx="68">
                  <c:v>403.82987374969861</c:v>
                </c:pt>
                <c:pt idx="69">
                  <c:v>420.36003177327524</c:v>
                </c:pt>
                <c:pt idx="70">
                  <c:v>436.8761935627694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70" zoomScaleNormal="70" workbookViewId="0">
      <selection activeCell="A68" sqref="A68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75" t="s">
        <v>190</v>
      </c>
      <c r="D1" s="275"/>
      <c r="E1" s="27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282" t="s">
        <v>231</v>
      </c>
      <c r="B5" s="282"/>
      <c r="C5" s="26">
        <v>22.5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2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164</v>
      </c>
      <c r="C9" s="35">
        <v>8.8900000000000007E-2</v>
      </c>
      <c r="D9" s="36">
        <f t="shared" ref="D9:D18" si="0">C9*$C$5</f>
        <v>2.0002500000000003</v>
      </c>
      <c r="E9" s="37">
        <v>60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18</v>
      </c>
      <c r="C10" s="35">
        <v>0.43109999999999998</v>
      </c>
      <c r="D10" s="36">
        <f t="shared" si="0"/>
        <v>9.6997499999999999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27</v>
      </c>
      <c r="C11" s="35">
        <v>0.22220000000000001</v>
      </c>
      <c r="D11" s="36">
        <f t="shared" si="0"/>
        <v>4.9995000000000003</v>
      </c>
      <c r="E11" s="37">
        <v>50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35</v>
      </c>
      <c r="C12" s="35">
        <v>5.33E-2</v>
      </c>
      <c r="D12" s="36">
        <f t="shared" si="0"/>
        <v>1.1992499999999999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</v>
      </c>
      <c r="C13" s="35">
        <v>0.15329999999999999</v>
      </c>
      <c r="D13" s="36">
        <f t="shared" si="0"/>
        <v>3.4492499999999997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8</v>
      </c>
      <c r="C14" s="35">
        <v>5.11E-2</v>
      </c>
      <c r="D14" s="36">
        <f t="shared" si="0"/>
        <v>1.14975</v>
      </c>
      <c r="E14" s="37">
        <v>70</v>
      </c>
      <c r="F14" s="38" t="str">
        <f t="array" ref="F14">IF(E14="","",IF(INDEX(A:A,MAX(IF(ISNUMBER($A$166:$A$185),ROW($A$166:$A$185),"")))&lt;&gt;E14,"Corrigez : révolution incorrecte","OK"))</f>
        <v>OK</v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1"/>
      <c r="B19" s="39" t="s">
        <v>175</v>
      </c>
      <c r="C19" s="40">
        <f>SUM(C9:C18)</f>
        <v>0.99990000000000001</v>
      </c>
      <c r="D19" s="41">
        <f>SUM(D9:D18)</f>
        <v>22.49775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Cèdre de l'Atlas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71" t="s">
        <v>186</v>
      </c>
      <c r="D34" s="271"/>
      <c r="E34" s="272" t="s">
        <v>187</v>
      </c>
      <c r="F34" s="273"/>
      <c r="G34" s="273"/>
      <c r="H34" s="274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63">
        <v>30</v>
      </c>
      <c r="B36" s="63">
        <v>170</v>
      </c>
      <c r="C36" s="63">
        <v>1</v>
      </c>
      <c r="D36" s="63">
        <v>40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5.666666666666667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63">
        <v>40</v>
      </c>
      <c r="B37" s="63">
        <v>230</v>
      </c>
      <c r="C37" s="63">
        <v>2</v>
      </c>
      <c r="D37" s="63">
        <v>40</v>
      </c>
      <c r="E37" s="54">
        <v>0.2</v>
      </c>
      <c r="F37" s="54">
        <f>F36*0.8</f>
        <v>0.44800000000000006</v>
      </c>
      <c r="G37" s="54">
        <f>G36*0.8</f>
        <v>0.35200000000000004</v>
      </c>
      <c r="H37" s="54"/>
      <c r="I37" s="56">
        <f t="shared" ref="I37:I55" si="1">IF(A37&lt;&gt;0,(B37-(B36-D36))/(A37-A36),"")</f>
        <v>10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63">
        <v>50</v>
      </c>
      <c r="B38" s="63">
        <v>290</v>
      </c>
      <c r="C38" s="63">
        <v>3</v>
      </c>
      <c r="D38" s="63">
        <v>40</v>
      </c>
      <c r="E38" s="54">
        <v>0.6</v>
      </c>
      <c r="F38" s="54">
        <f>F36*0.4</f>
        <v>0.22400000000000003</v>
      </c>
      <c r="G38" s="54">
        <f>G36*0.4</f>
        <v>0.17600000000000002</v>
      </c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63">
        <v>60</v>
      </c>
      <c r="B39" s="63">
        <v>350</v>
      </c>
      <c r="C39" s="63">
        <v>4</v>
      </c>
      <c r="D39" s="63">
        <v>390</v>
      </c>
      <c r="E39" s="54">
        <v>0.8</v>
      </c>
      <c r="F39" s="54">
        <v>0.11</v>
      </c>
      <c r="G39" s="54">
        <v>0.09</v>
      </c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5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5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Douglas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71" t="s">
        <v>186</v>
      </c>
      <c r="D60" s="271"/>
      <c r="E60" s="272" t="s">
        <v>187</v>
      </c>
      <c r="F60" s="273"/>
      <c r="G60" s="273"/>
      <c r="H60" s="274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19</v>
      </c>
      <c r="B62" s="63">
        <v>162</v>
      </c>
      <c r="C62" s="63">
        <v>1</v>
      </c>
      <c r="D62" s="63">
        <v>0</v>
      </c>
      <c r="E62" s="54"/>
      <c r="F62" s="54">
        <v>0.56000000000000005</v>
      </c>
      <c r="G62" s="54">
        <v>0.44</v>
      </c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25</v>
      </c>
      <c r="B63" s="63">
        <v>335</v>
      </c>
      <c r="C63" s="63">
        <v>2</v>
      </c>
      <c r="D63" s="63">
        <v>54</v>
      </c>
      <c r="E63" s="54"/>
      <c r="F63" s="54">
        <v>0.56000000000000005</v>
      </c>
      <c r="G63" s="54">
        <v>0.44</v>
      </c>
      <c r="H63" s="54"/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30</v>
      </c>
      <c r="B64" s="63">
        <v>421</v>
      </c>
      <c r="C64" s="63">
        <v>3</v>
      </c>
      <c r="D64" s="63">
        <v>54</v>
      </c>
      <c r="E64" s="54"/>
      <c r="F64" s="54">
        <v>0.56000000000000005</v>
      </c>
      <c r="G64" s="54">
        <v>0.44</v>
      </c>
      <c r="H64" s="54"/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35</v>
      </c>
      <c r="B65" s="63">
        <v>505</v>
      </c>
      <c r="C65" s="63">
        <v>4</v>
      </c>
      <c r="D65" s="63">
        <v>69</v>
      </c>
      <c r="E65" s="54">
        <v>0.3</v>
      </c>
      <c r="F65" s="54">
        <v>0.39200000000000002</v>
      </c>
      <c r="G65" s="54">
        <v>0.308</v>
      </c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40</v>
      </c>
      <c r="B66" s="63">
        <v>564</v>
      </c>
      <c r="C66" s="63">
        <v>5</v>
      </c>
      <c r="D66" s="63">
        <v>72</v>
      </c>
      <c r="E66" s="54">
        <v>0.5</v>
      </c>
      <c r="F66" s="54">
        <v>0.28000000000000003</v>
      </c>
      <c r="G66" s="54">
        <v>0.22</v>
      </c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45</v>
      </c>
      <c r="B67" s="63">
        <v>606</v>
      </c>
      <c r="C67" s="63">
        <v>6</v>
      </c>
      <c r="D67" s="63">
        <v>606</v>
      </c>
      <c r="E67" s="54">
        <v>0.8</v>
      </c>
      <c r="F67" s="54">
        <v>0.11</v>
      </c>
      <c r="G67" s="54">
        <v>0.09</v>
      </c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Mélèze d'Europe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71" t="s">
        <v>186</v>
      </c>
      <c r="D86" s="271"/>
      <c r="E86" s="272" t="s">
        <v>187</v>
      </c>
      <c r="F86" s="273"/>
      <c r="G86" s="273"/>
      <c r="H86" s="274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18</v>
      </c>
      <c r="B88" s="63">
        <v>112</v>
      </c>
      <c r="C88" s="63">
        <v>1</v>
      </c>
      <c r="D88" s="63">
        <v>20</v>
      </c>
      <c r="E88" s="54"/>
      <c r="F88" s="54">
        <v>0.56000000000000005</v>
      </c>
      <c r="G88" s="54">
        <v>0.44</v>
      </c>
      <c r="H88" s="94"/>
      <c r="I88" s="56">
        <f>IFERROR(B88/A88,"")</f>
        <v>6.2222222222222223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21</v>
      </c>
      <c r="B89" s="63">
        <v>146</v>
      </c>
      <c r="C89" s="63">
        <v>2</v>
      </c>
      <c r="D89" s="63">
        <v>26</v>
      </c>
      <c r="E89" s="54"/>
      <c r="F89" s="54">
        <v>0.56000000000000005</v>
      </c>
      <c r="G89" s="54">
        <v>0.44</v>
      </c>
      <c r="H89" s="94"/>
      <c r="I89" s="56">
        <f t="shared" ref="I89:I107" si="3">IF(A89&lt;&gt;0,(B89-(B88-D88))/(A89-A88),"")</f>
        <v>18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24</v>
      </c>
      <c r="B90" s="63">
        <v>168</v>
      </c>
      <c r="C90" s="63">
        <v>3</v>
      </c>
      <c r="D90" s="63">
        <v>29</v>
      </c>
      <c r="E90" s="54"/>
      <c r="F90" s="54">
        <v>0.56000000000000005</v>
      </c>
      <c r="G90" s="54">
        <v>0.44</v>
      </c>
      <c r="H90" s="94"/>
      <c r="I90" s="56">
        <f t="shared" si="3"/>
        <v>16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224</v>
      </c>
      <c r="C91" s="63">
        <v>4</v>
      </c>
      <c r="D91" s="63">
        <v>53</v>
      </c>
      <c r="E91" s="54"/>
      <c r="F91" s="54">
        <v>0.56000000000000005</v>
      </c>
      <c r="G91" s="54">
        <v>0.44</v>
      </c>
      <c r="H91" s="94"/>
      <c r="I91" s="56">
        <f t="shared" si="3"/>
        <v>14.166666666666666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36</v>
      </c>
      <c r="B92" s="63">
        <v>248</v>
      </c>
      <c r="C92" s="63">
        <v>5</v>
      </c>
      <c r="D92" s="63">
        <v>62</v>
      </c>
      <c r="E92" s="54">
        <v>0.2</v>
      </c>
      <c r="F92" s="54">
        <v>0.44800000000000006</v>
      </c>
      <c r="G92" s="54">
        <v>0.35200000000000004</v>
      </c>
      <c r="H92" s="94"/>
      <c r="I92" s="56">
        <f t="shared" si="3"/>
        <v>12.833333333333334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42</v>
      </c>
      <c r="B93" s="53">
        <v>255</v>
      </c>
      <c r="C93" s="63">
        <v>6</v>
      </c>
      <c r="D93" s="53">
        <v>67</v>
      </c>
      <c r="E93" s="54">
        <v>0.5</v>
      </c>
      <c r="F93" s="54">
        <v>0.28000000000000003</v>
      </c>
      <c r="G93" s="54">
        <v>0.22</v>
      </c>
      <c r="H93" s="94"/>
      <c r="I93" s="56">
        <f t="shared" si="3"/>
        <v>11.5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50</v>
      </c>
      <c r="B94" s="53">
        <v>252</v>
      </c>
      <c r="C94" s="63">
        <v>7</v>
      </c>
      <c r="D94" s="53">
        <v>252</v>
      </c>
      <c r="E94" s="54">
        <v>0.8</v>
      </c>
      <c r="F94" s="54">
        <v>0.11</v>
      </c>
      <c r="G94" s="54">
        <v>0.09</v>
      </c>
      <c r="H94" s="94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94"/>
      <c r="F100" s="94"/>
      <c r="G100" s="94"/>
      <c r="H100" s="9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94"/>
      <c r="F101" s="94"/>
      <c r="G101" s="94"/>
      <c r="H101" s="9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68"/>
      <c r="F102" s="68"/>
      <c r="G102" s="68"/>
      <c r="H102" s="68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68"/>
      <c r="F103" s="68"/>
      <c r="G103" s="68"/>
      <c r="H103" s="68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63"/>
      <c r="B105" s="53"/>
      <c r="C105" s="6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63"/>
      <c r="B106" s="53"/>
      <c r="C106" s="6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63"/>
      <c r="B107" s="53"/>
      <c r="C107" s="6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Pin laricio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71" t="s">
        <v>186</v>
      </c>
      <c r="D112" s="271"/>
      <c r="E112" s="272" t="s">
        <v>187</v>
      </c>
      <c r="F112" s="273"/>
      <c r="G112" s="273"/>
      <c r="H112" s="274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22</v>
      </c>
      <c r="B114" s="53">
        <v>123</v>
      </c>
      <c r="C114" s="63">
        <v>1</v>
      </c>
      <c r="D114" s="53">
        <v>16</v>
      </c>
      <c r="E114" s="94"/>
      <c r="F114" s="94"/>
      <c r="G114" s="94"/>
      <c r="H114" s="94"/>
      <c r="I114" s="56">
        <f>IFERROR(B114/A114,"")</f>
        <v>5.5909090909090908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25</v>
      </c>
      <c r="B115" s="53">
        <v>144</v>
      </c>
      <c r="C115" s="63">
        <v>2</v>
      </c>
      <c r="D115" s="53">
        <v>17</v>
      </c>
      <c r="E115" s="94"/>
      <c r="F115" s="94"/>
      <c r="G115" s="94"/>
      <c r="H115" s="94"/>
      <c r="I115" s="56">
        <f t="shared" ref="I115:I133" si="4">IF(A115&lt;&gt;0,(B115-(B114-D114))/(A115-A114),"")</f>
        <v>12.333333333333334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30</v>
      </c>
      <c r="B116" s="53">
        <v>194</v>
      </c>
      <c r="C116" s="63">
        <v>3</v>
      </c>
      <c r="D116" s="53">
        <v>34</v>
      </c>
      <c r="E116" s="94"/>
      <c r="F116" s="94"/>
      <c r="G116" s="94"/>
      <c r="H116" s="94"/>
      <c r="I116" s="56">
        <f t="shared" si="4"/>
        <v>13.4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35</v>
      </c>
      <c r="B117" s="53">
        <v>233</v>
      </c>
      <c r="C117" s="63">
        <v>4</v>
      </c>
      <c r="D117" s="53">
        <v>41</v>
      </c>
      <c r="E117" s="54">
        <v>0.3</v>
      </c>
      <c r="F117" s="54">
        <v>0.39200000000000002</v>
      </c>
      <c r="G117" s="54">
        <v>0.308</v>
      </c>
      <c r="H117" s="94"/>
      <c r="I117" s="56">
        <f t="shared" si="4"/>
        <v>14.6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40</v>
      </c>
      <c r="B118" s="53">
        <v>264</v>
      </c>
      <c r="C118" s="63">
        <v>5</v>
      </c>
      <c r="D118" s="53">
        <v>53</v>
      </c>
      <c r="E118" s="54">
        <v>0.3</v>
      </c>
      <c r="F118" s="54">
        <v>0.39200000000000002</v>
      </c>
      <c r="G118" s="54">
        <v>0.308</v>
      </c>
      <c r="H118" s="94"/>
      <c r="I118" s="56">
        <f t="shared" si="4"/>
        <v>14.4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45</v>
      </c>
      <c r="B119" s="53">
        <v>318</v>
      </c>
      <c r="C119" s="63">
        <v>6</v>
      </c>
      <c r="D119" s="53">
        <v>53</v>
      </c>
      <c r="E119" s="54">
        <v>0.5</v>
      </c>
      <c r="F119" s="54">
        <v>0.28000000000000003</v>
      </c>
      <c r="G119" s="54">
        <v>0.22</v>
      </c>
      <c r="H119" s="94"/>
      <c r="I119" s="56">
        <f t="shared" si="4"/>
        <v>21.4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53">
        <v>50</v>
      </c>
      <c r="B120" s="53">
        <v>352</v>
      </c>
      <c r="C120" s="63">
        <v>7</v>
      </c>
      <c r="D120" s="53">
        <v>78</v>
      </c>
      <c r="E120" s="54">
        <v>0.5</v>
      </c>
      <c r="F120" s="54">
        <v>0.28000000000000003</v>
      </c>
      <c r="G120" s="54">
        <v>0.22</v>
      </c>
      <c r="H120" s="94"/>
      <c r="I120" s="56">
        <f t="shared" si="4"/>
        <v>17.399999999999999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53">
        <v>60</v>
      </c>
      <c r="B121" s="53">
        <v>440</v>
      </c>
      <c r="C121" s="63">
        <v>8</v>
      </c>
      <c r="D121" s="53">
        <v>440</v>
      </c>
      <c r="E121" s="54">
        <v>0.8</v>
      </c>
      <c r="F121" s="54">
        <v>0.11</v>
      </c>
      <c r="G121" s="54">
        <v>0.09</v>
      </c>
      <c r="H121" s="94"/>
      <c r="I121" s="56">
        <f t="shared" si="4"/>
        <v>16.600000000000001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68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68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9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63"/>
      <c r="B129" s="53"/>
      <c r="C129" s="6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63"/>
      <c r="B130" s="53"/>
      <c r="C130" s="6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 rouge d'Amérique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71" t="s">
        <v>186</v>
      </c>
      <c r="D138" s="271"/>
      <c r="E138" s="272" t="s">
        <v>187</v>
      </c>
      <c r="F138" s="273"/>
      <c r="G138" s="273"/>
      <c r="H138" s="274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63">
        <v>10</v>
      </c>
      <c r="B140" s="63">
        <v>18</v>
      </c>
      <c r="C140" s="63">
        <v>1</v>
      </c>
      <c r="D140" s="63">
        <v>0</v>
      </c>
      <c r="E140" s="94"/>
      <c r="F140" s="94"/>
      <c r="G140" s="94"/>
      <c r="H140" s="94">
        <v>1</v>
      </c>
      <c r="I140" s="60">
        <f>IFERROR(B140/A140,"")</f>
        <v>1.8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63">
        <v>15</v>
      </c>
      <c r="B141" s="63">
        <v>47</v>
      </c>
      <c r="C141" s="63">
        <v>2</v>
      </c>
      <c r="D141" s="63">
        <v>0</v>
      </c>
      <c r="E141" s="94"/>
      <c r="F141" s="94"/>
      <c r="G141" s="94"/>
      <c r="H141" s="94">
        <v>1</v>
      </c>
      <c r="I141" s="60">
        <f t="shared" ref="I141:I159" si="5">IF(A141&lt;&gt;0,(B141-(B140-D140))/(A141-A140),"")</f>
        <v>5.8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63">
        <v>20</v>
      </c>
      <c r="B142" s="63">
        <v>87</v>
      </c>
      <c r="C142" s="63">
        <v>3</v>
      </c>
      <c r="D142" s="63">
        <v>29</v>
      </c>
      <c r="E142" s="94"/>
      <c r="F142" s="94"/>
      <c r="G142" s="94"/>
      <c r="H142" s="94">
        <v>1</v>
      </c>
      <c r="I142" s="60">
        <f t="shared" si="5"/>
        <v>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63">
        <v>25</v>
      </c>
      <c r="B143" s="63">
        <v>98</v>
      </c>
      <c r="C143" s="63">
        <v>4</v>
      </c>
      <c r="D143" s="63">
        <v>19</v>
      </c>
      <c r="E143" s="94"/>
      <c r="F143" s="94"/>
      <c r="G143" s="94"/>
      <c r="H143" s="94">
        <v>1</v>
      </c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63">
        <v>30</v>
      </c>
      <c r="B144" s="63">
        <v>119</v>
      </c>
      <c r="C144" s="63">
        <v>5</v>
      </c>
      <c r="D144" s="63">
        <v>20</v>
      </c>
      <c r="E144" s="94"/>
      <c r="F144" s="94"/>
      <c r="G144" s="94"/>
      <c r="H144" s="94">
        <v>1</v>
      </c>
      <c r="I144" s="60">
        <f t="shared" si="5"/>
        <v>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63">
        <v>35</v>
      </c>
      <c r="B145" s="63">
        <v>135</v>
      </c>
      <c r="C145" s="63">
        <v>6</v>
      </c>
      <c r="D145" s="63">
        <v>20</v>
      </c>
      <c r="E145" s="94">
        <v>0.2</v>
      </c>
      <c r="F145" s="94"/>
      <c r="G145" s="94"/>
      <c r="H145" s="94">
        <v>0.8</v>
      </c>
      <c r="I145" s="60">
        <f t="shared" si="5"/>
        <v>7.2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63">
        <v>40</v>
      </c>
      <c r="B146" s="63">
        <v>150</v>
      </c>
      <c r="C146" s="63">
        <v>7</v>
      </c>
      <c r="D146" s="63">
        <v>20</v>
      </c>
      <c r="E146" s="68">
        <v>0.3</v>
      </c>
      <c r="F146" s="94"/>
      <c r="G146" s="94"/>
      <c r="H146" s="94">
        <v>0.7</v>
      </c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63">
        <v>45</v>
      </c>
      <c r="B147" s="63">
        <v>162</v>
      </c>
      <c r="C147" s="63">
        <v>8</v>
      </c>
      <c r="D147" s="63">
        <v>19</v>
      </c>
      <c r="E147" s="94">
        <v>0.4</v>
      </c>
      <c r="F147" s="94"/>
      <c r="G147" s="94"/>
      <c r="H147" s="94">
        <v>0.6</v>
      </c>
      <c r="I147" s="60">
        <f>IF(A147&lt;&gt;0,(B147-(B146-D146))/(A147-A146),"")</f>
        <v>6.4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63">
        <v>50</v>
      </c>
      <c r="B148" s="63">
        <v>173</v>
      </c>
      <c r="C148" s="63">
        <v>9</v>
      </c>
      <c r="D148" s="63">
        <v>18</v>
      </c>
      <c r="E148" s="68">
        <v>0.5</v>
      </c>
      <c r="F148" s="94"/>
      <c r="G148" s="94"/>
      <c r="H148" s="94">
        <v>0.5</v>
      </c>
      <c r="I148" s="60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63">
        <v>55</v>
      </c>
      <c r="B149" s="63">
        <v>181</v>
      </c>
      <c r="C149" s="63">
        <v>10</v>
      </c>
      <c r="D149" s="63">
        <v>17</v>
      </c>
      <c r="E149" s="94">
        <v>0.6</v>
      </c>
      <c r="F149" s="94"/>
      <c r="G149" s="94"/>
      <c r="H149" s="94">
        <v>0.4</v>
      </c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63">
        <v>60</v>
      </c>
      <c r="B150" s="63">
        <v>189</v>
      </c>
      <c r="C150" s="63">
        <v>11</v>
      </c>
      <c r="D150" s="63">
        <v>16</v>
      </c>
      <c r="E150" s="68">
        <v>0.7</v>
      </c>
      <c r="F150" s="94"/>
      <c r="G150" s="94"/>
      <c r="H150" s="94">
        <v>0.3</v>
      </c>
      <c r="I150" s="60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63">
        <v>65</v>
      </c>
      <c r="B151" s="63">
        <v>195</v>
      </c>
      <c r="C151" s="63">
        <v>12</v>
      </c>
      <c r="D151" s="63">
        <v>15</v>
      </c>
      <c r="E151" s="94">
        <v>0.8</v>
      </c>
      <c r="F151" s="94"/>
      <c r="G151" s="94"/>
      <c r="H151" s="94">
        <v>0.2</v>
      </c>
      <c r="I151" s="60">
        <f t="shared" si="5"/>
        <v>4.4000000000000004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63">
        <v>70</v>
      </c>
      <c r="B152" s="63">
        <v>201</v>
      </c>
      <c r="C152" s="63">
        <v>13</v>
      </c>
      <c r="D152" s="63">
        <v>201</v>
      </c>
      <c r="E152" s="68">
        <v>0.8</v>
      </c>
      <c r="F152" s="68"/>
      <c r="G152" s="68"/>
      <c r="H152" s="94">
        <v>0.2</v>
      </c>
      <c r="I152" s="60">
        <f t="shared" si="5"/>
        <v>4.2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63"/>
      <c r="B153" s="63"/>
      <c r="C153" s="63"/>
      <c r="D153" s="63"/>
      <c r="E153" s="68"/>
      <c r="F153" s="68"/>
      <c r="G153" s="68"/>
      <c r="H153" s="68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63"/>
      <c r="B154" s="53"/>
      <c r="C154" s="6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63"/>
      <c r="B155" s="53"/>
      <c r="C155" s="6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63"/>
      <c r="B156" s="53"/>
      <c r="C156" s="6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Châtaignier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71" t="s">
        <v>186</v>
      </c>
      <c r="D164" s="271"/>
      <c r="E164" s="272" t="s">
        <v>187</v>
      </c>
      <c r="F164" s="273"/>
      <c r="G164" s="273"/>
      <c r="H164" s="274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63">
        <v>15</v>
      </c>
      <c r="B166" s="63">
        <v>18</v>
      </c>
      <c r="C166" s="63">
        <v>1</v>
      </c>
      <c r="D166" s="63">
        <v>0</v>
      </c>
      <c r="E166" s="94"/>
      <c r="F166" s="94"/>
      <c r="G166" s="94"/>
      <c r="H166" s="94">
        <v>1</v>
      </c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63">
        <v>20</v>
      </c>
      <c r="B167" s="63">
        <v>40</v>
      </c>
      <c r="C167" s="63">
        <v>2</v>
      </c>
      <c r="D167" s="63">
        <v>4</v>
      </c>
      <c r="E167" s="94"/>
      <c r="F167" s="94"/>
      <c r="G167" s="94"/>
      <c r="H167" s="94">
        <v>1</v>
      </c>
      <c r="I167" s="52">
        <f t="shared" ref="I167:I185" si="6">IF(A167&lt;&gt;0,(B167-(B166-D166))/(A167-A166),"")</f>
        <v>4.4000000000000004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63">
        <v>25</v>
      </c>
      <c r="B168" s="63">
        <v>65</v>
      </c>
      <c r="C168" s="63">
        <v>3</v>
      </c>
      <c r="D168" s="63">
        <v>9</v>
      </c>
      <c r="E168" s="94"/>
      <c r="F168" s="94"/>
      <c r="G168" s="94"/>
      <c r="H168" s="94">
        <v>1</v>
      </c>
      <c r="I168" s="52">
        <f t="shared" si="6"/>
        <v>5.8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63">
        <v>30</v>
      </c>
      <c r="B169" s="63">
        <v>90</v>
      </c>
      <c r="C169" s="63">
        <v>4</v>
      </c>
      <c r="D169" s="63">
        <v>13</v>
      </c>
      <c r="E169" s="94"/>
      <c r="F169" s="94"/>
      <c r="G169" s="94"/>
      <c r="H169" s="94">
        <v>1</v>
      </c>
      <c r="I169" s="52">
        <f t="shared" si="6"/>
        <v>6.8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63">
        <v>35</v>
      </c>
      <c r="B170" s="63">
        <v>123</v>
      </c>
      <c r="C170" s="63">
        <v>5</v>
      </c>
      <c r="D170" s="63">
        <v>23</v>
      </c>
      <c r="E170" s="94">
        <v>0.2</v>
      </c>
      <c r="F170" s="94"/>
      <c r="G170" s="94"/>
      <c r="H170" s="94">
        <v>0.8</v>
      </c>
      <c r="I170" s="52">
        <f t="shared" si="6"/>
        <v>9.1999999999999993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63">
        <v>40</v>
      </c>
      <c r="B171" s="63">
        <v>150</v>
      </c>
      <c r="C171" s="63">
        <v>6</v>
      </c>
      <c r="D171" s="63">
        <v>28</v>
      </c>
      <c r="E171" s="94">
        <v>0.2</v>
      </c>
      <c r="F171" s="94"/>
      <c r="G171" s="94"/>
      <c r="H171" s="94">
        <v>0.8</v>
      </c>
      <c r="I171" s="52">
        <f t="shared" si="6"/>
        <v>10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63">
        <v>45</v>
      </c>
      <c r="B172" s="63">
        <v>174</v>
      </c>
      <c r="C172" s="63">
        <v>7</v>
      </c>
      <c r="D172" s="63">
        <v>31</v>
      </c>
      <c r="E172" s="68">
        <v>0.3</v>
      </c>
      <c r="F172" s="94"/>
      <c r="G172" s="94"/>
      <c r="H172" s="94">
        <v>0.7</v>
      </c>
      <c r="I172" s="52">
        <f t="shared" si="6"/>
        <v>10.4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63">
        <v>50</v>
      </c>
      <c r="B173" s="63">
        <v>197</v>
      </c>
      <c r="C173" s="63">
        <v>8</v>
      </c>
      <c r="D173" s="63">
        <v>33</v>
      </c>
      <c r="E173" s="94">
        <v>0.4</v>
      </c>
      <c r="F173" s="94"/>
      <c r="G173" s="94"/>
      <c r="H173" s="94">
        <v>0.6</v>
      </c>
      <c r="I173" s="52">
        <f t="shared" si="6"/>
        <v>10.8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63">
        <v>55</v>
      </c>
      <c r="B174" s="63">
        <v>218</v>
      </c>
      <c r="C174" s="63">
        <v>9</v>
      </c>
      <c r="D174" s="63">
        <v>35</v>
      </c>
      <c r="E174" s="68">
        <v>0.5</v>
      </c>
      <c r="F174" s="94"/>
      <c r="G174" s="94"/>
      <c r="H174" s="94">
        <v>0.5</v>
      </c>
      <c r="I174" s="52">
        <f t="shared" si="6"/>
        <v>10.8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63">
        <v>60</v>
      </c>
      <c r="B175" s="63">
        <v>238</v>
      </c>
      <c r="C175" s="63">
        <v>10</v>
      </c>
      <c r="D175" s="63">
        <v>36</v>
      </c>
      <c r="E175" s="94">
        <v>0.6</v>
      </c>
      <c r="F175" s="94"/>
      <c r="G175" s="94"/>
      <c r="H175" s="94">
        <v>0.4</v>
      </c>
      <c r="I175" s="52">
        <f t="shared" si="6"/>
        <v>11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63">
        <v>65</v>
      </c>
      <c r="B176" s="63">
        <v>257</v>
      </c>
      <c r="C176" s="63">
        <v>11</v>
      </c>
      <c r="D176" s="63">
        <v>36</v>
      </c>
      <c r="E176" s="68">
        <v>0.7</v>
      </c>
      <c r="F176" s="94"/>
      <c r="G176" s="94"/>
      <c r="H176" s="94">
        <v>0.3</v>
      </c>
      <c r="I176" s="52">
        <f t="shared" si="6"/>
        <v>11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63">
        <v>70</v>
      </c>
      <c r="B177" s="63">
        <v>274</v>
      </c>
      <c r="C177" s="63">
        <v>12</v>
      </c>
      <c r="D177" s="63">
        <v>274</v>
      </c>
      <c r="E177" s="94">
        <v>0.8</v>
      </c>
      <c r="F177" s="94"/>
      <c r="G177" s="94"/>
      <c r="H177" s="94">
        <v>0.2</v>
      </c>
      <c r="I177" s="52">
        <f t="shared" si="6"/>
        <v>10.6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63"/>
      <c r="B178" s="63"/>
      <c r="C178" s="63"/>
      <c r="D178" s="63"/>
      <c r="E178" s="68"/>
      <c r="F178" s="68"/>
      <c r="G178" s="68"/>
      <c r="H178" s="9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63"/>
      <c r="B179" s="53"/>
      <c r="C179" s="63"/>
      <c r="D179" s="63"/>
      <c r="E179" s="57"/>
      <c r="F179" s="57"/>
      <c r="G179" s="57"/>
      <c r="H179" s="57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63"/>
      <c r="B180" s="53"/>
      <c r="C180" s="63"/>
      <c r="D180" s="63"/>
      <c r="E180" s="57"/>
      <c r="F180" s="57"/>
      <c r="G180" s="57"/>
      <c r="H180" s="57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63"/>
      <c r="B181" s="53"/>
      <c r="C181" s="63"/>
      <c r="D181" s="53"/>
      <c r="E181" s="57"/>
      <c r="F181" s="57"/>
      <c r="G181" s="57"/>
      <c r="H181" s="57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63"/>
      <c r="B182" s="53"/>
      <c r="C182" s="63"/>
      <c r="D182" s="53"/>
      <c r="E182" s="57"/>
      <c r="F182" s="57"/>
      <c r="G182" s="57"/>
      <c r="H182" s="57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71" t="s">
        <v>186</v>
      </c>
      <c r="D190" s="271"/>
      <c r="E190" s="272" t="s">
        <v>187</v>
      </c>
      <c r="F190" s="273"/>
      <c r="G190" s="273"/>
      <c r="H190" s="274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71" t="s">
        <v>186</v>
      </c>
      <c r="D216" s="271"/>
      <c r="E216" s="272" t="s">
        <v>187</v>
      </c>
      <c r="F216" s="273"/>
      <c r="G216" s="273"/>
      <c r="H216" s="274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71" t="s">
        <v>186</v>
      </c>
      <c r="D242" s="271"/>
      <c r="E242" s="272" t="s">
        <v>187</v>
      </c>
      <c r="F242" s="273"/>
      <c r="G242" s="273"/>
      <c r="H242" s="274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71" t="s">
        <v>186</v>
      </c>
      <c r="D268" s="271"/>
      <c r="E268" s="272" t="s">
        <v>187</v>
      </c>
      <c r="F268" s="273"/>
      <c r="G268" s="273"/>
      <c r="H268" s="274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="115" zoomScaleNormal="115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">
      <c r="A8" s="115">
        <v>1</v>
      </c>
      <c r="B8" s="64">
        <v>0</v>
      </c>
      <c r="C8" s="52" t="s">
        <v>177</v>
      </c>
      <c r="D8" s="25"/>
      <c r="E8" s="115">
        <v>4</v>
      </c>
      <c r="F8" s="64">
        <v>1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1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">
      <c r="A15" s="25"/>
      <c r="B15" s="29" t="s">
        <v>300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6">
        <f>SUM(B16:B18)</f>
        <v>0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Cèdre de l'Atlas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Douglas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Mélèze d'Europe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Pin laricio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Chêne rouge d'Amérique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>Châtaignier</v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82.229723373996478</v>
      </c>
      <c r="T3" s="62">
        <f>IF('Données projet'!E9&gt;30,$R$33-$H$33,LOOKUP('Données projet'!$E$9,$A$3:$A$203,R3:R203)-LOOKUP('Données projet'!$E$9,$A$3:$A$203,$H$3:$H$203))</f>
        <v>115.86489547584461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262.78347246606825</v>
      </c>
      <c r="AO3" s="62">
        <f>IF('Données projet'!E10&gt;30,$AM$33-$H$33,LOOKUP('Données projet'!$E$10,$A$3:$A$203,AM3:AM203)-LOOKUP('Données projet'!$E$10,$A$3:$A$203,$H$3:$H$203))</f>
        <v>448.84541017639367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135.14998708332445</v>
      </c>
      <c r="BJ3" s="62">
        <f>IF('Données projet'!E11&gt;30,$BH$33-$H$33,LOOKUP('Données projet'!$E$11,$A$3:$A$203,BH3:BH203)-LOOKUP('Données projet'!$E$11,$A$3:$A$203,$H$3:$H$203))</f>
        <v>245.50083454484513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168.16583766359378</v>
      </c>
      <c r="CE3" s="62">
        <f>IF('Données projet'!E12&gt;30,$CC$33-$H$33,LOOKUP('Données projet'!$E$12,$A$3:$A$203,CC3:CC203)-LOOKUP('Données projet'!$E$12,$A$3:$A$203,$H$3:$H$203))</f>
        <v>194.52809733694494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146.09202487550647</v>
      </c>
      <c r="CZ3" s="62">
        <f>IF('Données projet'!E13&gt;30,$CX$33-$H$33,LOOKUP('Données projet'!$E$13,$A$3:$A$203,CX3:CX203)-LOOKUP('Données projet'!$E$13,$A$3:$A$203,$H$3:$H$203))</f>
        <v>168.58814676269344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116.35584360635318</v>
      </c>
      <c r="DU3" s="62">
        <f>IF('Données projet'!E14&gt;30,$DS$33-$H$33,LOOKUP('Données projet'!$E$14,$A$3:$A$203,DS3:DS203)-LOOKUP('Données projet'!$E$14,$A$3:$A$203,$H$3:$H$203))</f>
        <v>86.38226293640173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5.666666666666667</v>
      </c>
      <c r="N4" s="14">
        <f>IF('Données projet'!$A$36&gt;35,N3+M4-V3,IF(A4&lt;'Données projet'!$A$36,$K$205^A4,IF(A4='Données projet'!$A$36,'Données projet'!$B$36,N3+M4-V3)))</f>
        <v>1.1867200975826817</v>
      </c>
      <c r="O4" s="14">
        <f>N4*VLOOKUP('Données projet'!$B$9,Paramètres!$A$1:$I$88,3,0)*VLOOKUP('Données projet'!$B$9,Paramètres!$A$1:$I$88,5,0)</f>
        <v>0.55538500566869509</v>
      </c>
      <c r="P4" s="14">
        <f>EXP(-1.0587+0.8836*LN(O4)+0.284)</f>
        <v>0.27407880760927583</v>
      </c>
      <c r="Q4" s="22">
        <f t="shared" ref="Q4:Q34" si="2">(O4+P4)*0.475*44/12</f>
        <v>1.4446494747924661</v>
      </c>
      <c r="R4" s="62">
        <f t="shared" si="0"/>
        <v>294.77798280812578</v>
      </c>
      <c r="S4" s="62">
        <f ca="1">AVERAGE(OFFSET($R$3,0,0,'Données projet'!$E$9+1,1))-AVERAGE(OFFSET($H$3,0,0,'Données projet'!$E$9+1,1))</f>
        <v>82.229723373996478</v>
      </c>
      <c r="T4" s="62">
        <f>$T$3</f>
        <v>115.86489547584461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projet'!$B$10,Paramètres!$A$1:$I$88,3,0)*VLOOKUP('Données projet'!$B$10,Paramètres!$A$1:$I$88,5,0)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295.21411363847875</v>
      </c>
      <c r="AN4" s="62">
        <f ca="1">AVERAGE(OFFSET($AM$3,0,0,'Données projet'!$E$10+1,1))-AVERAGE(OFFSET($H$3,0,0,'Données projet'!$E$10+1,1))</f>
        <v>262.78347246606825</v>
      </c>
      <c r="AO4" s="62">
        <f>$AO$3</f>
        <v>448.84541017639367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6.2222222222222223</v>
      </c>
      <c r="BD4" s="13">
        <f>IF('Données projet'!$A$88&gt;35,BD3+BC4-BL3,IF(A4&lt;'Données projet'!$A$88,$BA$205^A4,IF(A4='Données projet'!$A$88,'Données projet'!$B$88,BD3+BC4-BL3)))</f>
        <v>1.2997069632623315</v>
      </c>
      <c r="BE4" s="14">
        <f>BD4*VLOOKUP('Données projet'!$B$11,Paramètres!$A$1:$I$88,3,0)*VLOOKUP('Données projet'!$B$11,Paramètres!$A$1:$I$88,5,0)</f>
        <v>0.81101714507569489</v>
      </c>
      <c r="BF4" s="14">
        <f>EXP(-1.0587+0.8836*LN(BE4)+0.284)</f>
        <v>0.38297551084354686</v>
      </c>
      <c r="BG4" s="22">
        <f t="shared" ref="BG4:BG67" si="7">(BE4+BF4)*0.475*44/12</f>
        <v>2.0795372090593456</v>
      </c>
      <c r="BH4" s="62">
        <f t="shared" ref="BH4:BH67" si="8">BG4+(AY4+AZ4)*44/12</f>
        <v>295.41287054239268</v>
      </c>
      <c r="BI4" s="62">
        <f ca="1">AVERAGE(OFFSET($BH$3,0,0,'Données projet'!$E$11+1,1))-AVERAGE(OFFSET($H$3,0,0,'Données projet'!$E$11+1,1))</f>
        <v>135.14998708332445</v>
      </c>
      <c r="BJ4" s="62">
        <f>$BJ$3</f>
        <v>245.50083454484513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5.5909090909090908</v>
      </c>
      <c r="BY4" s="13">
        <f>IF('Données projet'!$A$114&gt;35,BY3+BX4-CG3,IF(A4&lt;'Données projet'!$A$114,$BV$205^A4,IF(A4='Données projet'!$A$114,'Données projet'!$B$114,BY3+BX4-CG3)))</f>
        <v>1.244502252163008</v>
      </c>
      <c r="BZ4" s="14">
        <f>BY4*VLOOKUP('Données projet'!$B$12,Paramètres!$A$1:$I$88,3,0)*VLOOKUP('Données projet'!$B$12,Paramètres!$A$1:$I$88,5,0)</f>
        <v>0.74421234679347892</v>
      </c>
      <c r="CA4" s="14">
        <f>EXP(-1.0587+0.8836*LN(BZ4)+0.284)</f>
        <v>0.3549632728022305</v>
      </c>
      <c r="CB4" s="22">
        <f t="shared" ref="CB4:CB67" si="10">(BZ4+CA4)*0.475*44/12</f>
        <v>1.9143975374625271</v>
      </c>
      <c r="CC4" s="62">
        <f t="shared" ref="CC4:CC67" si="11">CB4+(BT4+BU4)*44/12</f>
        <v>295.24773087079586</v>
      </c>
      <c r="CD4" s="62">
        <f ca="1">AVERAGE(OFFSET($CC$3,0,0,'Données projet'!$E$12+1,1))-AVERAGE(OFFSET($H$3,0,0,'Données projet'!$E$12+1,1))</f>
        <v>168.16583766359378</v>
      </c>
      <c r="CE4" s="62">
        <f>$CE$3</f>
        <v>194.52809733694494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1.8</v>
      </c>
      <c r="CT4" s="13">
        <f>IF('Données projet'!$A$140&gt;35,CT3+CS4-DB3,IF(A4&lt;'Données projet'!$A$140,$CQ$205^A4,IF(A4='Données projet'!$A$140,'Données projet'!$B$140,CT3+CS4-DB3)))</f>
        <v>1.335141362540313</v>
      </c>
      <c r="CU4" s="18">
        <f>CT4*VLOOKUP('Données projet'!$B$13,Paramètres!$A$1:$I$88,3,0)*VLOOKUP('Données projet'!$B$13,Paramètres!$A$1:$I$88,5,0)</f>
        <v>1.1663794943152175</v>
      </c>
      <c r="CV4" s="14">
        <f>EXP(-1.0587+0.8836*LN(CU4)+0.284)</f>
        <v>0.52797307958445927</v>
      </c>
      <c r="CW4" s="22">
        <f t="shared" ref="CW4:CW67" si="13">(CU4+CV4)*0.475*44/12</f>
        <v>2.9509973995419365</v>
      </c>
      <c r="CX4" s="62">
        <f t="shared" ref="CX4:CX67" si="14">CW4+(CO4+CP4)*44/12</f>
        <v>296.28433073287528</v>
      </c>
      <c r="CY4" s="62">
        <f ca="1">AVERAGE(OFFSET($CX$3,0,0,'Données projet'!$E$13+1,1))-AVERAGE(OFFSET($H$3,0,0,'Données projet'!$E$13+1,1))</f>
        <v>146.09202487550647</v>
      </c>
      <c r="CZ4" s="62">
        <f>$CZ$3</f>
        <v>168.58814676269344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1.2125086169006218</v>
      </c>
      <c r="DP4" s="18">
        <f>DO4*VLOOKUP('Données projet'!$B$14,Paramètres!$A$1:$I$88,3,0)*VLOOKUP('Données projet'!$B$14,Paramètres!$A$1:$I$88,5,0)</f>
        <v>0.88901131791153587</v>
      </c>
      <c r="DQ4" s="14">
        <f>EXP(-1.0587+0.8836*LN(DP4)+0.284)</f>
        <v>0.41534266605565845</v>
      </c>
      <c r="DR4" s="22">
        <f t="shared" ref="DR4:DR67" si="16">(DP4+DQ4)*0.475*44/12</f>
        <v>2.2717498554095301</v>
      </c>
      <c r="DS4" s="62">
        <f t="shared" ref="DS4:DS67" si="17">DR4+(DJ4+DK4)*44/12</f>
        <v>295.60508318874287</v>
      </c>
      <c r="DT4" s="62">
        <f ca="1">AVERAGE(OFFSET($DS$3,0,0,'Données projet'!$E$14+1,1))-AVERAGE(OFFSET($H$3,0,0,'Données projet'!$E$14+1,1))</f>
        <v>116.35584360635318</v>
      </c>
      <c r="DU4" s="62">
        <f>$DU$3</f>
        <v>86.38226293640173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5.666666666666667</v>
      </c>
      <c r="N5" s="14">
        <f>IF('Données projet'!$A$36&gt;35,N4+M5-V4,IF(A5&lt;'Données projet'!$A$36,$K$205^A5,IF(A5='Données projet'!$A$36,'Données projet'!$B$36,N4+M5-V4)))</f>
        <v>1.4083045900066495</v>
      </c>
      <c r="O5" s="14">
        <f>N5*VLOOKUP('Données projet'!$B$9,Paramètres!$A$1:$I$88,3,0)*VLOOKUP('Données projet'!$B$9,Paramètres!$A$1:$I$88,5,0)</f>
        <v>0.65908654812311196</v>
      </c>
      <c r="P5" s="14">
        <f t="shared" ref="P5:P68" si="33">EXP(-1.0587+0.8836*LN(O5)+0.284)</f>
        <v>0.31883765901680755</v>
      </c>
      <c r="Q5" s="22">
        <f t="shared" si="2"/>
        <v>1.7032179941020262</v>
      </c>
      <c r="R5" s="62">
        <f t="shared" si="0"/>
        <v>295.03655132743535</v>
      </c>
      <c r="S5" s="62">
        <f ca="1">AVERAGE(OFFSET($R$3,0,0,'Données projet'!$E$9+1,1))-AVERAGE(OFFSET($H$3,0,0,'Données projet'!$E$9+1,1))</f>
        <v>82.229723373996478</v>
      </c>
      <c r="T5" s="62">
        <f t="shared" ref="T5:T68" si="34">$T$3</f>
        <v>115.86489547584461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projet'!$B$10,Paramètres!$A$1:$I$88,3,0)*VLOOKUP('Données projet'!$B$10,Paramètres!$A$1:$I$88,5,0)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295.76719928637186</v>
      </c>
      <c r="AN5" s="62">
        <f ca="1">AVERAGE(OFFSET($AM$3,0,0,'Données projet'!$E$10+1,1))-AVERAGE(OFFSET($H$3,0,0,'Données projet'!$E$10+1,1))</f>
        <v>262.78347246606825</v>
      </c>
      <c r="AO5" s="62">
        <f t="shared" ref="AO5:AO68" si="36">$AO$3</f>
        <v>448.84541017639367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6.2222222222222223</v>
      </c>
      <c r="BD5" s="13">
        <f>IF('Données projet'!$A$88&gt;35,BD4+BC5-BL4,IF(A5&lt;'Données projet'!$A$88,$BA$205^A5,IF(A5='Données projet'!$A$88,'Données projet'!$B$88,BD4+BC5-BL4)))</f>
        <v>1.6892381903525915</v>
      </c>
      <c r="BE5" s="14">
        <f>BD5*VLOOKUP('Données projet'!$B$11,Paramètres!$A$1:$I$88,3,0)*VLOOKUP('Données projet'!$B$11,Paramètres!$A$1:$I$88,5,0)</f>
        <v>1.0540846307800171</v>
      </c>
      <c r="BF5" s="14">
        <f t="shared" ref="BF5:BF68" si="37">EXP(-1.0587+0.8836*LN(BE5)+0.284)</f>
        <v>0.48279730809434274</v>
      </c>
      <c r="BG5" s="22">
        <f t="shared" si="7"/>
        <v>2.6767360435395098</v>
      </c>
      <c r="BH5" s="62">
        <f t="shared" si="8"/>
        <v>296.01006937687282</v>
      </c>
      <c r="BI5" s="62">
        <f ca="1">AVERAGE(OFFSET($BH$3,0,0,'Données projet'!$E$11+1,1))-AVERAGE(OFFSET($H$3,0,0,'Données projet'!$E$11+1,1))</f>
        <v>135.14998708332445</v>
      </c>
      <c r="BJ5" s="62">
        <f t="shared" ref="BJ5:BJ68" si="38">$BJ$3</f>
        <v>245.50083454484513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5.5909090909090908</v>
      </c>
      <c r="BY5" s="13">
        <f>IF('Données projet'!$A$114&gt;35,BY4+BX5-CG4,IF(A5&lt;'Données projet'!$A$114,$BV$205^A5,IF(A5='Données projet'!$A$114,'Données projet'!$B$114,BY4+BX5-CG4)))</f>
        <v>1.5487858556387992</v>
      </c>
      <c r="BZ5" s="14">
        <f>BY5*VLOOKUP('Données projet'!$B$12,Paramètres!$A$1:$I$88,3,0)*VLOOKUP('Données projet'!$B$12,Paramètres!$A$1:$I$88,5,0)</f>
        <v>0.92617394167200195</v>
      </c>
      <c r="CA5" s="14">
        <f t="shared" ref="CA5:CA68" si="39">EXP(-1.0587+0.8836*LN(BZ5)+0.284)</f>
        <v>0.43064718121421069</v>
      </c>
      <c r="CB5" s="22">
        <f t="shared" si="10"/>
        <v>2.3631301223601535</v>
      </c>
      <c r="CC5" s="62">
        <f t="shared" si="11"/>
        <v>295.69646345569345</v>
      </c>
      <c r="CD5" s="62">
        <f ca="1">AVERAGE(OFFSET($CC$3,0,0,'Données projet'!$E$12+1,1))-AVERAGE(OFFSET($H$3,0,0,'Données projet'!$E$12+1,1))</f>
        <v>168.16583766359378</v>
      </c>
      <c r="CE5" s="62">
        <f t="shared" ref="CE5:CE68" si="40">$CE$3</f>
        <v>194.52809733694494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1.8</v>
      </c>
      <c r="CT5" s="13">
        <f>IF('Données projet'!$A$140&gt;35,CT4+CS5-DB4,IF(A5&lt;'Données projet'!$A$140,$CQ$205^A5,IF(A5='Données projet'!$A$140,'Données projet'!$B$140,CT4+CS5-DB4)))</f>
        <v>1.7826024579660036</v>
      </c>
      <c r="CU5" s="18">
        <f>CT5*VLOOKUP('Données projet'!$B$13,Paramètres!$A$1:$I$88,3,0)*VLOOKUP('Données projet'!$B$13,Paramètres!$A$1:$I$88,5,0)</f>
        <v>1.5572815072791011</v>
      </c>
      <c r="CV5" s="14">
        <f t="shared" ref="CV5:CV68" si="41">EXP(-1.0587+0.8836*LN(CU5)+0.284)</f>
        <v>0.68159698037116012</v>
      </c>
      <c r="CW5" s="22">
        <f t="shared" si="13"/>
        <v>3.8993800326575379</v>
      </c>
      <c r="CX5" s="62">
        <f t="shared" si="14"/>
        <v>297.23271336599083</v>
      </c>
      <c r="CY5" s="62">
        <f ca="1">AVERAGE(OFFSET($CX$3,0,0,'Données projet'!$E$13+1,1))-AVERAGE(OFFSET($H$3,0,0,'Données projet'!$E$13+1,1))</f>
        <v>146.09202487550647</v>
      </c>
      <c r="CZ5" s="62">
        <f t="shared" ref="CZ5:CZ68" si="42">$CZ$3</f>
        <v>168.58814676269344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1.4701771460582589</v>
      </c>
      <c r="DP5" s="18">
        <f>DO5*VLOOKUP('Données projet'!$B$14,Paramètres!$A$1:$I$88,3,0)*VLOOKUP('Données projet'!$B$14,Paramètres!$A$1:$I$88,5,0)</f>
        <v>1.0779338834899155</v>
      </c>
      <c r="DQ5" s="14">
        <f t="shared" ref="DQ5:DQ68" si="43">EXP(-1.0587+0.8836*LN(DP5)+0.284)</f>
        <v>0.49243676013539506</v>
      </c>
      <c r="DR5" s="22">
        <f t="shared" si="16"/>
        <v>2.7350622043140818</v>
      </c>
      <c r="DS5" s="62">
        <f t="shared" si="17"/>
        <v>296.0683955376474</v>
      </c>
      <c r="DT5" s="62">
        <f ca="1">AVERAGE(OFFSET($DS$3,0,0,'Données projet'!$E$14+1,1))-AVERAGE(OFFSET($H$3,0,0,'Données projet'!$E$14+1,1))</f>
        <v>116.35584360635318</v>
      </c>
      <c r="DU5" s="62">
        <f t="shared" ref="DU5:DU68" si="44">$DU$3</f>
        <v>86.38226293640173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5.666666666666667</v>
      </c>
      <c r="N6" s="14">
        <f>IF('Données projet'!$A$36&gt;35,N5+M6-V5,IF(A6&lt;'Données projet'!$A$36,$K$205^A6,IF(A6='Données projet'!$A$36,'Données projet'!$B$36,N5+M6-V5)))</f>
        <v>1.6712633604788296</v>
      </c>
      <c r="O6" s="14">
        <f>N6*VLOOKUP('Données projet'!$B$9,Paramètres!$A$1:$I$88,3,0)*VLOOKUP('Données projet'!$B$9,Paramètres!$A$1:$I$88,5,0)</f>
        <v>0.78215125270409225</v>
      </c>
      <c r="P6" s="14">
        <f t="shared" si="33"/>
        <v>0.37090592189177923</v>
      </c>
      <c r="Q6" s="22">
        <f t="shared" si="2"/>
        <v>2.0082412457544763</v>
      </c>
      <c r="R6" s="62">
        <f t="shared" si="0"/>
        <v>295.34157457908782</v>
      </c>
      <c r="S6" s="62">
        <f ca="1">AVERAGE(OFFSET($R$3,0,0,'Données projet'!$E$9+1,1))-AVERAGE(OFFSET($H$3,0,0,'Données projet'!$E$9+1,1))</f>
        <v>82.229723373996478</v>
      </c>
      <c r="T6" s="62">
        <f t="shared" si="34"/>
        <v>115.86489547584461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projet'!$B$10,Paramètres!$A$1:$I$88,3,0)*VLOOKUP('Données projet'!$B$10,Paramètres!$A$1:$I$88,5,0)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296.48359426836487</v>
      </c>
      <c r="AN6" s="62">
        <f ca="1">AVERAGE(OFFSET($AM$3,0,0,'Données projet'!$E$10+1,1))-AVERAGE(OFFSET($H$3,0,0,'Données projet'!$E$10+1,1))</f>
        <v>262.78347246606825</v>
      </c>
      <c r="AO6" s="62">
        <f t="shared" si="36"/>
        <v>448.84541017639367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6.2222222222222223</v>
      </c>
      <c r="BD6" s="13">
        <f>IF('Données projet'!$A$88&gt;35,BD5+BC6-BL5,IF(A6&lt;'Données projet'!$A$88,$BA$205^A6,IF(A6='Données projet'!$A$88,'Données projet'!$B$88,BD5+BC6-BL5)))</f>
        <v>2.1955146386099229</v>
      </c>
      <c r="BE6" s="14">
        <f>BD6*VLOOKUP('Données projet'!$B$11,Paramètres!$A$1:$I$88,3,0)*VLOOKUP('Données projet'!$B$11,Paramètres!$A$1:$I$88,5,0)</f>
        <v>1.3700011344925918</v>
      </c>
      <c r="BF6" s="14">
        <f t="shared" si="37"/>
        <v>0.60863745619068288</v>
      </c>
      <c r="BG6" s="22">
        <f t="shared" si="7"/>
        <v>3.4461288787733699</v>
      </c>
      <c r="BH6" s="62">
        <f t="shared" si="8"/>
        <v>296.77946221210669</v>
      </c>
      <c r="BI6" s="62">
        <f ca="1">AVERAGE(OFFSET($BH$3,0,0,'Données projet'!$E$11+1,1))-AVERAGE(OFFSET($H$3,0,0,'Données projet'!$E$11+1,1))</f>
        <v>135.14998708332445</v>
      </c>
      <c r="BJ6" s="62">
        <f t="shared" si="38"/>
        <v>245.50083454484513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5.5909090909090908</v>
      </c>
      <c r="BY6" s="13">
        <f>IF('Données projet'!$A$114&gt;35,BY5+BX6-CG5,IF(A6&lt;'Données projet'!$A$114,$BV$205^A6,IF(A6='Données projet'!$A$114,'Données projet'!$B$114,BY5+BX6-CG5)))</f>
        <v>1.927467485460697</v>
      </c>
      <c r="BZ6" s="14">
        <f>BY6*VLOOKUP('Données projet'!$B$12,Paramètres!$A$1:$I$88,3,0)*VLOOKUP('Données projet'!$B$12,Paramètres!$A$1:$I$88,5,0)</f>
        <v>1.152625556305497</v>
      </c>
      <c r="CA6" s="14">
        <f t="shared" si="39"/>
        <v>0.52246812247269758</v>
      </c>
      <c r="CB6" s="22">
        <f t="shared" si="10"/>
        <v>2.9174548238720219</v>
      </c>
      <c r="CC6" s="62">
        <f t="shared" si="11"/>
        <v>296.25078815720536</v>
      </c>
      <c r="CD6" s="62">
        <f ca="1">AVERAGE(OFFSET($CC$3,0,0,'Données projet'!$E$12+1,1))-AVERAGE(OFFSET($H$3,0,0,'Données projet'!$E$12+1,1))</f>
        <v>168.16583766359378</v>
      </c>
      <c r="CE6" s="62">
        <f t="shared" si="40"/>
        <v>194.52809733694494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1.8</v>
      </c>
      <c r="CT6" s="13">
        <f>IF('Données projet'!$A$140&gt;35,CT5+CS6-DB5,IF(A6&lt;'Données projet'!$A$140,$CQ$205^A6,IF(A6='Données projet'!$A$140,'Données projet'!$B$140,CT5+CS6-DB5)))</f>
        <v>2.3800262745964411</v>
      </c>
      <c r="CU6" s="18">
        <f>CT6*VLOOKUP('Données projet'!$B$13,Paramètres!$A$1:$I$88,3,0)*VLOOKUP('Données projet'!$B$13,Paramètres!$A$1:$I$88,5,0)</f>
        <v>2.0791909534874513</v>
      </c>
      <c r="CV6" s="14">
        <f t="shared" si="41"/>
        <v>0.87992070356451979</v>
      </c>
      <c r="CW6" s="22">
        <f t="shared" si="13"/>
        <v>5.1537861360321822</v>
      </c>
      <c r="CX6" s="62">
        <f t="shared" si="14"/>
        <v>298.4871194693655</v>
      </c>
      <c r="CY6" s="62">
        <f ca="1">AVERAGE(OFFSET($CX$3,0,0,'Données projet'!$E$13+1,1))-AVERAGE(OFFSET($H$3,0,0,'Données projet'!$E$13+1,1))</f>
        <v>146.09202487550647</v>
      </c>
      <c r="CZ6" s="62">
        <f t="shared" si="42"/>
        <v>168.58814676269344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1.7826024579660029</v>
      </c>
      <c r="DP6" s="18">
        <f>DO6*VLOOKUP('Données projet'!$B$14,Paramètres!$A$1:$I$88,3,0)*VLOOKUP('Données projet'!$B$14,Paramètres!$A$1:$I$88,5,0)</f>
        <v>1.3070041221806732</v>
      </c>
      <c r="DQ6" s="14">
        <f t="shared" si="43"/>
        <v>0.58384072369812545</v>
      </c>
      <c r="DR6" s="22">
        <f t="shared" si="16"/>
        <v>3.2932214399055741</v>
      </c>
      <c r="DS6" s="62">
        <f t="shared" si="17"/>
        <v>296.62655477323887</v>
      </c>
      <c r="DT6" s="62">
        <f ca="1">AVERAGE(OFFSET($DS$3,0,0,'Données projet'!$E$14+1,1))-AVERAGE(OFFSET($H$3,0,0,'Données projet'!$E$14+1,1))</f>
        <v>116.35584360635318</v>
      </c>
      <c r="DU6" s="62">
        <f t="shared" si="44"/>
        <v>86.38226293640173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5.666666666666667</v>
      </c>
      <c r="N7" s="14">
        <f>IF('Données projet'!$A$36&gt;35,N6+M7-V6,IF(A7&lt;'Données projet'!$A$36,$K$205^A7,IF(A7='Données projet'!$A$36,'Données projet'!$B$36,N6+M7-V6)))</f>
        <v>1.9833218182337973</v>
      </c>
      <c r="O7" s="14">
        <f>N7*VLOOKUP('Données projet'!$B$9,Paramètres!$A$1:$I$88,3,0)*VLOOKUP('Données projet'!$B$9,Paramètres!$A$1:$I$88,5,0)</f>
        <v>0.92819461093341715</v>
      </c>
      <c r="P7" s="14">
        <f t="shared" si="33"/>
        <v>0.43147727065433811</v>
      </c>
      <c r="Q7" s="22">
        <f t="shared" si="2"/>
        <v>2.3680951937653405</v>
      </c>
      <c r="R7" s="62">
        <f t="shared" si="0"/>
        <v>295.70142852709864</v>
      </c>
      <c r="S7" s="62">
        <f ca="1">AVERAGE(OFFSET($R$3,0,0,'Données projet'!$E$9+1,1))-AVERAGE(OFFSET($H$3,0,0,'Données projet'!$E$9+1,1))</f>
        <v>82.229723373996478</v>
      </c>
      <c r="T7" s="62">
        <f t="shared" si="34"/>
        <v>115.86489547584461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projet'!$B$10,Paramètres!$A$1:$I$88,3,0)*VLOOKUP('Données projet'!$B$10,Paramètres!$A$1:$I$88,5,0)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297.41170338354436</v>
      </c>
      <c r="AN7" s="62">
        <f ca="1">AVERAGE(OFFSET($AM$3,0,0,'Données projet'!$E$10+1,1))-AVERAGE(OFFSET($H$3,0,0,'Données projet'!$E$10+1,1))</f>
        <v>262.78347246606825</v>
      </c>
      <c r="AO7" s="62">
        <f t="shared" si="36"/>
        <v>448.84541017639367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6.2222222222222223</v>
      </c>
      <c r="BD7" s="13">
        <f>IF('Données projet'!$A$88&gt;35,BD6+BC7-BL6,IF(A7&lt;'Données projet'!$A$88,$BA$205^A7,IF(A7='Données projet'!$A$88,'Données projet'!$B$88,BD6+BC7-BL6)))</f>
        <v>2.8535256637456983</v>
      </c>
      <c r="BE7" s="14">
        <f>BD7*VLOOKUP('Données projet'!$B$11,Paramètres!$A$1:$I$88,3,0)*VLOOKUP('Données projet'!$B$11,Paramètres!$A$1:$I$88,5,0)</f>
        <v>1.7806000141773157</v>
      </c>
      <c r="BF7" s="14">
        <f t="shared" si="37"/>
        <v>0.76727758599241935</v>
      </c>
      <c r="BG7" s="22">
        <f t="shared" si="7"/>
        <v>4.4375534869622877</v>
      </c>
      <c r="BH7" s="62">
        <f t="shared" si="8"/>
        <v>297.77088682029563</v>
      </c>
      <c r="BI7" s="62">
        <f ca="1">AVERAGE(OFFSET($BH$3,0,0,'Données projet'!$E$11+1,1))-AVERAGE(OFFSET($H$3,0,0,'Données projet'!$E$11+1,1))</f>
        <v>135.14998708332445</v>
      </c>
      <c r="BJ7" s="62">
        <f t="shared" si="38"/>
        <v>245.50083454484513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5.5909090909090908</v>
      </c>
      <c r="BY7" s="13">
        <f>IF('Données projet'!$A$114&gt;35,BY6+BX7-CG6,IF(A7&lt;'Données projet'!$A$114,$BV$205^A7,IF(A7='Données projet'!$A$114,'Données projet'!$B$114,BY6+BX7-CG6)))</f>
        <v>2.3987376266268075</v>
      </c>
      <c r="BZ7" s="14">
        <f>BY7*VLOOKUP('Données projet'!$B$12,Paramètres!$A$1:$I$88,3,0)*VLOOKUP('Données projet'!$B$12,Paramètres!$A$1:$I$88,5,0)</f>
        <v>1.4344451007228309</v>
      </c>
      <c r="CA7" s="14">
        <f t="shared" si="39"/>
        <v>0.63386677286612625</v>
      </c>
      <c r="CB7" s="22">
        <f t="shared" si="10"/>
        <v>3.6023098465007668</v>
      </c>
      <c r="CC7" s="62">
        <f t="shared" si="11"/>
        <v>296.93564317983407</v>
      </c>
      <c r="CD7" s="62">
        <f ca="1">AVERAGE(OFFSET($CC$3,0,0,'Données projet'!$E$12+1,1))-AVERAGE(OFFSET($H$3,0,0,'Données projet'!$E$12+1,1))</f>
        <v>168.16583766359378</v>
      </c>
      <c r="CE7" s="62">
        <f t="shared" si="40"/>
        <v>194.52809733694494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1.8</v>
      </c>
      <c r="CT7" s="13">
        <f>IF('Données projet'!$A$140&gt;35,CT6+CS7-DB6,IF(A7&lt;'Données projet'!$A$140,$CQ$205^A7,IF(A7='Données projet'!$A$140,'Données projet'!$B$140,CT6+CS7-DB6)))</f>
        <v>3.1776715231464374</v>
      </c>
      <c r="CU7" s="18">
        <f>CT7*VLOOKUP('Données projet'!$B$13,Paramètres!$A$1:$I$88,3,0)*VLOOKUP('Données projet'!$B$13,Paramètres!$A$1:$I$88,5,0)</f>
        <v>2.7760138426207281</v>
      </c>
      <c r="CV7" s="14">
        <f t="shared" si="41"/>
        <v>1.135950520408497</v>
      </c>
      <c r="CW7" s="22">
        <f t="shared" si="13"/>
        <v>6.8133379322758998</v>
      </c>
      <c r="CX7" s="62">
        <f t="shared" si="14"/>
        <v>300.1466712656092</v>
      </c>
      <c r="CY7" s="62">
        <f ca="1">AVERAGE(OFFSET($CX$3,0,0,'Données projet'!$E$13+1,1))-AVERAGE(OFFSET($H$3,0,0,'Données projet'!$E$13+1,1))</f>
        <v>146.09202487550647</v>
      </c>
      <c r="CZ7" s="62">
        <f t="shared" si="42"/>
        <v>168.58814676269344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2.1614208407920072</v>
      </c>
      <c r="DP7" s="18">
        <f>DO7*VLOOKUP('Données projet'!$B$14,Paramètres!$A$1:$I$88,3,0)*VLOOKUP('Données projet'!$B$14,Paramètres!$A$1:$I$88,5,0)</f>
        <v>1.5847537604686999</v>
      </c>
      <c r="DQ7" s="14">
        <f t="shared" si="43"/>
        <v>0.69221069230215304</v>
      </c>
      <c r="DR7" s="22">
        <f t="shared" si="16"/>
        <v>3.9657130885759018</v>
      </c>
      <c r="DS7" s="62">
        <f t="shared" si="17"/>
        <v>297.29904642190922</v>
      </c>
      <c r="DT7" s="62">
        <f ca="1">AVERAGE(OFFSET($DS$3,0,0,'Données projet'!$E$14+1,1))-AVERAGE(OFFSET($H$3,0,0,'Données projet'!$E$14+1,1))</f>
        <v>116.35584360635318</v>
      </c>
      <c r="DU7" s="62">
        <f t="shared" si="44"/>
        <v>86.38226293640173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5.666666666666667</v>
      </c>
      <c r="N8" s="14">
        <f>IF('Données projet'!$A$36&gt;35,N7+M8-V7,IF(A8&lt;'Données projet'!$A$36,$K$205^A8,IF(A8='Données projet'!$A$36,'Données projet'!$B$36,N7+M8-V7)))</f>
        <v>2.3536478616722736</v>
      </c>
      <c r="O8" s="14">
        <f>N8*VLOOKUP('Données projet'!$B$9,Paramètres!$A$1:$I$88,3,0)*VLOOKUP('Données projet'!$B$9,Paramètres!$A$1:$I$88,5,0)</f>
        <v>1.101507199262624</v>
      </c>
      <c r="P8" s="14">
        <f t="shared" si="33"/>
        <v>0.50194031451899346</v>
      </c>
      <c r="Q8" s="22">
        <f t="shared" si="2"/>
        <v>2.7926710865029833</v>
      </c>
      <c r="R8" s="62">
        <f t="shared" si="0"/>
        <v>296.12600441983631</v>
      </c>
      <c r="S8" s="62">
        <f ca="1">AVERAGE(OFFSET($R$3,0,0,'Données projet'!$E$9+1,1))-AVERAGE(OFFSET($H$3,0,0,'Données projet'!$E$9+1,1))</f>
        <v>82.229723373996478</v>
      </c>
      <c r="T8" s="62">
        <f t="shared" si="34"/>
        <v>115.86489547584461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projet'!$B$10,Paramètres!$A$1:$I$88,3,0)*VLOOKUP('Données projet'!$B$10,Paramètres!$A$1:$I$88,5,0)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298.6143298092266</v>
      </c>
      <c r="AN8" s="62">
        <f ca="1">AVERAGE(OFFSET($AM$3,0,0,'Données projet'!$E$10+1,1))-AVERAGE(OFFSET($H$3,0,0,'Données projet'!$E$10+1,1))</f>
        <v>262.78347246606825</v>
      </c>
      <c r="AO8" s="62">
        <f t="shared" si="36"/>
        <v>448.84541017639367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6.2222222222222223</v>
      </c>
      <c r="BD8" s="13">
        <f>IF('Données projet'!$A$88&gt;35,BD7+BC8-BL7,IF(A8&lt;'Données projet'!$A$88,$BA$205^A8,IF(A8='Données projet'!$A$88,'Données projet'!$B$88,BD7+BC8-BL7)))</f>
        <v>3.7087471750180505</v>
      </c>
      <c r="BE8" s="14">
        <f>BD8*VLOOKUP('Données projet'!$B$11,Paramètres!$A$1:$I$88,3,0)*VLOOKUP('Données projet'!$B$11,Paramètres!$A$1:$I$88,5,0)</f>
        <v>2.3142582372112632</v>
      </c>
      <c r="BF8" s="14">
        <f t="shared" si="37"/>
        <v>0.96726694681425085</v>
      </c>
      <c r="BG8" s="22">
        <f t="shared" si="7"/>
        <v>5.7153230288444377</v>
      </c>
      <c r="BH8" s="62">
        <f t="shared" si="8"/>
        <v>299.04865636217778</v>
      </c>
      <c r="BI8" s="62">
        <f ca="1">AVERAGE(OFFSET($BH$3,0,0,'Données projet'!$E$11+1,1))-AVERAGE(OFFSET($H$3,0,0,'Données projet'!$E$11+1,1))</f>
        <v>135.14998708332445</v>
      </c>
      <c r="BJ8" s="62">
        <f t="shared" si="38"/>
        <v>245.50083454484513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5.5909090909090908</v>
      </c>
      <c r="BY8" s="13">
        <f>IF('Données projet'!$A$114&gt;35,BY7+BX8-CG7,IF(A8&lt;'Données projet'!$A$114,$BV$205^A8,IF(A8='Données projet'!$A$114,'Données projet'!$B$114,BY7+BX8-CG7)))</f>
        <v>2.9852343786852105</v>
      </c>
      <c r="BZ8" s="14">
        <f>BY8*VLOOKUP('Données projet'!$B$12,Paramètres!$A$1:$I$88,3,0)*VLOOKUP('Données projet'!$B$12,Paramètres!$A$1:$I$88,5,0)</f>
        <v>1.785170158453756</v>
      </c>
      <c r="CA8" s="14">
        <f t="shared" si="39"/>
        <v>0.7690174164926461</v>
      </c>
      <c r="CB8" s="22">
        <f t="shared" si="10"/>
        <v>4.4485433596983173</v>
      </c>
      <c r="CC8" s="62">
        <f t="shared" si="11"/>
        <v>297.78187669303162</v>
      </c>
      <c r="CD8" s="62">
        <f ca="1">AVERAGE(OFFSET($CC$3,0,0,'Données projet'!$E$12+1,1))-AVERAGE(OFFSET($H$3,0,0,'Données projet'!$E$12+1,1))</f>
        <v>168.16583766359378</v>
      </c>
      <c r="CE8" s="62">
        <f t="shared" si="40"/>
        <v>194.52809733694494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1.8</v>
      </c>
      <c r="CT8" s="13">
        <f>IF('Données projet'!$A$140&gt;35,CT7+CS8-DB7,IF(A8&lt;'Données projet'!$A$140,$CQ$205^A8,IF(A8='Données projet'!$A$140,'Données projet'!$B$140,CT7+CS8-DB7)))</f>
        <v>4.2426406871192865</v>
      </c>
      <c r="CU8" s="18">
        <f>CT8*VLOOKUP('Données projet'!$B$13,Paramètres!$A$1:$I$88,3,0)*VLOOKUP('Données projet'!$B$13,Paramètres!$A$1:$I$88,5,0)</f>
        <v>3.7063709042674091</v>
      </c>
      <c r="CV8" s="14">
        <f t="shared" si="41"/>
        <v>1.4664771263922398</v>
      </c>
      <c r="CW8" s="22">
        <f t="shared" si="13"/>
        <v>9.0093769867322209</v>
      </c>
      <c r="CX8" s="62">
        <f t="shared" si="14"/>
        <v>302.34271032006552</v>
      </c>
      <c r="CY8" s="62">
        <f ca="1">AVERAGE(OFFSET($CX$3,0,0,'Données projet'!$E$13+1,1))-AVERAGE(OFFSET($H$3,0,0,'Données projet'!$E$13+1,1))</f>
        <v>146.09202487550647</v>
      </c>
      <c r="CZ8" s="62">
        <f t="shared" si="42"/>
        <v>168.58814676269344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2.620741394208896</v>
      </c>
      <c r="DP8" s="18">
        <f>DO8*VLOOKUP('Données projet'!$B$14,Paramètres!$A$1:$I$88,3,0)*VLOOKUP('Données projet'!$B$14,Paramètres!$A$1:$I$88,5,0)</f>
        <v>1.9215275902339624</v>
      </c>
      <c r="DQ8" s="14">
        <f t="shared" si="43"/>
        <v>0.82069582180288758</v>
      </c>
      <c r="DR8" s="22">
        <f t="shared" si="16"/>
        <v>4.7760391092975141</v>
      </c>
      <c r="DS8" s="62">
        <f t="shared" si="17"/>
        <v>298.10937244263084</v>
      </c>
      <c r="DT8" s="62">
        <f ca="1">AVERAGE(OFFSET($DS$3,0,0,'Données projet'!$E$14+1,1))-AVERAGE(OFFSET($H$3,0,0,'Données projet'!$E$14+1,1))</f>
        <v>116.35584360635318</v>
      </c>
      <c r="DU8" s="62">
        <f t="shared" si="44"/>
        <v>86.38226293640173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5.666666666666667</v>
      </c>
      <c r="N9" s="14">
        <f>IF('Données projet'!$A$36&gt;35,N8+M9-V8,IF(A9&lt;'Données projet'!$A$36,$K$205^A9,IF(A9='Données projet'!$A$36,'Données projet'!$B$36,N8+M9-V8)))</f>
        <v>2.7931212200789908</v>
      </c>
      <c r="O9" s="14">
        <f>N9*VLOOKUP('Données projet'!$B$9,Paramètres!$A$1:$I$88,3,0)*VLOOKUP('Données projet'!$B$9,Paramètres!$A$1:$I$88,5,0)</f>
        <v>1.3071807309969676</v>
      </c>
      <c r="P9" s="14">
        <f t="shared" si="33"/>
        <v>0.58391043161404843</v>
      </c>
      <c r="Q9" s="22">
        <f t="shared" si="2"/>
        <v>3.2936504415475194</v>
      </c>
      <c r="R9" s="62">
        <f t="shared" si="0"/>
        <v>296.62698377488084</v>
      </c>
      <c r="S9" s="62">
        <f ca="1">AVERAGE(OFFSET($R$3,0,0,'Données projet'!$E$9+1,1))-AVERAGE(OFFSET($H$3,0,0,'Données projet'!$E$9+1,1))</f>
        <v>82.229723373996478</v>
      </c>
      <c r="T9" s="62">
        <f t="shared" si="34"/>
        <v>115.86489547584461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projet'!$B$10,Paramètres!$A$1:$I$88,3,0)*VLOOKUP('Données projet'!$B$10,Paramètres!$A$1:$I$88,5,0)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300.17297217271317</v>
      </c>
      <c r="AN9" s="62">
        <f ca="1">AVERAGE(OFFSET($AM$3,0,0,'Données projet'!$E$10+1,1))-AVERAGE(OFFSET($H$3,0,0,'Données projet'!$E$10+1,1))</f>
        <v>262.78347246606825</v>
      </c>
      <c r="AO9" s="62">
        <f t="shared" si="36"/>
        <v>448.84541017639367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6.2222222222222223</v>
      </c>
      <c r="BD9" s="13">
        <f>IF('Données projet'!$A$88&gt;35,BD8+BC9-BL8,IF(A9&lt;'Données projet'!$A$88,$BA$205^A9,IF(A9='Données projet'!$A$88,'Données projet'!$B$88,BD8+BC9-BL8)))</f>
        <v>4.8202845283504612</v>
      </c>
      <c r="BE9" s="14">
        <f>BD9*VLOOKUP('Données projet'!$B$11,Paramètres!$A$1:$I$88,3,0)*VLOOKUP('Données projet'!$B$11,Paramètres!$A$1:$I$88,5,0)</f>
        <v>3.0078575456906878</v>
      </c>
      <c r="BF9" s="14">
        <f t="shared" si="37"/>
        <v>1.2193831326236693</v>
      </c>
      <c r="BG9" s="22">
        <f t="shared" si="7"/>
        <v>7.3624441813975059</v>
      </c>
      <c r="BH9" s="62">
        <f t="shared" si="8"/>
        <v>300.69577751473082</v>
      </c>
      <c r="BI9" s="62">
        <f ca="1">AVERAGE(OFFSET($BH$3,0,0,'Données projet'!$E$11+1,1))-AVERAGE(OFFSET($H$3,0,0,'Données projet'!$E$11+1,1))</f>
        <v>135.14998708332445</v>
      </c>
      <c r="BJ9" s="62">
        <f t="shared" si="38"/>
        <v>245.50083454484513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5.5909090909090908</v>
      </c>
      <c r="BY9" s="13">
        <f>IF('Données projet'!$A$114&gt;35,BY8+BX9-CG8,IF(A9&lt;'Données projet'!$A$114,$BV$205^A9,IF(A9='Données projet'!$A$114,'Données projet'!$B$114,BY8+BX9-CG8)))</f>
        <v>3.7151309075081826</v>
      </c>
      <c r="BZ9" s="14">
        <f>BY9*VLOOKUP('Données projet'!$B$12,Paramètres!$A$1:$I$88,3,0)*VLOOKUP('Données projet'!$B$12,Paramètres!$A$1:$I$88,5,0)</f>
        <v>2.2216482826898933</v>
      </c>
      <c r="CA9" s="14">
        <f t="shared" si="39"/>
        <v>0.93298436230530435</v>
      </c>
      <c r="CB9" s="22">
        <f t="shared" si="10"/>
        <v>5.4943185233666361</v>
      </c>
      <c r="CC9" s="62">
        <f t="shared" si="11"/>
        <v>298.82765185669996</v>
      </c>
      <c r="CD9" s="62">
        <f ca="1">AVERAGE(OFFSET($CC$3,0,0,'Données projet'!$E$12+1,1))-AVERAGE(OFFSET($H$3,0,0,'Données projet'!$E$12+1,1))</f>
        <v>168.16583766359378</v>
      </c>
      <c r="CE9" s="62">
        <f t="shared" si="40"/>
        <v>194.52809733694494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1.8</v>
      </c>
      <c r="CT9" s="13">
        <f>IF('Données projet'!$A$140&gt;35,CT8+CS9-DB8,IF(A9&lt;'Données projet'!$A$140,$CQ$205^A9,IF(A9='Données projet'!$A$140,'Données projet'!$B$140,CT8+CS9-DB8)))</f>
        <v>5.6645250677694134</v>
      </c>
      <c r="CU9" s="18">
        <f>CT9*VLOOKUP('Données projet'!$B$13,Paramètres!$A$1:$I$88,3,0)*VLOOKUP('Données projet'!$B$13,Paramètres!$A$1:$I$88,5,0)</f>
        <v>4.9485290992033608</v>
      </c>
      <c r="CV9" s="14">
        <f t="shared" si="41"/>
        <v>1.8931767921179217</v>
      </c>
      <c r="CW9" s="22">
        <f t="shared" si="13"/>
        <v>11.915971094051232</v>
      </c>
      <c r="CX9" s="62">
        <f t="shared" si="14"/>
        <v>305.24930442738457</v>
      </c>
      <c r="CY9" s="62">
        <f ca="1">AVERAGE(OFFSET($CX$3,0,0,'Données projet'!$E$13+1,1))-AVERAGE(OFFSET($H$3,0,0,'Données projet'!$E$13+1,1))</f>
        <v>146.09202487550647</v>
      </c>
      <c r="CZ9" s="62">
        <f t="shared" si="42"/>
        <v>168.58814676269344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3.1776715231464356</v>
      </c>
      <c r="DP9" s="18">
        <f>DO9*VLOOKUP('Données projet'!$B$14,Paramètres!$A$1:$I$88,3,0)*VLOOKUP('Données projet'!$B$14,Paramètres!$A$1:$I$88,5,0)</f>
        <v>2.3298687607709665</v>
      </c>
      <c r="DQ9" s="14">
        <f t="shared" si="43"/>
        <v>0.97302980062999844</v>
      </c>
      <c r="DR9" s="22">
        <f t="shared" si="16"/>
        <v>5.7525483277733462</v>
      </c>
      <c r="DS9" s="62">
        <f t="shared" si="17"/>
        <v>299.08588166110667</v>
      </c>
      <c r="DT9" s="62">
        <f ca="1">AVERAGE(OFFSET($DS$3,0,0,'Données projet'!$E$14+1,1))-AVERAGE(OFFSET($H$3,0,0,'Données projet'!$E$14+1,1))</f>
        <v>116.35584360635318</v>
      </c>
      <c r="DU9" s="62">
        <f t="shared" si="44"/>
        <v>86.38226293640173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5.666666666666667</v>
      </c>
      <c r="N10" s="14">
        <f>IF('Données projet'!$A$36&gt;35,N9+M10-V9,IF(A10&lt;'Données projet'!$A$36,$K$205^A10,IF(A10='Données projet'!$A$36,'Données projet'!$B$36,N9+M10-V9)))</f>
        <v>3.3146530868523985</v>
      </c>
      <c r="O10" s="14">
        <f>N10*VLOOKUP('Données projet'!$B$9,Paramètres!$A$1:$I$88,3,0)*VLOOKUP('Données projet'!$B$9,Paramètres!$A$1:$I$88,5,0)</f>
        <v>1.5512576446469224</v>
      </c>
      <c r="P10" s="14">
        <f t="shared" si="33"/>
        <v>0.67926680181972632</v>
      </c>
      <c r="Q10" s="22">
        <f t="shared" si="2"/>
        <v>3.8848300775960793</v>
      </c>
      <c r="R10" s="62">
        <f t="shared" si="0"/>
        <v>297.21816341092938</v>
      </c>
      <c r="S10" s="62">
        <f ca="1">AVERAGE(OFFSET($R$3,0,0,'Données projet'!$E$9+1,1))-AVERAGE(OFFSET($H$3,0,0,'Données projet'!$E$9+1,1))</f>
        <v>82.229723373996478</v>
      </c>
      <c r="T10" s="62">
        <f t="shared" si="34"/>
        <v>115.86489547584461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projet'!$B$10,Paramètres!$A$1:$I$88,3,0)*VLOOKUP('Données projet'!$B$10,Paramètres!$A$1:$I$88,5,0)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302.19340794970827</v>
      </c>
      <c r="AN10" s="62">
        <f ca="1">AVERAGE(OFFSET($AM$3,0,0,'Données projet'!$E$10+1,1))-AVERAGE(OFFSET($H$3,0,0,'Données projet'!$E$10+1,1))</f>
        <v>262.78347246606825</v>
      </c>
      <c r="AO10" s="62">
        <f t="shared" si="36"/>
        <v>448.84541017639367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6.2222222222222223</v>
      </c>
      <c r="BD10" s="13">
        <f>IF('Données projet'!$A$88&gt;35,BD9+BC10-BL9,IF(A10&lt;'Données projet'!$A$88,$BA$205^A10,IF(A10='Données projet'!$A$88,'Données projet'!$B$88,BD9+BC10-BL9)))</f>
        <v>6.2649573664027773</v>
      </c>
      <c r="BE10" s="14">
        <f>BD10*VLOOKUP('Données projet'!$B$11,Paramètres!$A$1:$I$88,3,0)*VLOOKUP('Données projet'!$B$11,Paramètres!$A$1:$I$88,5,0)</f>
        <v>3.9093333966353332</v>
      </c>
      <c r="BF10" s="14">
        <f t="shared" si="37"/>
        <v>1.5372128955964925</v>
      </c>
      <c r="BG10" s="22">
        <f t="shared" si="7"/>
        <v>9.4860681256370967</v>
      </c>
      <c r="BH10" s="62">
        <f t="shared" si="8"/>
        <v>302.81940145897039</v>
      </c>
      <c r="BI10" s="62">
        <f ca="1">AVERAGE(OFFSET($BH$3,0,0,'Données projet'!$E$11+1,1))-AVERAGE(OFFSET($H$3,0,0,'Données projet'!$E$11+1,1))</f>
        <v>135.14998708332445</v>
      </c>
      <c r="BJ10" s="62">
        <f t="shared" si="38"/>
        <v>245.50083454484513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5.5909090909090908</v>
      </c>
      <c r="BY10" s="13">
        <f>IF('Données projet'!$A$114&gt;35,BY9+BX10-CG9,IF(A10&lt;'Données projet'!$A$114,$BV$205^A10,IF(A10='Données projet'!$A$114,'Données projet'!$B$114,BY9+BX10-CG9)))</f>
        <v>4.6234887814743333</v>
      </c>
      <c r="BZ10" s="14">
        <f>BY10*VLOOKUP('Données projet'!$B$12,Paramètres!$A$1:$I$88,3,0)*VLOOKUP('Données projet'!$B$12,Paramètres!$A$1:$I$88,5,0)</f>
        <v>2.7648462913216516</v>
      </c>
      <c r="CA10" s="14">
        <f t="shared" si="39"/>
        <v>1.1319117118000401</v>
      </c>
      <c r="CB10" s="22">
        <f t="shared" si="10"/>
        <v>6.7868535221036126</v>
      </c>
      <c r="CC10" s="62">
        <f t="shared" si="11"/>
        <v>300.12018685543694</v>
      </c>
      <c r="CD10" s="62">
        <f ca="1">AVERAGE(OFFSET($CC$3,0,0,'Données projet'!$E$12+1,1))-AVERAGE(OFFSET($H$3,0,0,'Données projet'!$E$12+1,1))</f>
        <v>168.16583766359378</v>
      </c>
      <c r="CE10" s="62">
        <f t="shared" si="40"/>
        <v>194.52809733694494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1.8</v>
      </c>
      <c r="CT10" s="13">
        <f>IF('Données projet'!$A$140&gt;35,CT9+CS10-DB9,IF(A10&lt;'Données projet'!$A$140,$CQ$205^A10,IF(A10='Données projet'!$A$140,'Données projet'!$B$140,CT9+CS10-DB9)))</f>
        <v>7.5629417171254145</v>
      </c>
      <c r="CU10" s="18">
        <f>CT10*VLOOKUP('Données projet'!$B$13,Paramètres!$A$1:$I$88,3,0)*VLOOKUP('Données projet'!$B$13,Paramètres!$A$1:$I$88,5,0)</f>
        <v>6.6069858840807631</v>
      </c>
      <c r="CV10" s="14">
        <f t="shared" si="41"/>
        <v>2.4440329151477385</v>
      </c>
      <c r="CW10" s="22">
        <f t="shared" si="13"/>
        <v>15.763857741989639</v>
      </c>
      <c r="CX10" s="62">
        <f t="shared" si="14"/>
        <v>309.09719107532294</v>
      </c>
      <c r="CY10" s="62">
        <f ca="1">AVERAGE(OFFSET($CX$3,0,0,'Données projet'!$E$13+1,1))-AVERAGE(OFFSET($H$3,0,0,'Données projet'!$E$13+1,1))</f>
        <v>146.09202487550647</v>
      </c>
      <c r="CZ10" s="62">
        <f t="shared" si="42"/>
        <v>168.58814676269344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3.8529541034947767</v>
      </c>
      <c r="DP10" s="18">
        <f>DO10*VLOOKUP('Données projet'!$B$14,Paramètres!$A$1:$I$88,3,0)*VLOOKUP('Données projet'!$B$14,Paramètres!$A$1:$I$88,5,0)</f>
        <v>2.8249859486823703</v>
      </c>
      <c r="DQ10" s="14">
        <f t="shared" si="43"/>
        <v>1.1536393481742999</v>
      </c>
      <c r="DR10" s="22">
        <f t="shared" si="16"/>
        <v>6.9294390586920329</v>
      </c>
      <c r="DS10" s="62">
        <f t="shared" si="17"/>
        <v>300.26277239202534</v>
      </c>
      <c r="DT10" s="62">
        <f ca="1">AVERAGE(OFFSET($DS$3,0,0,'Données projet'!$E$14+1,1))-AVERAGE(OFFSET($H$3,0,0,'Données projet'!$E$14+1,1))</f>
        <v>116.35584360635318</v>
      </c>
      <c r="DU10" s="62">
        <f t="shared" si="44"/>
        <v>86.38226293640173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5.666666666666667</v>
      </c>
      <c r="N11" s="14">
        <f>IF('Données projet'!$A$36&gt;35,N10+M11-V10,IF(A11&lt;'Données projet'!$A$36,$K$205^A11,IF(A11='Données projet'!$A$36,'Données projet'!$B$36,N10+M11-V10)))</f>
        <v>3.9335654346822158</v>
      </c>
      <c r="O11" s="14">
        <f>N11*VLOOKUP('Données projet'!$B$9,Paramètres!$A$1:$I$88,3,0)*VLOOKUP('Données projet'!$B$9,Paramètres!$A$1:$I$88,5,0)</f>
        <v>1.8409086234312768</v>
      </c>
      <c r="P11" s="14">
        <f t="shared" si="33"/>
        <v>0.79019548730956168</v>
      </c>
      <c r="Q11" s="22">
        <f t="shared" si="2"/>
        <v>4.5825063262069596</v>
      </c>
      <c r="R11" s="62">
        <f t="shared" si="0"/>
        <v>297.91583965954027</v>
      </c>
      <c r="S11" s="62">
        <f ca="1">AVERAGE(OFFSET($R$3,0,0,'Données projet'!$E$9+1,1))-AVERAGE(OFFSET($H$3,0,0,'Données projet'!$E$9+1,1))</f>
        <v>82.229723373996478</v>
      </c>
      <c r="T11" s="62">
        <f t="shared" si="34"/>
        <v>115.86489547584461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projet'!$B$10,Paramètres!$A$1:$I$88,3,0)*VLOOKUP('Données projet'!$B$10,Paramètres!$A$1:$I$88,5,0)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304.81294932254156</v>
      </c>
      <c r="AN11" s="62">
        <f ca="1">AVERAGE(OFFSET($AM$3,0,0,'Données projet'!$E$10+1,1))-AVERAGE(OFFSET($H$3,0,0,'Données projet'!$E$10+1,1))</f>
        <v>262.78347246606825</v>
      </c>
      <c r="AO11" s="62">
        <f t="shared" si="36"/>
        <v>448.84541017639367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6.2222222222222223</v>
      </c>
      <c r="BD11" s="13">
        <f>IF('Données projet'!$A$88&gt;35,BD10+BC11-BL10,IF(A11&lt;'Données projet'!$A$88,$BA$205^A11,IF(A11='Données projet'!$A$88,'Données projet'!$B$88,BD10+BC11-BL10)))</f>
        <v>8.1426087136553278</v>
      </c>
      <c r="BE11" s="14">
        <f>BD11*VLOOKUP('Données projet'!$B$11,Paramètres!$A$1:$I$88,3,0)*VLOOKUP('Données projet'!$B$11,Paramètres!$A$1:$I$88,5,0)</f>
        <v>5.080987837320925</v>
      </c>
      <c r="BF11" s="14">
        <f t="shared" si="37"/>
        <v>1.9378843475584122</v>
      </c>
      <c r="BG11" s="22">
        <f t="shared" si="7"/>
        <v>12.224535721998178</v>
      </c>
      <c r="BH11" s="62">
        <f t="shared" si="8"/>
        <v>305.55786905533148</v>
      </c>
      <c r="BI11" s="62">
        <f ca="1">AVERAGE(OFFSET($BH$3,0,0,'Données projet'!$E$11+1,1))-AVERAGE(OFFSET($H$3,0,0,'Données projet'!$E$11+1,1))</f>
        <v>135.14998708332445</v>
      </c>
      <c r="BJ11" s="62">
        <f t="shared" si="38"/>
        <v>245.50083454484513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5.5909090909090908</v>
      </c>
      <c r="BY11" s="13">
        <f>IF('Données projet'!$A$114&gt;35,BY10+BX11-CG10,IF(A11&lt;'Données projet'!$A$114,$BV$205^A11,IF(A11='Données projet'!$A$114,'Données projet'!$B$114,BY10+BX11-CG10)))</f>
        <v>5.7539422013952093</v>
      </c>
      <c r="BZ11" s="14">
        <f>BY11*VLOOKUP('Données projet'!$B$12,Paramètres!$A$1:$I$88,3,0)*VLOOKUP('Données projet'!$B$12,Paramètres!$A$1:$I$88,5,0)</f>
        <v>3.4408574364343356</v>
      </c>
      <c r="CA11" s="14">
        <f t="shared" si="39"/>
        <v>1.3732535882427113</v>
      </c>
      <c r="CB11" s="22">
        <f t="shared" si="10"/>
        <v>8.3845767013125236</v>
      </c>
      <c r="CC11" s="62">
        <f t="shared" si="11"/>
        <v>301.71791003464585</v>
      </c>
      <c r="CD11" s="62">
        <f ca="1">AVERAGE(OFFSET($CC$3,0,0,'Données projet'!$E$12+1,1))-AVERAGE(OFFSET($H$3,0,0,'Données projet'!$E$12+1,1))</f>
        <v>168.16583766359378</v>
      </c>
      <c r="CE11" s="62">
        <f t="shared" si="40"/>
        <v>194.52809733694494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1.8</v>
      </c>
      <c r="CT11" s="13">
        <f>IF('Données projet'!$A$140&gt;35,CT10+CS11-DB10,IF(A11&lt;'Données projet'!$A$140,$CQ$205^A11,IF(A11='Données projet'!$A$140,'Données projet'!$B$140,CT10+CS11-DB10)))</f>
        <v>10.097596309015799</v>
      </c>
      <c r="CU11" s="18">
        <f>CT11*VLOOKUP('Données projet'!$B$13,Paramètres!$A$1:$I$88,3,0)*VLOOKUP('Données projet'!$B$13,Paramètres!$A$1:$I$88,5,0)</f>
        <v>8.8212601355562033</v>
      </c>
      <c r="CV11" s="14">
        <f t="shared" si="41"/>
        <v>3.1551711996443523</v>
      </c>
      <c r="CW11" s="22">
        <f t="shared" si="13"/>
        <v>20.858951242140964</v>
      </c>
      <c r="CX11" s="62">
        <f t="shared" si="14"/>
        <v>314.19228457547428</v>
      </c>
      <c r="CY11" s="62">
        <f ca="1">AVERAGE(OFFSET($CX$3,0,0,'Données projet'!$E$13+1,1))-AVERAGE(OFFSET($H$3,0,0,'Données projet'!$E$13+1,1))</f>
        <v>146.09202487550647</v>
      </c>
      <c r="CZ11" s="62">
        <f t="shared" si="42"/>
        <v>168.58814676269344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4.671740051010028</v>
      </c>
      <c r="DP11" s="18">
        <f>DO11*VLOOKUP('Données projet'!$B$14,Paramètres!$A$1:$I$88,3,0)*VLOOKUP('Données projet'!$B$14,Paramètres!$A$1:$I$88,5,0)</f>
        <v>3.4253198054005525</v>
      </c>
      <c r="DQ11" s="14">
        <f t="shared" si="43"/>
        <v>1.3677728521719776</v>
      </c>
      <c r="DR11" s="22">
        <f t="shared" si="16"/>
        <v>8.3479697119388234</v>
      </c>
      <c r="DS11" s="62">
        <f t="shared" si="17"/>
        <v>301.68130304527216</v>
      </c>
      <c r="DT11" s="62">
        <f ca="1">AVERAGE(OFFSET($DS$3,0,0,'Données projet'!$E$14+1,1))-AVERAGE(OFFSET($H$3,0,0,'Données projet'!$E$14+1,1))</f>
        <v>116.35584360635318</v>
      </c>
      <c r="DU11" s="62">
        <f t="shared" si="44"/>
        <v>86.38226293640173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5.666666666666667</v>
      </c>
      <c r="N12" s="14">
        <f>IF('Données projet'!$A$36&gt;35,N11+M12-V11,IF(A12&lt;'Données projet'!$A$36,$K$205^A12,IF(A12='Données projet'!$A$36,'Données projet'!$B$36,N11+M12-V11)))</f>
        <v>4.6680411564939428</v>
      </c>
      <c r="O12" s="14">
        <f>N12*VLOOKUP('Données projet'!$B$9,Paramètres!$A$1:$I$88,3,0)*VLOOKUP('Données projet'!$B$9,Paramètres!$A$1:$I$88,5,0)</f>
        <v>2.1846432612391653</v>
      </c>
      <c r="P12" s="14">
        <f t="shared" si="33"/>
        <v>0.91923954842431754</v>
      </c>
      <c r="Q12" s="22">
        <f t="shared" si="2"/>
        <v>5.4059292268305654</v>
      </c>
      <c r="R12" s="62">
        <f t="shared" si="0"/>
        <v>298.73926256016387</v>
      </c>
      <c r="S12" s="62">
        <f ca="1">AVERAGE(OFFSET($R$3,0,0,'Données projet'!$E$9+1,1))-AVERAGE(OFFSET($H$3,0,0,'Données projet'!$E$9+1,1))</f>
        <v>82.229723373996478</v>
      </c>
      <c r="T12" s="62">
        <f t="shared" si="34"/>
        <v>115.86489547584461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projet'!$B$10,Paramètres!$A$1:$I$88,3,0)*VLOOKUP('Données projet'!$B$10,Paramètres!$A$1:$I$88,5,0)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308.2098738353186</v>
      </c>
      <c r="AN12" s="62">
        <f ca="1">AVERAGE(OFFSET($AM$3,0,0,'Données projet'!$E$10+1,1))-AVERAGE(OFFSET($H$3,0,0,'Données projet'!$E$10+1,1))</f>
        <v>262.78347246606825</v>
      </c>
      <c r="AO12" s="62">
        <f t="shared" si="36"/>
        <v>448.84541017639367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6.2222222222222223</v>
      </c>
      <c r="BD12" s="13">
        <f>IF('Données projet'!$A$88&gt;35,BD11+BC12-BL11,IF(A12&lt;'Données projet'!$A$88,$BA$205^A12,IF(A12='Données projet'!$A$88,'Données projet'!$B$88,BD11+BC12-BL11)))</f>
        <v>10.583005244258365</v>
      </c>
      <c r="BE12" s="14">
        <f>BD12*VLOOKUP('Données projet'!$B$11,Paramètres!$A$1:$I$88,3,0)*VLOOKUP('Données projet'!$B$11,Paramètres!$A$1:$I$88,5,0)</f>
        <v>6.6037952724172193</v>
      </c>
      <c r="BF12" s="14">
        <f t="shared" si="37"/>
        <v>2.4429900082608067</v>
      </c>
      <c r="BG12" s="22">
        <f t="shared" si="7"/>
        <v>15.75648436384756</v>
      </c>
      <c r="BH12" s="62">
        <f t="shared" si="8"/>
        <v>309.08981769718088</v>
      </c>
      <c r="BI12" s="62">
        <f ca="1">AVERAGE(OFFSET($BH$3,0,0,'Données projet'!$E$11+1,1))-AVERAGE(OFFSET($H$3,0,0,'Données projet'!$E$11+1,1))</f>
        <v>135.14998708332445</v>
      </c>
      <c r="BJ12" s="62">
        <f t="shared" si="38"/>
        <v>245.50083454484513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5.5909090909090908</v>
      </c>
      <c r="BY12" s="13">
        <f>IF('Données projet'!$A$114&gt;35,BY11+BX12-CG11,IF(A12&lt;'Données projet'!$A$114,$BV$205^A12,IF(A12='Données projet'!$A$114,'Données projet'!$B$114,BY11+BX12-CG11)))</f>
        <v>7.1607940284521145</v>
      </c>
      <c r="BZ12" s="14">
        <f>BY12*VLOOKUP('Données projet'!$B$12,Paramètres!$A$1:$I$88,3,0)*VLOOKUP('Données projet'!$B$12,Paramètres!$A$1:$I$88,5,0)</f>
        <v>4.2821548290143649</v>
      </c>
      <c r="CA12" s="14">
        <f t="shared" si="39"/>
        <v>1.6660534544894132</v>
      </c>
      <c r="CB12" s="22">
        <f t="shared" si="10"/>
        <v>10.359796093769079</v>
      </c>
      <c r="CC12" s="62">
        <f t="shared" si="11"/>
        <v>303.69312942710241</v>
      </c>
      <c r="CD12" s="62">
        <f ca="1">AVERAGE(OFFSET($CC$3,0,0,'Données projet'!$E$12+1,1))-AVERAGE(OFFSET($H$3,0,0,'Données projet'!$E$12+1,1))</f>
        <v>168.16583766359378</v>
      </c>
      <c r="CE12" s="62">
        <f t="shared" si="40"/>
        <v>194.52809733694494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1.8</v>
      </c>
      <c r="CT12" s="13">
        <f>IF('Données projet'!$A$140&gt;35,CT11+CS12-DB11,IF(A12&lt;'Données projet'!$A$140,$CQ$205^A12,IF(A12='Données projet'!$A$140,'Données projet'!$B$140,CT11+CS12-DB11)))</f>
        <v>13.48171849440139</v>
      </c>
      <c r="CU12" s="18">
        <f>CT12*VLOOKUP('Données projet'!$B$13,Paramètres!$A$1:$I$88,3,0)*VLOOKUP('Données projet'!$B$13,Paramètres!$A$1:$I$88,5,0)</f>
        <v>11.777629276709055</v>
      </c>
      <c r="CV12" s="14">
        <f t="shared" si="41"/>
        <v>4.0732288167499631</v>
      </c>
      <c r="CW12" s="22">
        <f t="shared" si="13"/>
        <v>27.606911179441123</v>
      </c>
      <c r="CX12" s="62">
        <f t="shared" si="14"/>
        <v>320.94024451277443</v>
      </c>
      <c r="CY12" s="62">
        <f ca="1">AVERAGE(OFFSET($CX$3,0,0,'Données projet'!$E$13+1,1))-AVERAGE(OFFSET($H$3,0,0,'Données projet'!$E$13+1,1))</f>
        <v>146.09202487550647</v>
      </c>
      <c r="CZ12" s="62">
        <f t="shared" si="42"/>
        <v>168.58814676269344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5.6645250677694099</v>
      </c>
      <c r="DP12" s="18">
        <f>DO12*VLOOKUP('Données projet'!$B$14,Paramètres!$A$1:$I$88,3,0)*VLOOKUP('Données projet'!$B$14,Paramètres!$A$1:$I$88,5,0)</f>
        <v>4.1532297796885311</v>
      </c>
      <c r="DQ12" s="14">
        <f t="shared" si="43"/>
        <v>1.621652883198998</v>
      </c>
      <c r="DR12" s="22">
        <f t="shared" si="16"/>
        <v>10.057920637862447</v>
      </c>
      <c r="DS12" s="62">
        <f t="shared" si="17"/>
        <v>303.39125397119574</v>
      </c>
      <c r="DT12" s="62">
        <f ca="1">AVERAGE(OFFSET($DS$3,0,0,'Données projet'!$E$14+1,1))-AVERAGE(OFFSET($H$3,0,0,'Données projet'!$E$14+1,1))</f>
        <v>116.35584360635318</v>
      </c>
      <c r="DU12" s="62">
        <f t="shared" si="44"/>
        <v>86.38226293640173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5.666666666666667</v>
      </c>
      <c r="N13" s="14">
        <f>IF('Données projet'!$A$36&gt;35,N12+M13-V12,IF(A13&lt;'Données projet'!$A$36,$K$205^A13,IF(A13='Données projet'!$A$36,'Données projet'!$B$36,N12+M13-V12)))</f>
        <v>5.5396582567544659</v>
      </c>
      <c r="O13" s="14">
        <f>N13*VLOOKUP('Données projet'!$B$9,Paramètres!$A$1:$I$88,3,0)*VLOOKUP('Données projet'!$B$9,Paramètres!$A$1:$I$88,5,0)</f>
        <v>2.59256006416109</v>
      </c>
      <c r="P13" s="14">
        <f t="shared" si="33"/>
        <v>1.069357343793981</v>
      </c>
      <c r="Q13" s="22">
        <f t="shared" si="2"/>
        <v>6.377839485521748</v>
      </c>
      <c r="R13" s="62">
        <f t="shared" si="0"/>
        <v>299.71117281885506</v>
      </c>
      <c r="S13" s="62">
        <f ca="1">AVERAGE(OFFSET($R$3,0,0,'Données projet'!$E$9+1,1))-AVERAGE(OFFSET($H$3,0,0,'Données projet'!$E$9+1,1))</f>
        <v>82.229723373996478</v>
      </c>
      <c r="T13" s="62">
        <f t="shared" si="34"/>
        <v>115.86489547584461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projet'!$B$10,Paramètres!$A$1:$I$88,3,0)*VLOOKUP('Données projet'!$B$10,Paramètres!$A$1:$I$88,5,0)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312.61568343797188</v>
      </c>
      <c r="AN13" s="62">
        <f ca="1">AVERAGE(OFFSET($AM$3,0,0,'Données projet'!$E$10+1,1))-AVERAGE(OFFSET($H$3,0,0,'Données projet'!$E$10+1,1))</f>
        <v>262.78347246606825</v>
      </c>
      <c r="AO13" s="62">
        <f t="shared" si="36"/>
        <v>448.84541017639367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6.2222222222222223</v>
      </c>
      <c r="BD13" s="13">
        <f>IF('Données projet'!$A$88&gt;35,BD12+BC13-BL12,IF(A13&lt;'Données projet'!$A$88,$BA$205^A13,IF(A13='Données projet'!$A$88,'Données projet'!$B$88,BD12+BC13-BL12)))</f>
        <v>13.754805608204368</v>
      </c>
      <c r="BE13" s="14">
        <f>BD13*VLOOKUP('Données projet'!$B$11,Paramètres!$A$1:$I$88,3,0)*VLOOKUP('Données projet'!$B$11,Paramètres!$A$1:$I$88,5,0)</f>
        <v>8.5829986995195267</v>
      </c>
      <c r="BF13" s="14">
        <f t="shared" si="37"/>
        <v>3.0797504443346257</v>
      </c>
      <c r="BG13" s="22">
        <f t="shared" si="7"/>
        <v>20.312621425545984</v>
      </c>
      <c r="BH13" s="62">
        <f t="shared" si="8"/>
        <v>313.64595475887927</v>
      </c>
      <c r="BI13" s="62">
        <f ca="1">AVERAGE(OFFSET($BH$3,0,0,'Données projet'!$E$11+1,1))-AVERAGE(OFFSET($H$3,0,0,'Données projet'!$E$11+1,1))</f>
        <v>135.14998708332445</v>
      </c>
      <c r="BJ13" s="62">
        <f t="shared" si="38"/>
        <v>245.50083454484513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5.5909090909090908</v>
      </c>
      <c r="BY13" s="13">
        <f>IF('Données projet'!$A$114&gt;35,BY12+BX13-CG12,IF(A13&lt;'Données projet'!$A$114,$BV$205^A13,IF(A13='Données projet'!$A$114,'Données projet'!$B$114,BY12+BX13-CG12)))</f>
        <v>8.9116242956840761</v>
      </c>
      <c r="BZ13" s="14">
        <f>BY13*VLOOKUP('Données projet'!$B$12,Paramètres!$A$1:$I$88,3,0)*VLOOKUP('Données projet'!$B$12,Paramètres!$A$1:$I$88,5,0)</f>
        <v>5.3291513288190782</v>
      </c>
      <c r="CA13" s="14">
        <f t="shared" si="39"/>
        <v>2.0212829858817885</v>
      </c>
      <c r="CB13" s="22">
        <f t="shared" si="10"/>
        <v>12.802006431437341</v>
      </c>
      <c r="CC13" s="62">
        <f t="shared" si="11"/>
        <v>306.13533976477066</v>
      </c>
      <c r="CD13" s="62">
        <f ca="1">AVERAGE(OFFSET($CC$3,0,0,'Données projet'!$E$12+1,1))-AVERAGE(OFFSET($H$3,0,0,'Données projet'!$E$12+1,1))</f>
        <v>168.16583766359378</v>
      </c>
      <c r="CE13" s="62">
        <f t="shared" si="40"/>
        <v>194.52809733694494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18</v>
      </c>
      <c r="CR13" s="13">
        <f>VLOOKUP(A13,'Données projet'!$A$139:$I$159,9,0)</f>
        <v>1.8</v>
      </c>
      <c r="CS13" s="13">
        <f t="array" ref="CS13">INDEX(CR:CR,MIN(IF(ISNUMBER(CR13:CR209),ROW(CR13:CR209),"")))</f>
        <v>1.8</v>
      </c>
      <c r="CT13" s="13">
        <f>IF('Données projet'!$A$140&gt;35,CT12+CS13-DB12,IF(A13&lt;'Données projet'!$A$140,$CQ$205^A13,IF(A13='Données projet'!$A$140,'Données projet'!$B$140,CT12+CS13-DB12)))</f>
        <v>18</v>
      </c>
      <c r="CU13" s="18">
        <f>CT13*VLOOKUP('Données projet'!$B$13,Paramètres!$A$1:$I$88,3,0)*VLOOKUP('Données projet'!$B$13,Paramètres!$A$1:$I$88,5,0)</f>
        <v>15.724800000000004</v>
      </c>
      <c r="CV13" s="14">
        <f t="shared" si="41"/>
        <v>5.2584129176484753</v>
      </c>
      <c r="CW13" s="22">
        <f t="shared" si="13"/>
        <v>36.545762498237771</v>
      </c>
      <c r="CX13" s="62">
        <f t="shared" si="14"/>
        <v>329.87909583157108</v>
      </c>
      <c r="CY13" s="62">
        <f ca="1">AVERAGE(OFFSET($CX$3,0,0,'Données projet'!$E$13+1,1))-AVERAGE(OFFSET($H$3,0,0,'Données projet'!$E$13+1,1))</f>
        <v>146.09202487550647</v>
      </c>
      <c r="CZ13" s="62">
        <f t="shared" si="42"/>
        <v>168.58814676269344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6.8682854553199881</v>
      </c>
      <c r="DP13" s="18">
        <f>DO13*VLOOKUP('Données projet'!$B$14,Paramètres!$A$1:$I$88,3,0)*VLOOKUP('Données projet'!$B$14,Paramètres!$A$1:$I$88,5,0)</f>
        <v>5.0358268958406152</v>
      </c>
      <c r="DQ13" s="14">
        <f t="shared" si="43"/>
        <v>1.9226570182407523</v>
      </c>
      <c r="DR13" s="22">
        <f t="shared" si="16"/>
        <v>12.119359483691715</v>
      </c>
      <c r="DS13" s="62">
        <f t="shared" si="17"/>
        <v>305.45269281702502</v>
      </c>
      <c r="DT13" s="62">
        <f ca="1">AVERAGE(OFFSET($DS$3,0,0,'Données projet'!$E$14+1,1))-AVERAGE(OFFSET($H$3,0,0,'Données projet'!$E$14+1,1))</f>
        <v>116.35584360635318</v>
      </c>
      <c r="DU13" s="62">
        <f t="shared" si="44"/>
        <v>86.38226293640173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5.666666666666667</v>
      </c>
      <c r="N14" s="14">
        <f>IF('Données projet'!$A$36&gt;35,N13+M14-V13,IF(A14&lt;'Données projet'!$A$36,$K$205^A14,IF(A14='Données projet'!$A$36,'Données projet'!$B$36,N13+M14-V13)))</f>
        <v>6.5740237870303684</v>
      </c>
      <c r="O14" s="14">
        <f>N14*VLOOKUP('Données projet'!$B$9,Paramètres!$A$1:$I$88,3,0)*VLOOKUP('Données projet'!$B$9,Paramètres!$A$1:$I$88,5,0)</f>
        <v>3.0766431323302124</v>
      </c>
      <c r="P14" s="14">
        <f t="shared" si="33"/>
        <v>1.24399035124876</v>
      </c>
      <c r="Q14" s="22">
        <f t="shared" si="2"/>
        <v>7.5251033172333761</v>
      </c>
      <c r="R14" s="62">
        <f t="shared" si="0"/>
        <v>300.85843665056672</v>
      </c>
      <c r="S14" s="62">
        <f ca="1">AVERAGE(OFFSET($R$3,0,0,'Données projet'!$E$9+1,1))-AVERAGE(OFFSET($H$3,0,0,'Données projet'!$E$9+1,1))</f>
        <v>82.229723373996478</v>
      </c>
      <c r="T14" s="62">
        <f t="shared" si="34"/>
        <v>115.86489547584461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projet'!$B$10,Paramètres!$A$1:$I$88,3,0)*VLOOKUP('Données projet'!$B$10,Paramètres!$A$1:$I$88,5,0)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318.33104241120049</v>
      </c>
      <c r="AN14" s="62">
        <f ca="1">AVERAGE(OFFSET($AM$3,0,0,'Données projet'!$E$10+1,1))-AVERAGE(OFFSET($H$3,0,0,'Données projet'!$E$10+1,1))</f>
        <v>262.78347246606825</v>
      </c>
      <c r="AO14" s="62">
        <f t="shared" si="36"/>
        <v>448.84541017639367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6.2222222222222223</v>
      </c>
      <c r="BD14" s="13">
        <f>IF('Données projet'!$A$88&gt;35,BD13+BC14-BL13,IF(A14&lt;'Données projet'!$A$88,$BA$205^A14,IF(A14='Données projet'!$A$88,'Données projet'!$B$88,BD13+BC14-BL13)))</f>
        <v>17.877216627302985</v>
      </c>
      <c r="BE14" s="14">
        <f>BD14*VLOOKUP('Données projet'!$B$11,Paramètres!$A$1:$I$88,3,0)*VLOOKUP('Données projet'!$B$11,Paramètres!$A$1:$I$88,5,0)</f>
        <v>11.155383175437063</v>
      </c>
      <c r="BF14" s="14">
        <f t="shared" si="37"/>
        <v>3.8824812083990929</v>
      </c>
      <c r="BG14" s="22">
        <f t="shared" si="7"/>
        <v>26.1909471351813</v>
      </c>
      <c r="BH14" s="62">
        <f t="shared" si="8"/>
        <v>319.52428046851463</v>
      </c>
      <c r="BI14" s="62">
        <f ca="1">AVERAGE(OFFSET($BH$3,0,0,'Données projet'!$E$11+1,1))-AVERAGE(OFFSET($H$3,0,0,'Données projet'!$E$11+1,1))</f>
        <v>135.14998708332445</v>
      </c>
      <c r="BJ14" s="62">
        <f t="shared" si="38"/>
        <v>245.50083454484513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5.5909090909090908</v>
      </c>
      <c r="BY14" s="13">
        <f>IF('Données projet'!$A$114&gt;35,BY13+BX14-CG13,IF(A14&lt;'Données projet'!$A$114,$BV$205^A14,IF(A14='Données projet'!$A$114,'Données projet'!$B$114,BY13+BX14-CG13)))</f>
        <v>11.090536506409412</v>
      </c>
      <c r="BZ14" s="14">
        <f>BY14*VLOOKUP('Données projet'!$B$12,Paramètres!$A$1:$I$88,3,0)*VLOOKUP('Données projet'!$B$12,Paramètres!$A$1:$I$88,5,0)</f>
        <v>6.6321408308328289</v>
      </c>
      <c r="CA14" s="14">
        <f t="shared" si="39"/>
        <v>2.4522531963221348</v>
      </c>
      <c r="CB14" s="22">
        <f t="shared" si="10"/>
        <v>15.821986263961561</v>
      </c>
      <c r="CC14" s="62">
        <f t="shared" si="11"/>
        <v>309.15531959729486</v>
      </c>
      <c r="CD14" s="62">
        <f ca="1">AVERAGE(OFFSET($CC$3,0,0,'Données projet'!$E$12+1,1))-AVERAGE(OFFSET($H$3,0,0,'Données projet'!$E$12+1,1))</f>
        <v>168.16583766359378</v>
      </c>
      <c r="CE14" s="62">
        <f t="shared" si="40"/>
        <v>194.52809733694494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5.8</v>
      </c>
      <c r="CT14" s="13">
        <f>IF('Données projet'!$A$140&gt;35,CT13+CS14-DB13,IF(A14&lt;'Données projet'!$A$140,$CQ$205^A14,IF(A14='Données projet'!$A$140,'Données projet'!$B$140,CT13+CS14-DB13)))</f>
        <v>23.8</v>
      </c>
      <c r="CU14" s="18">
        <f>CT14*VLOOKUP('Données projet'!$B$13,Paramètres!$A$1:$I$88,3,0)*VLOOKUP('Données projet'!$B$13,Paramètres!$A$1:$I$88,5,0)</f>
        <v>20.791680000000003</v>
      </c>
      <c r="CV14" s="14">
        <f t="shared" si="41"/>
        <v>6.7303755760501467</v>
      </c>
      <c r="CW14" s="22">
        <f t="shared" si="13"/>
        <v>47.934246794954014</v>
      </c>
      <c r="CX14" s="62">
        <f t="shared" si="14"/>
        <v>341.26758012828731</v>
      </c>
      <c r="CY14" s="62">
        <f ca="1">AVERAGE(OFFSET($CX$3,0,0,'Données projet'!$E$13+1,1))-AVERAGE(OFFSET($H$3,0,0,'Données projet'!$E$13+1,1))</f>
        <v>146.09202487550647</v>
      </c>
      <c r="CZ14" s="62">
        <f t="shared" si="42"/>
        <v>168.58814676269344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8.3278552979086964</v>
      </c>
      <c r="DP14" s="18">
        <f>DO14*VLOOKUP('Données projet'!$B$14,Paramètres!$A$1:$I$88,3,0)*VLOOKUP('Données projet'!$B$14,Paramètres!$A$1:$I$88,5,0)</f>
        <v>6.1059835044266562</v>
      </c>
      <c r="DQ14" s="14">
        <f t="shared" si="43"/>
        <v>2.2795322279439976</v>
      </c>
      <c r="DR14" s="22">
        <f t="shared" si="16"/>
        <v>14.604773233878888</v>
      </c>
      <c r="DS14" s="62">
        <f t="shared" si="17"/>
        <v>307.93810656721223</v>
      </c>
      <c r="DT14" s="62">
        <f ca="1">AVERAGE(OFFSET($DS$3,0,0,'Données projet'!$E$14+1,1))-AVERAGE(OFFSET($H$3,0,0,'Données projet'!$E$14+1,1))</f>
        <v>116.35584360635318</v>
      </c>
      <c r="DU14" s="62">
        <f t="shared" si="44"/>
        <v>86.38226293640173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5.666666666666667</v>
      </c>
      <c r="N15" s="14">
        <f>IF('Données projet'!$A$36&gt;35,N14+M15-V14,IF(A15&lt;'Données projet'!$A$36,$K$205^A15,IF(A15='Données projet'!$A$36,'Données projet'!$B$36,N14+M15-V14)))</f>
        <v>7.8015261500555493</v>
      </c>
      <c r="O15" s="14">
        <f>N15*VLOOKUP('Données projet'!$B$9,Paramètres!$A$1:$I$88,3,0)*VLOOKUP('Données projet'!$B$9,Paramètres!$A$1:$I$88,5,0)</f>
        <v>3.6511142382259969</v>
      </c>
      <c r="P15" s="14">
        <f t="shared" si="33"/>
        <v>1.4471420643258348</v>
      </c>
      <c r="Q15" s="22">
        <f t="shared" si="2"/>
        <v>8.8794630602777733</v>
      </c>
      <c r="R15" s="62">
        <f t="shared" si="0"/>
        <v>302.21279639361109</v>
      </c>
      <c r="S15" s="62">
        <f ca="1">AVERAGE(OFFSET($R$3,0,0,'Données projet'!$E$9+1,1))-AVERAGE(OFFSET($H$3,0,0,'Données projet'!$E$9+1,1))</f>
        <v>82.229723373996478</v>
      </c>
      <c r="T15" s="62">
        <f t="shared" si="34"/>
        <v>115.86489547584461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projet'!$B$10,Paramètres!$A$1:$I$88,3,0)*VLOOKUP('Données projet'!$B$10,Paramètres!$A$1:$I$88,5,0)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325.74650101186751</v>
      </c>
      <c r="AN15" s="62">
        <f ca="1">AVERAGE(OFFSET($AM$3,0,0,'Données projet'!$E$10+1,1))-AVERAGE(OFFSET($H$3,0,0,'Données projet'!$E$10+1,1))</f>
        <v>262.78347246606825</v>
      </c>
      <c r="AO15" s="62">
        <f t="shared" si="36"/>
        <v>448.84541017639367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6.2222222222222223</v>
      </c>
      <c r="BD15" s="13">
        <f>IF('Données projet'!$A$88&gt;35,BD14+BC15-BL14,IF(A15&lt;'Données projet'!$A$88,$BA$205^A15,IF(A15='Données projet'!$A$88,'Données projet'!$B$88,BD14+BC15-BL14)))</f>
        <v>23.235142934254824</v>
      </c>
      <c r="BE15" s="14">
        <f>BD15*VLOOKUP('Données projet'!$B$11,Paramètres!$A$1:$I$88,3,0)*VLOOKUP('Données projet'!$B$11,Paramètres!$A$1:$I$88,5,0)</f>
        <v>14.498729190975009</v>
      </c>
      <c r="BF15" s="14">
        <f t="shared" si="37"/>
        <v>4.8944421329010357</v>
      </c>
      <c r="BG15" s="22">
        <f t="shared" si="7"/>
        <v>33.776440055750776</v>
      </c>
      <c r="BH15" s="62">
        <f t="shared" si="8"/>
        <v>327.10977338908407</v>
      </c>
      <c r="BI15" s="62">
        <f ca="1">AVERAGE(OFFSET($BH$3,0,0,'Données projet'!$E$11+1,1))-AVERAGE(OFFSET($H$3,0,0,'Données projet'!$E$11+1,1))</f>
        <v>135.14998708332445</v>
      </c>
      <c r="BJ15" s="62">
        <f t="shared" si="38"/>
        <v>245.50083454484513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5.5909090909090908</v>
      </c>
      <c r="BY15" s="13">
        <f>IF('Données projet'!$A$114&gt;35,BY14+BX15-CG14,IF(A15&lt;'Données projet'!$A$114,$BV$205^A15,IF(A15='Données projet'!$A$114,'Données projet'!$B$114,BY14+BX15-CG14)))</f>
        <v>13.802197659922571</v>
      </c>
      <c r="BZ15" s="14">
        <f>BY15*VLOOKUP('Données projet'!$B$12,Paramètres!$A$1:$I$88,3,0)*VLOOKUP('Données projet'!$B$12,Paramètres!$A$1:$I$88,5,0)</f>
        <v>8.2537142006336985</v>
      </c>
      <c r="CA15" s="14">
        <f t="shared" si="39"/>
        <v>2.9751132230743558</v>
      </c>
      <c r="CB15" s="22">
        <f t="shared" si="10"/>
        <v>19.556874429624859</v>
      </c>
      <c r="CC15" s="62">
        <f t="shared" si="11"/>
        <v>312.8902077629582</v>
      </c>
      <c r="CD15" s="62">
        <f ca="1">AVERAGE(OFFSET($CC$3,0,0,'Données projet'!$E$12+1,1))-AVERAGE(OFFSET($H$3,0,0,'Données projet'!$E$12+1,1))</f>
        <v>168.16583766359378</v>
      </c>
      <c r="CE15" s="62">
        <f t="shared" si="40"/>
        <v>194.52809733694494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5.8</v>
      </c>
      <c r="CT15" s="13">
        <f>IF('Données projet'!$A$140&gt;35,CT14+CS15-DB14,IF(A15&lt;'Données projet'!$A$140,$CQ$205^A15,IF(A15='Données projet'!$A$140,'Données projet'!$B$140,CT14+CS15-DB14)))</f>
        <v>29.6</v>
      </c>
      <c r="CU15" s="18">
        <f>CT15*VLOOKUP('Données projet'!$B$13,Paramètres!$A$1:$I$88,3,0)*VLOOKUP('Données projet'!$B$13,Paramètres!$A$1:$I$88,5,0)</f>
        <v>25.858560000000008</v>
      </c>
      <c r="CV15" s="14">
        <f t="shared" si="41"/>
        <v>8.1607346448714608</v>
      </c>
      <c r="CW15" s="22">
        <f t="shared" si="13"/>
        <v>59.250271506484466</v>
      </c>
      <c r="CX15" s="62">
        <f t="shared" si="14"/>
        <v>352.58360483981778</v>
      </c>
      <c r="CY15" s="62">
        <f ca="1">AVERAGE(OFFSET($CX$3,0,0,'Données projet'!$E$13+1,1))-AVERAGE(OFFSET($H$3,0,0,'Données projet'!$E$13+1,1))</f>
        <v>146.09202487550647</v>
      </c>
      <c r="CZ15" s="62">
        <f t="shared" si="42"/>
        <v>168.58814676269344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10.09759630901579</v>
      </c>
      <c r="DP15" s="18">
        <f>DO15*VLOOKUP('Données projet'!$B$14,Paramètres!$A$1:$I$88,3,0)*VLOOKUP('Données projet'!$B$14,Paramètres!$A$1:$I$88,5,0)</f>
        <v>7.4035576137703778</v>
      </c>
      <c r="DQ15" s="14">
        <f t="shared" si="43"/>
        <v>2.7026490574954209</v>
      </c>
      <c r="DR15" s="22">
        <f t="shared" si="16"/>
        <v>17.601643285787933</v>
      </c>
      <c r="DS15" s="62">
        <f t="shared" si="17"/>
        <v>310.93497661912124</v>
      </c>
      <c r="DT15" s="62">
        <f ca="1">AVERAGE(OFFSET($DS$3,0,0,'Données projet'!$E$14+1,1))-AVERAGE(OFFSET($H$3,0,0,'Données projet'!$E$14+1,1))</f>
        <v>116.35584360635318</v>
      </c>
      <c r="DU15" s="62">
        <f t="shared" si="44"/>
        <v>86.38226293640173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5.666666666666667</v>
      </c>
      <c r="N16" s="14">
        <f>IF('Données projet'!$A$36&gt;35,N15+M16-V15,IF(A16&lt;'Données projet'!$A$36,$K$205^A16,IF(A16='Données projet'!$A$36,'Données projet'!$B$36,N15+M16-V15)))</f>
        <v>9.2582278740877637</v>
      </c>
      <c r="O16" s="14">
        <f>N16*VLOOKUP('Données projet'!$B$9,Paramètres!$A$1:$I$88,3,0)*VLOOKUP('Données projet'!$B$9,Paramètres!$A$1:$I$88,5,0)</f>
        <v>4.3328506450730728</v>
      </c>
      <c r="P16" s="14">
        <f t="shared" si="33"/>
        <v>1.683469773088665</v>
      </c>
      <c r="Q16" s="22">
        <f t="shared" si="2"/>
        <v>10.478424728298359</v>
      </c>
      <c r="R16" s="62">
        <f t="shared" si="0"/>
        <v>303.81175806163168</v>
      </c>
      <c r="S16" s="62">
        <f ca="1">AVERAGE(OFFSET($R$3,0,0,'Données projet'!$E$9+1,1))-AVERAGE(OFFSET($H$3,0,0,'Données projet'!$E$9+1,1))</f>
        <v>82.229723373996478</v>
      </c>
      <c r="T16" s="62">
        <f t="shared" si="34"/>
        <v>115.86489547584461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projet'!$B$10,Paramètres!$A$1:$I$88,3,0)*VLOOKUP('Données projet'!$B$10,Paramètres!$A$1:$I$88,5,0)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335.36944545714709</v>
      </c>
      <c r="AN16" s="62">
        <f ca="1">AVERAGE(OFFSET($AM$3,0,0,'Données projet'!$E$10+1,1))-AVERAGE(OFFSET($H$3,0,0,'Données projet'!$E$10+1,1))</f>
        <v>262.78347246606825</v>
      </c>
      <c r="AO16" s="62">
        <f t="shared" si="36"/>
        <v>448.84541017639367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6.2222222222222223</v>
      </c>
      <c r="BD16" s="13">
        <f>IF('Données projet'!$A$88&gt;35,BD15+BC16-BL15,IF(A16&lt;'Données projet'!$A$88,$BA$205^A16,IF(A16='Données projet'!$A$88,'Données projet'!$B$88,BD15+BC16-BL15)))</f>
        <v>30.19887706404656</v>
      </c>
      <c r="BE16" s="14">
        <f>BD16*VLOOKUP('Données projet'!$B$11,Paramètres!$A$1:$I$88,3,0)*VLOOKUP('Données projet'!$B$11,Paramètres!$A$1:$I$88,5,0)</f>
        <v>18.844099287965054</v>
      </c>
      <c r="BF16" s="14">
        <f t="shared" si="37"/>
        <v>6.1701686386769925</v>
      </c>
      <c r="BG16" s="22">
        <f t="shared" si="7"/>
        <v>43.566516638901568</v>
      </c>
      <c r="BH16" s="62">
        <f t="shared" si="8"/>
        <v>336.8998499722349</v>
      </c>
      <c r="BI16" s="62">
        <f ca="1">AVERAGE(OFFSET($BH$3,0,0,'Données projet'!$E$11+1,1))-AVERAGE(OFFSET($H$3,0,0,'Données projet'!$E$11+1,1))</f>
        <v>135.14998708332445</v>
      </c>
      <c r="BJ16" s="62">
        <f t="shared" si="38"/>
        <v>245.50083454484513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5.5909090909090908</v>
      </c>
      <c r="BY16" s="13">
        <f>IF('Données projet'!$A$114&gt;35,BY15+BX16-CG15,IF(A16&lt;'Données projet'!$A$114,$BV$205^A16,IF(A16='Données projet'!$A$114,'Données projet'!$B$114,BY15+BX16-CG15)))</f>
        <v>17.17686607257264</v>
      </c>
      <c r="BZ16" s="14">
        <f>BY16*VLOOKUP('Données projet'!$B$12,Paramètres!$A$1:$I$88,3,0)*VLOOKUP('Données projet'!$B$12,Paramètres!$A$1:$I$88,5,0)</f>
        <v>10.27176591139844</v>
      </c>
      <c r="CA16" s="14">
        <f t="shared" si="39"/>
        <v>3.609455460548272</v>
      </c>
      <c r="CB16" s="22">
        <f t="shared" si="10"/>
        <v>24.176460556140523</v>
      </c>
      <c r="CC16" s="62">
        <f t="shared" si="11"/>
        <v>317.50979388947383</v>
      </c>
      <c r="CD16" s="62">
        <f ca="1">AVERAGE(OFFSET($CC$3,0,0,'Données projet'!$E$12+1,1))-AVERAGE(OFFSET($H$3,0,0,'Données projet'!$E$12+1,1))</f>
        <v>168.16583766359378</v>
      </c>
      <c r="CE16" s="62">
        <f t="shared" si="40"/>
        <v>194.52809733694494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5.8</v>
      </c>
      <c r="CT16" s="13">
        <f>IF('Données projet'!$A$140&gt;35,CT15+CS16-DB15,IF(A16&lt;'Données projet'!$A$140,$CQ$205^A16,IF(A16='Données projet'!$A$140,'Données projet'!$B$140,CT15+CS16-DB15)))</f>
        <v>35.4</v>
      </c>
      <c r="CU16" s="18">
        <f>CT16*VLOOKUP('Données projet'!$B$13,Paramètres!$A$1:$I$88,3,0)*VLOOKUP('Données projet'!$B$13,Paramètres!$A$1:$I$88,5,0)</f>
        <v>30.925440000000002</v>
      </c>
      <c r="CV16" s="14">
        <f t="shared" si="41"/>
        <v>9.5586196975402125</v>
      </c>
      <c r="CW16" s="22">
        <f t="shared" si="13"/>
        <v>70.509737306549212</v>
      </c>
      <c r="CX16" s="62">
        <f t="shared" si="14"/>
        <v>363.84307063988251</v>
      </c>
      <c r="CY16" s="62">
        <f ca="1">AVERAGE(OFFSET($CX$3,0,0,'Données projet'!$E$13+1,1))-AVERAGE(OFFSET($H$3,0,0,'Données projet'!$E$13+1,1))</f>
        <v>146.09202487550647</v>
      </c>
      <c r="CZ16" s="62">
        <f t="shared" si="42"/>
        <v>168.58814676269344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12.243422534665559</v>
      </c>
      <c r="DP16" s="18">
        <f>DO16*VLOOKUP('Données projet'!$B$14,Paramètres!$A$1:$I$88,3,0)*VLOOKUP('Données projet'!$B$14,Paramètres!$A$1:$I$88,5,0)</f>
        <v>8.9768774024167879</v>
      </c>
      <c r="DQ16" s="14">
        <f t="shared" si="43"/>
        <v>3.2043029874462192</v>
      </c>
      <c r="DR16" s="22">
        <f t="shared" si="16"/>
        <v>21.215555845678072</v>
      </c>
      <c r="DS16" s="62">
        <f t="shared" si="17"/>
        <v>314.54888917901138</v>
      </c>
      <c r="DT16" s="62">
        <f ca="1">AVERAGE(OFFSET($DS$3,0,0,'Données projet'!$E$14+1,1))-AVERAGE(OFFSET($H$3,0,0,'Données projet'!$E$14+1,1))</f>
        <v>116.35584360635318</v>
      </c>
      <c r="DU16" s="62">
        <f t="shared" si="44"/>
        <v>86.38226293640173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5.666666666666667</v>
      </c>
      <c r="N17" s="14">
        <f>IF('Données projet'!$A$36&gt;35,N16+M17-V16,IF(A17&lt;'Données projet'!$A$36,$K$205^A17,IF(A17='Données projet'!$A$36,'Données projet'!$B$36,N16+M17-V16)))</f>
        <v>10.986925086180136</v>
      </c>
      <c r="O17" s="14">
        <f>N17*VLOOKUP('Données projet'!$B$9,Paramètres!$A$1:$I$88,3,0)*VLOOKUP('Données projet'!$B$9,Paramètres!$A$1:$I$88,5,0)</f>
        <v>5.141880940332304</v>
      </c>
      <c r="P17" s="14">
        <f t="shared" si="33"/>
        <v>1.95839133335087</v>
      </c>
      <c r="Q17" s="22">
        <f t="shared" si="2"/>
        <v>12.366307543331528</v>
      </c>
      <c r="R17" s="62">
        <f t="shared" si="0"/>
        <v>305.69964087666483</v>
      </c>
      <c r="S17" s="62">
        <f ca="1">AVERAGE(OFFSET($R$3,0,0,'Données projet'!$E$9+1,1))-AVERAGE(OFFSET($H$3,0,0,'Données projet'!$E$9+1,1))</f>
        <v>82.229723373996478</v>
      </c>
      <c r="T17" s="62">
        <f t="shared" si="34"/>
        <v>115.86489547584461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projet'!$B$10,Paramètres!$A$1:$I$88,3,0)*VLOOKUP('Données projet'!$B$10,Paramètres!$A$1:$I$88,5,0)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347.85914950897904</v>
      </c>
      <c r="AN17" s="62">
        <f ca="1">AVERAGE(OFFSET($AM$3,0,0,'Données projet'!$E$10+1,1))-AVERAGE(OFFSET($H$3,0,0,'Données projet'!$E$10+1,1))</f>
        <v>262.78347246606825</v>
      </c>
      <c r="AO17" s="62">
        <f t="shared" si="36"/>
        <v>448.84541017639367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6.2222222222222223</v>
      </c>
      <c r="BD17" s="13">
        <f>IF('Données projet'!$A$88&gt;35,BD16+BC17-BL16,IF(A17&lt;'Données projet'!$A$88,$BA$205^A17,IF(A17='Données projet'!$A$88,'Données projet'!$B$88,BD16+BC17-BL16)))</f>
        <v>39.249690802844427</v>
      </c>
      <c r="BE17" s="14">
        <f>BD17*VLOOKUP('Données projet'!$B$11,Paramètres!$A$1:$I$88,3,0)*VLOOKUP('Données projet'!$B$11,Paramètres!$A$1:$I$88,5,0)</f>
        <v>24.491807060974921</v>
      </c>
      <c r="BF17" s="14">
        <f t="shared" si="37"/>
        <v>7.7784106944068903</v>
      </c>
      <c r="BG17" s="22">
        <f t="shared" si="7"/>
        <v>56.203962590623313</v>
      </c>
      <c r="BH17" s="62">
        <f t="shared" si="8"/>
        <v>349.53729592395661</v>
      </c>
      <c r="BI17" s="62">
        <f ca="1">AVERAGE(OFFSET($BH$3,0,0,'Données projet'!$E$11+1,1))-AVERAGE(OFFSET($H$3,0,0,'Données projet'!$E$11+1,1))</f>
        <v>135.14998708332445</v>
      </c>
      <c r="BJ17" s="62">
        <f t="shared" si="38"/>
        <v>245.50083454484513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5.5909090909090908</v>
      </c>
      <c r="BY17" s="13">
        <f>IF('Données projet'!$A$114&gt;35,BY16+BX17-CG16,IF(A17&lt;'Données projet'!$A$114,$BV$205^A17,IF(A17='Données projet'!$A$114,'Données projet'!$B$114,BY16+BX17-CG16)))</f>
        <v>21.376648512419013</v>
      </c>
      <c r="BZ17" s="14">
        <f>BY17*VLOOKUP('Données projet'!$B$12,Paramètres!$A$1:$I$88,3,0)*VLOOKUP('Données projet'!$B$12,Paramètres!$A$1:$I$88,5,0)</f>
        <v>12.783235810426572</v>
      </c>
      <c r="CA17" s="14">
        <f t="shared" si="39"/>
        <v>4.3790497183898731</v>
      </c>
      <c r="CB17" s="22">
        <f t="shared" si="10"/>
        <v>29.890980629355308</v>
      </c>
      <c r="CC17" s="62">
        <f t="shared" si="11"/>
        <v>323.2243139626886</v>
      </c>
      <c r="CD17" s="62">
        <f ca="1">AVERAGE(OFFSET($CC$3,0,0,'Données projet'!$E$12+1,1))-AVERAGE(OFFSET($H$3,0,0,'Données projet'!$E$12+1,1))</f>
        <v>168.16583766359378</v>
      </c>
      <c r="CE17" s="62">
        <f t="shared" si="40"/>
        <v>194.52809733694494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5.8</v>
      </c>
      <c r="CT17" s="13">
        <f>IF('Données projet'!$A$140&gt;35,CT16+CS17-DB16,IF(A17&lt;'Données projet'!$A$140,$CQ$205^A17,IF(A17='Données projet'!$A$140,'Données projet'!$B$140,CT16+CS17-DB16)))</f>
        <v>41.199999999999996</v>
      </c>
      <c r="CU17" s="18">
        <f>CT17*VLOOKUP('Données projet'!$B$13,Paramètres!$A$1:$I$88,3,0)*VLOOKUP('Données projet'!$B$13,Paramètres!$A$1:$I$88,5,0)</f>
        <v>35.992319999999999</v>
      </c>
      <c r="CV17" s="14">
        <f t="shared" si="41"/>
        <v>10.929972788578748</v>
      </c>
      <c r="CW17" s="22">
        <f t="shared" si="13"/>
        <v>81.722993273441304</v>
      </c>
      <c r="CX17" s="62">
        <f t="shared" si="14"/>
        <v>375.05632660677463</v>
      </c>
      <c r="CY17" s="62">
        <f ca="1">AVERAGE(OFFSET($CX$3,0,0,'Données projet'!$E$13+1,1))-AVERAGE(OFFSET($H$3,0,0,'Données projet'!$E$13+1,1))</f>
        <v>146.09202487550647</v>
      </c>
      <c r="CZ17" s="62">
        <f t="shared" si="42"/>
        <v>168.58814676269344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14.845255323637243</v>
      </c>
      <c r="DP17" s="18">
        <f>DO17*VLOOKUP('Données projet'!$B$14,Paramètres!$A$1:$I$88,3,0)*VLOOKUP('Données projet'!$B$14,Paramètres!$A$1:$I$88,5,0)</f>
        <v>10.884541203290826</v>
      </c>
      <c r="DQ17" s="14">
        <f t="shared" si="43"/>
        <v>3.7990717318185006</v>
      </c>
      <c r="DR17" s="22">
        <f t="shared" si="16"/>
        <v>25.57395919531541</v>
      </c>
      <c r="DS17" s="62">
        <f t="shared" si="17"/>
        <v>318.90729252864872</v>
      </c>
      <c r="DT17" s="62">
        <f ca="1">AVERAGE(OFFSET($DS$3,0,0,'Données projet'!$E$14+1,1))-AVERAGE(OFFSET($H$3,0,0,'Données projet'!$E$14+1,1))</f>
        <v>116.35584360635318</v>
      </c>
      <c r="DU17" s="62">
        <f t="shared" si="44"/>
        <v>86.38226293640173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5.666666666666667</v>
      </c>
      <c r="N18" s="14">
        <f>IF('Données projet'!$A$36&gt;35,N17+M18-V17,IF(A18&lt;'Données projet'!$A$36,$K$205^A18,IF(A18='Données projet'!$A$36,'Données projet'!$B$36,N17+M18-V17)))</f>
        <v>13.038404810405304</v>
      </c>
      <c r="O18" s="14">
        <f>N18*VLOOKUP('Données projet'!$B$9,Paramètres!$A$1:$I$88,3,0)*VLOOKUP('Données projet'!$B$9,Paramètres!$A$1:$I$88,5,0)</f>
        <v>6.101973451269683</v>
      </c>
      <c r="P18" s="14">
        <f t="shared" si="33"/>
        <v>2.2782093720086061</v>
      </c>
      <c r="Q18" s="22">
        <f t="shared" si="2"/>
        <v>14.595485083876353</v>
      </c>
      <c r="R18" s="62">
        <f t="shared" si="0"/>
        <v>307.92881841720964</v>
      </c>
      <c r="S18" s="62">
        <f ca="1">AVERAGE(OFFSET($R$3,0,0,'Données projet'!$E$9+1,1))-AVERAGE(OFFSET($H$3,0,0,'Données projet'!$E$9+1,1))</f>
        <v>82.229723373996478</v>
      </c>
      <c r="T18" s="62">
        <f t="shared" si="34"/>
        <v>115.86489547584461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projet'!$B$10,Paramètres!$A$1:$I$88,3,0)*VLOOKUP('Données projet'!$B$10,Paramètres!$A$1:$I$88,5,0)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364.07236896556145</v>
      </c>
      <c r="AN18" s="62">
        <f ca="1">AVERAGE(OFFSET($AM$3,0,0,'Données projet'!$E$10+1,1))-AVERAGE(OFFSET($H$3,0,0,'Données projet'!$E$10+1,1))</f>
        <v>262.78347246606825</v>
      </c>
      <c r="AO18" s="62">
        <f t="shared" si="36"/>
        <v>448.84541017639367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6.2222222222222223</v>
      </c>
      <c r="BD18" s="13">
        <f>IF('Données projet'!$A$88&gt;35,BD17+BC18-BL17,IF(A18&lt;'Données projet'!$A$88,$BA$205^A18,IF(A18='Données projet'!$A$88,'Données projet'!$B$88,BD17+BC18-BL17)))</f>
        <v>51.013096442350388</v>
      </c>
      <c r="BE18" s="14">
        <f>BD18*VLOOKUP('Données projet'!$B$11,Paramètres!$A$1:$I$88,3,0)*VLOOKUP('Données projet'!$B$11,Paramètres!$A$1:$I$88,5,0)</f>
        <v>31.832172180026642</v>
      </c>
      <c r="BF18" s="14">
        <f t="shared" si="37"/>
        <v>9.8058378099430179</v>
      </c>
      <c r="BG18" s="22">
        <f t="shared" si="7"/>
        <v>72.519534065863823</v>
      </c>
      <c r="BH18" s="62">
        <f t="shared" si="8"/>
        <v>365.85286739919712</v>
      </c>
      <c r="BI18" s="62">
        <f ca="1">AVERAGE(OFFSET($BH$3,0,0,'Données projet'!$E$11+1,1))-AVERAGE(OFFSET($H$3,0,0,'Données projet'!$E$11+1,1))</f>
        <v>135.14998708332445</v>
      </c>
      <c r="BJ18" s="62">
        <f t="shared" si="38"/>
        <v>245.50083454484513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5.5909090909090908</v>
      </c>
      <c r="BY18" s="13">
        <f>IF('Données projet'!$A$114&gt;35,BY17+BX18-CG17,IF(A18&lt;'Données projet'!$A$114,$BV$205^A18,IF(A18='Données projet'!$A$114,'Données projet'!$B$114,BY17+BX18-CG17)))</f>
        <v>26.603287217402478</v>
      </c>
      <c r="BZ18" s="14">
        <f>BY18*VLOOKUP('Données projet'!$B$12,Paramètres!$A$1:$I$88,3,0)*VLOOKUP('Données projet'!$B$12,Paramètres!$A$1:$I$88,5,0)</f>
        <v>15.908765756006684</v>
      </c>
      <c r="CA18" s="14">
        <f t="shared" si="39"/>
        <v>5.312733913945455</v>
      </c>
      <c r="CB18" s="22">
        <f t="shared" si="10"/>
        <v>36.960778591833304</v>
      </c>
      <c r="CC18" s="62">
        <f t="shared" si="11"/>
        <v>330.29411192516659</v>
      </c>
      <c r="CD18" s="62">
        <f ca="1">AVERAGE(OFFSET($CC$3,0,0,'Données projet'!$E$12+1,1))-AVERAGE(OFFSET($H$3,0,0,'Données projet'!$E$12+1,1))</f>
        <v>168.16583766359378</v>
      </c>
      <c r="CE18" s="62">
        <f t="shared" si="40"/>
        <v>194.52809733694494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47</v>
      </c>
      <c r="CR18" s="13">
        <f>VLOOKUP(A18,'Données projet'!$A$139:$I$159,9,0)</f>
        <v>5.8</v>
      </c>
      <c r="CS18" s="13">
        <f t="array" ref="CS18">INDEX(CR:CR,MIN(IF(ISNUMBER(CR18:CR214),ROW(CR18:CR214),"")))</f>
        <v>5.8</v>
      </c>
      <c r="CT18" s="13">
        <f>IF('Données projet'!$A$140&gt;35,CT17+CS18-DB17,IF(A18&lt;'Données projet'!$A$140,$CQ$205^A18,IF(A18='Données projet'!$A$140,'Données projet'!$B$140,CT17+CS18-DB17)))</f>
        <v>46.999999999999993</v>
      </c>
      <c r="CU18" s="18">
        <f>CT18*VLOOKUP('Données projet'!$B$13,Paramètres!$A$1:$I$88,3,0)*VLOOKUP('Données projet'!$B$13,Paramètres!$A$1:$I$88,5,0)</f>
        <v>41.059200000000004</v>
      </c>
      <c r="CV18" s="14">
        <f t="shared" si="41"/>
        <v>12.278959527914743</v>
      </c>
      <c r="CW18" s="22">
        <f t="shared" si="13"/>
        <v>92.897294511118176</v>
      </c>
      <c r="CX18" s="62">
        <f t="shared" si="14"/>
        <v>386.23062784445148</v>
      </c>
      <c r="CY18" s="62">
        <f ca="1">AVERAGE(OFFSET($CX$3,0,0,'Données projet'!$E$13+1,1))-AVERAGE(OFFSET($H$3,0,0,'Données projet'!$E$13+1,1))</f>
        <v>146.09202487550647</v>
      </c>
      <c r="CZ18" s="62">
        <f t="shared" si="42"/>
        <v>168.58814676269344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18</v>
      </c>
      <c r="DM18" s="13">
        <f>VLOOKUP(A18,'Données projet'!$A$165:$I$185,9,0)</f>
        <v>1.2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18</v>
      </c>
      <c r="DP18" s="18">
        <f>DO18*VLOOKUP('Données projet'!$B$14,Paramètres!$A$1:$I$88,3,0)*VLOOKUP('Données projet'!$B$14,Paramètres!$A$1:$I$88,5,0)</f>
        <v>13.1976</v>
      </c>
      <c r="DQ18" s="14">
        <f t="shared" si="43"/>
        <v>4.504238856327774</v>
      </c>
      <c r="DR18" s="22">
        <f t="shared" si="16"/>
        <v>30.830702674770873</v>
      </c>
      <c r="DS18" s="62">
        <f t="shared" si="17"/>
        <v>324.16403600810418</v>
      </c>
      <c r="DT18" s="62">
        <f ca="1">AVERAGE(OFFSET($DS$3,0,0,'Données projet'!$E$14+1,1))-AVERAGE(OFFSET($H$3,0,0,'Données projet'!$E$14+1,1))</f>
        <v>116.35584360635318</v>
      </c>
      <c r="DU18" s="62">
        <f t="shared" si="44"/>
        <v>86.38226293640173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5.666666666666667</v>
      </c>
      <c r="N19" s="14">
        <f>IF('Données projet'!$A$36&gt;35,N18+M19-V18,IF(A19&lt;'Données projet'!$A$36,$K$205^A19,IF(A19='Données projet'!$A$36,'Données projet'!$B$36,N18+M19-V18)))</f>
        <v>15.472937028926689</v>
      </c>
      <c r="O19" s="14">
        <f>N19*VLOOKUP('Données projet'!$B$9,Paramètres!$A$1:$I$88,3,0)*VLOOKUP('Données projet'!$B$9,Paramètres!$A$1:$I$88,5,0)</f>
        <v>7.2413345295376894</v>
      </c>
      <c r="P19" s="14">
        <f t="shared" si="33"/>
        <v>2.6502557759113361</v>
      </c>
      <c r="Q19" s="22">
        <f t="shared" si="2"/>
        <v>17.227853115323715</v>
      </c>
      <c r="R19" s="62">
        <f t="shared" si="0"/>
        <v>310.56118644865705</v>
      </c>
      <c r="S19" s="62">
        <f ca="1">AVERAGE(OFFSET($R$3,0,0,'Données projet'!$E$9+1,1))-AVERAGE(OFFSET($H$3,0,0,'Données projet'!$E$9+1,1))</f>
        <v>82.229723373996478</v>
      </c>
      <c r="T19" s="62">
        <f t="shared" si="34"/>
        <v>115.86489547584461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projet'!$B$10,Paramètres!$A$1:$I$88,3,0)*VLOOKUP('Données projet'!$B$10,Paramètres!$A$1:$I$88,5,0)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385.1226576119281</v>
      </c>
      <c r="AN19" s="62">
        <f ca="1">AVERAGE(OFFSET($AM$3,0,0,'Données projet'!$E$10+1,1))-AVERAGE(OFFSET($H$3,0,0,'Données projet'!$E$10+1,1))</f>
        <v>262.78347246606825</v>
      </c>
      <c r="AO19" s="62">
        <f t="shared" si="36"/>
        <v>448.84541017639367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6.2222222222222223</v>
      </c>
      <c r="BD19" s="13">
        <f>IF('Données projet'!$A$88&gt;35,BD18+BC19-BL18,IF(A19&lt;'Données projet'!$A$88,$BA$205^A19,IF(A19='Données projet'!$A$88,'Données projet'!$B$88,BD18+BC19-BL18)))</f>
        <v>66.302076663695672</v>
      </c>
      <c r="BE19" s="14">
        <f>BD19*VLOOKUP('Données projet'!$B$11,Paramètres!$A$1:$I$88,3,0)*VLOOKUP('Données projet'!$B$11,Paramètres!$A$1:$I$88,5,0)</f>
        <v>41.372495838146101</v>
      </c>
      <c r="BF19" s="14">
        <f t="shared" si="37"/>
        <v>12.361709728704412</v>
      </c>
      <c r="BG19" s="22">
        <f t="shared" si="7"/>
        <v>93.587074695597963</v>
      </c>
      <c r="BH19" s="62">
        <f t="shared" si="8"/>
        <v>386.92040802893126</v>
      </c>
      <c r="BI19" s="62">
        <f ca="1">AVERAGE(OFFSET($BH$3,0,0,'Données projet'!$E$11+1,1))-AVERAGE(OFFSET($H$3,0,0,'Données projet'!$E$11+1,1))</f>
        <v>135.14998708332445</v>
      </c>
      <c r="BJ19" s="62">
        <f t="shared" si="38"/>
        <v>245.50083454484513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5.5909090909090908</v>
      </c>
      <c r="BY19" s="13">
        <f>IF('Données projet'!$A$114&gt;35,BY18+BX19-CG18,IF(A19&lt;'Données projet'!$A$114,$BV$205^A19,IF(A19='Données projet'!$A$114,'Données projet'!$B$114,BY18+BX19-CG18)))</f>
        <v>33.107850856996748</v>
      </c>
      <c r="BZ19" s="14">
        <f>BY19*VLOOKUP('Données projet'!$B$12,Paramètres!$A$1:$I$88,3,0)*VLOOKUP('Données projet'!$B$12,Paramètres!$A$1:$I$88,5,0)</f>
        <v>19.798494812484059</v>
      </c>
      <c r="CA19" s="14">
        <f t="shared" si="39"/>
        <v>6.4454946747588586</v>
      </c>
      <c r="CB19" s="22">
        <f t="shared" si="10"/>
        <v>45.70828169028141</v>
      </c>
      <c r="CC19" s="62">
        <f t="shared" si="11"/>
        <v>339.04161502361472</v>
      </c>
      <c r="CD19" s="62">
        <f ca="1">AVERAGE(OFFSET($CC$3,0,0,'Données projet'!$E$12+1,1))-AVERAGE(OFFSET($H$3,0,0,'Données projet'!$E$12+1,1))</f>
        <v>168.16583766359378</v>
      </c>
      <c r="CE19" s="62">
        <f t="shared" si="40"/>
        <v>194.52809733694494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</v>
      </c>
      <c r="CT19" s="13">
        <f>IF('Données projet'!$A$140&gt;35,CT18+CS19-DB18,IF(A19&lt;'Données projet'!$A$140,$CQ$205^A19,IF(A19='Données projet'!$A$140,'Données projet'!$B$140,CT18+CS19-DB18)))</f>
        <v>54.999999999999993</v>
      </c>
      <c r="CU19" s="18">
        <f>CT19*VLOOKUP('Données projet'!$B$13,Paramètres!$A$1:$I$88,3,0)*VLOOKUP('Données projet'!$B$13,Paramètres!$A$1:$I$88,5,0)</f>
        <v>48.048000000000002</v>
      </c>
      <c r="CV19" s="14">
        <f t="shared" si="41"/>
        <v>14.108484750160615</v>
      </c>
      <c r="CW19" s="22">
        <f t="shared" si="13"/>
        <v>108.25587760652974</v>
      </c>
      <c r="CX19" s="62">
        <f t="shared" si="14"/>
        <v>401.58921093986305</v>
      </c>
      <c r="CY19" s="62">
        <f ca="1">AVERAGE(OFFSET($CX$3,0,0,'Données projet'!$E$13+1,1))-AVERAGE(OFFSET($H$3,0,0,'Données projet'!$E$13+1,1))</f>
        <v>146.09202487550647</v>
      </c>
      <c r="CZ19" s="62">
        <f t="shared" si="42"/>
        <v>168.58814676269344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4.4000000000000004</v>
      </c>
      <c r="DO19" s="13">
        <f>IF('Données projet'!$A$166&gt;35,DO18+DN19-DW18,IF(A19&lt;'Données projet'!$A$166,$DL$205^A19,IF(A19='Données projet'!$A$166,'Données projet'!$B$166,DO18+DN19-DW18)))</f>
        <v>22.4</v>
      </c>
      <c r="DP19" s="18">
        <f>DO19*VLOOKUP('Données projet'!$B$14,Paramètres!$A$1:$I$88,3,0)*VLOOKUP('Données projet'!$B$14,Paramètres!$A$1:$I$88,5,0)</f>
        <v>16.423679999999997</v>
      </c>
      <c r="DQ19" s="14">
        <f t="shared" si="43"/>
        <v>5.4643911117066626</v>
      </c>
      <c r="DR19" s="22">
        <f t="shared" si="16"/>
        <v>38.121723852889097</v>
      </c>
      <c r="DS19" s="62">
        <f t="shared" si="17"/>
        <v>331.4550571862224</v>
      </c>
      <c r="DT19" s="62">
        <f ca="1">AVERAGE(OFFSET($DS$3,0,0,'Données projet'!$E$14+1,1))-AVERAGE(OFFSET($H$3,0,0,'Données projet'!$E$14+1,1))</f>
        <v>116.35584360635318</v>
      </c>
      <c r="DU19" s="62">
        <f t="shared" si="44"/>
        <v>86.38226293640173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5.666666666666667</v>
      </c>
      <c r="N20" s="14">
        <f>IF('Données projet'!$A$36&gt;35,N19+M20-V19,IF(A20&lt;'Données projet'!$A$36,$K$205^A20,IF(A20='Données projet'!$A$36,'Données projet'!$B$36,N19+M20-V19)))</f>
        <v>18.362045340858568</v>
      </c>
      <c r="O20" s="14">
        <f>N20*VLOOKUP('Données projet'!$B$9,Paramètres!$A$1:$I$88,3,0)*VLOOKUP('Données projet'!$B$9,Paramètres!$A$1:$I$88,5,0)</f>
        <v>8.5934372195218103</v>
      </c>
      <c r="P20" s="14">
        <f t="shared" si="33"/>
        <v>3.0830597767046952</v>
      </c>
      <c r="Q20" s="22">
        <f t="shared" si="2"/>
        <v>20.336565601761166</v>
      </c>
      <c r="R20" s="62">
        <f t="shared" si="0"/>
        <v>313.66989893509447</v>
      </c>
      <c r="S20" s="62">
        <f ca="1">AVERAGE(OFFSET($R$3,0,0,'Données projet'!$E$9+1,1))-AVERAGE(OFFSET($H$3,0,0,'Données projet'!$E$9+1,1))</f>
        <v>82.229723373996478</v>
      </c>
      <c r="T20" s="62">
        <f t="shared" si="34"/>
        <v>115.86489547584461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projet'!$B$10,Paramètres!$A$1:$I$88,3,0)*VLOOKUP('Données projet'!$B$10,Paramètres!$A$1:$I$88,5,0)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412.45754349889535</v>
      </c>
      <c r="AN20" s="62">
        <f ca="1">AVERAGE(OFFSET($AM$3,0,0,'Données projet'!$E$10+1,1))-AVERAGE(OFFSET($H$3,0,0,'Données projet'!$E$10+1,1))</f>
        <v>262.78347246606825</v>
      </c>
      <c r="AO20" s="62">
        <f t="shared" si="36"/>
        <v>448.84541017639367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6.2222222222222223</v>
      </c>
      <c r="BD20" s="13">
        <f>IF('Données projet'!$A$88&gt;35,BD19+BC20-BL19,IF(A20&lt;'Données projet'!$A$88,$BA$205^A20,IF(A20='Données projet'!$A$88,'Données projet'!$B$88,BD19+BC20-BL19)))</f>
        <v>86.1732707185582</v>
      </c>
      <c r="BE20" s="14">
        <f>BD20*VLOOKUP('Données projet'!$B$11,Paramètres!$A$1:$I$88,3,0)*VLOOKUP('Données projet'!$B$11,Paramètres!$A$1:$I$88,5,0)</f>
        <v>53.772120928380318</v>
      </c>
      <c r="BF20" s="14">
        <f t="shared" si="37"/>
        <v>15.583764526657339</v>
      </c>
      <c r="BG20" s="22">
        <f t="shared" si="7"/>
        <v>120.79483383419057</v>
      </c>
      <c r="BH20" s="62">
        <f t="shared" si="8"/>
        <v>414.12816716752388</v>
      </c>
      <c r="BI20" s="62">
        <f ca="1">AVERAGE(OFFSET($BH$3,0,0,'Données projet'!$E$11+1,1))-AVERAGE(OFFSET($H$3,0,0,'Données projet'!$E$11+1,1))</f>
        <v>135.14998708332445</v>
      </c>
      <c r="BJ20" s="62">
        <f t="shared" si="38"/>
        <v>245.50083454484513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5.5909090909090908</v>
      </c>
      <c r="BY20" s="13">
        <f>IF('Données projet'!$A$114&gt;35,BY19+BX20-CG19,IF(A20&lt;'Données projet'!$A$114,$BV$205^A20,IF(A20='Données projet'!$A$114,'Données projet'!$B$114,BY19+BX20-CG19)))</f>
        <v>41.202794955809431</v>
      </c>
      <c r="BZ20" s="14">
        <f>BY20*VLOOKUP('Données projet'!$B$12,Paramètres!$A$1:$I$88,3,0)*VLOOKUP('Données projet'!$B$12,Paramètres!$A$1:$I$88,5,0)</f>
        <v>24.639271383574041</v>
      </c>
      <c r="CA20" s="14">
        <f t="shared" si="39"/>
        <v>7.8197783429910519</v>
      </c>
      <c r="CB20" s="22">
        <f t="shared" si="10"/>
        <v>56.532844940434195</v>
      </c>
      <c r="CC20" s="62">
        <f t="shared" si="11"/>
        <v>349.8661782737675</v>
      </c>
      <c r="CD20" s="62">
        <f ca="1">AVERAGE(OFFSET($CC$3,0,0,'Données projet'!$E$12+1,1))-AVERAGE(OFFSET($H$3,0,0,'Données projet'!$E$12+1,1))</f>
        <v>168.16583766359378</v>
      </c>
      <c r="CE20" s="62">
        <f t="shared" si="40"/>
        <v>194.52809733694494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</v>
      </c>
      <c r="CT20" s="13">
        <f>IF('Données projet'!$A$140&gt;35,CT19+CS20-DB19,IF(A20&lt;'Données projet'!$A$140,$CQ$205^A20,IF(A20='Données projet'!$A$140,'Données projet'!$B$140,CT19+CS20-DB19)))</f>
        <v>62.999999999999993</v>
      </c>
      <c r="CU20" s="18">
        <f>CT20*VLOOKUP('Données projet'!$B$13,Paramètres!$A$1:$I$88,3,0)*VLOOKUP('Données projet'!$B$13,Paramètres!$A$1:$I$88,5,0)</f>
        <v>55.036800000000007</v>
      </c>
      <c r="CV20" s="14">
        <f t="shared" si="41"/>
        <v>15.907180538864345</v>
      </c>
      <c r="CW20" s="22">
        <f t="shared" si="13"/>
        <v>123.56076610518875</v>
      </c>
      <c r="CX20" s="62">
        <f t="shared" si="14"/>
        <v>416.89409943852206</v>
      </c>
      <c r="CY20" s="62">
        <f ca="1">AVERAGE(OFFSET($CX$3,0,0,'Données projet'!$E$13+1,1))-AVERAGE(OFFSET($H$3,0,0,'Données projet'!$E$13+1,1))</f>
        <v>146.09202487550647</v>
      </c>
      <c r="CZ20" s="62">
        <f t="shared" si="42"/>
        <v>168.58814676269344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4.4000000000000004</v>
      </c>
      <c r="DO20" s="13">
        <f>IF('Données projet'!$A$166&gt;35,DO19+DN20-DW19,IF(A20&lt;'Données projet'!$A$166,$DL$205^A20,IF(A20='Données projet'!$A$166,'Données projet'!$B$166,DO19+DN20-DW19)))</f>
        <v>26.799999999999997</v>
      </c>
      <c r="DP20" s="18">
        <f>DO20*VLOOKUP('Données projet'!$B$14,Paramètres!$A$1:$I$88,3,0)*VLOOKUP('Données projet'!$B$14,Paramètres!$A$1:$I$88,5,0)</f>
        <v>19.649759999999997</v>
      </c>
      <c r="DQ20" s="14">
        <f t="shared" si="43"/>
        <v>6.4026908288239657</v>
      </c>
      <c r="DR20" s="22">
        <f t="shared" si="16"/>
        <v>45.374685193535072</v>
      </c>
      <c r="DS20" s="62">
        <f t="shared" si="17"/>
        <v>338.70801852686839</v>
      </c>
      <c r="DT20" s="62">
        <f ca="1">AVERAGE(OFFSET($DS$3,0,0,'Données projet'!$E$14+1,1))-AVERAGE(OFFSET($H$3,0,0,'Données projet'!$E$14+1,1))</f>
        <v>116.35584360635318</v>
      </c>
      <c r="DU20" s="62">
        <f t="shared" si="44"/>
        <v>86.38226293640173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0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5.666666666666667</v>
      </c>
      <c r="N21" s="14">
        <f>IF('Données projet'!$A$36&gt;35,N20+M21-V20,IF(A21&lt;'Données projet'!$A$36,$K$205^A21,IF(A21='Données projet'!$A$36,'Données projet'!$B$36,N20+M21-V20)))</f>
        <v>21.790608238721305</v>
      </c>
      <c r="O21" s="14">
        <f>N21*VLOOKUP('Données projet'!$B$9,Paramètres!$A$1:$I$88,3,0)*VLOOKUP('Données projet'!$B$9,Paramètres!$A$1:$I$88,5,0)</f>
        <v>10.19800465572157</v>
      </c>
      <c r="P21" s="14">
        <f t="shared" si="33"/>
        <v>3.5865434850211249</v>
      </c>
      <c r="Q21" s="22">
        <f t="shared" si="2"/>
        <v>24.008088011793529</v>
      </c>
      <c r="R21" s="62">
        <f t="shared" si="0"/>
        <v>317.34142134512683</v>
      </c>
      <c r="S21" s="62">
        <f ca="1">AVERAGE(OFFSET($R$3,0,0,'Données projet'!$E$9+1,1))-AVERAGE(OFFSET($H$3,0,0,'Données projet'!$E$9+1,1))</f>
        <v>82.229723373996478</v>
      </c>
      <c r="T21" s="62">
        <f t="shared" si="34"/>
        <v>115.86489547584461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projet'!$B$10,Paramètres!$A$1:$I$88,3,0)*VLOOKUP('Données projet'!$B$10,Paramètres!$A$1:$I$88,5,0)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447.95895542222519</v>
      </c>
      <c r="AN21" s="62">
        <f ca="1">AVERAGE(OFFSET($AM$3,0,0,'Données projet'!$E$10+1,1))-AVERAGE(OFFSET($H$3,0,0,'Données projet'!$E$10+1,1))</f>
        <v>262.78347246606825</v>
      </c>
      <c r="AO21" s="62">
        <f t="shared" si="36"/>
        <v>448.84541017639367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112</v>
      </c>
      <c r="BB21" s="13">
        <f>VLOOKUP(A21,'Données projet'!$A$87:$I$107,9,0)</f>
        <v>6.2222222222222223</v>
      </c>
      <c r="BC21" s="13">
        <f t="array" ref="BC21">INDEX(BB:BB,MIN(IF(ISNUMBER(BB21:BB217),ROW(BB21:BB217),"")))</f>
        <v>6.2222222222222223</v>
      </c>
      <c r="BD21" s="13">
        <f>IF('Données projet'!$A$88&gt;35,BD20+BC21-BL20,IF(A21&lt;'Données projet'!$A$88,$BA$205^A21,IF(A21='Données projet'!$A$88,'Données projet'!$B$88,BD20+BC21-BL20)))</f>
        <v>112</v>
      </c>
      <c r="BE21" s="14">
        <f>BD21*VLOOKUP('Données projet'!$B$11,Paramètres!$A$1:$I$88,3,0)*VLOOKUP('Données projet'!$B$11,Paramètres!$A$1:$I$88,5,0)</f>
        <v>69.888000000000005</v>
      </c>
      <c r="BF21" s="14">
        <f t="shared" si="37"/>
        <v>19.645641432461961</v>
      </c>
      <c r="BG21" s="22">
        <f t="shared" si="7"/>
        <v>155.93775882820458</v>
      </c>
      <c r="BH21" s="62">
        <f t="shared" si="8"/>
        <v>449.27109216153792</v>
      </c>
      <c r="BI21" s="62">
        <f ca="1">AVERAGE(OFFSET($BH$3,0,0,'Données projet'!$E$11+1,1))-AVERAGE(OFFSET($H$3,0,0,'Données projet'!$E$11+1,1))</f>
        <v>135.14998708332445</v>
      </c>
      <c r="BJ21" s="62">
        <f t="shared" si="38"/>
        <v>245.50083454484513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0.33600000000000002</v>
      </c>
      <c r="BO21" s="17">
        <f>IF(ISNA(VLOOKUP(A21,'Données projet'!$A$87:$I$107,7,0)),0%,VLOOKUP(A21,'Données projet'!$A$87:$I$107,7,0))</f>
        <v>0.44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5.5407539027090928</v>
      </c>
      <c r="BR21" s="23">
        <f>EXP(-LN(2)/2)*BR20+(1-EXP(-LN(2)/2))/(LN(2)/2)*BL21*BO21*VLOOKUP('Données projet'!$B$11,Paramètres!$A$1:$I$88,3,0)*0.475*44/12</f>
        <v>6.2173139921773286</v>
      </c>
      <c r="BS21" s="24">
        <f t="shared" si="9"/>
        <v>11.758067894886421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5.5909090909090908</v>
      </c>
      <c r="BY21" s="13">
        <f>IF('Données projet'!$A$114&gt;35,BY20+BX21-CG20,IF(A21&lt;'Données projet'!$A$114,$BV$205^A21,IF(A21='Données projet'!$A$114,'Données projet'!$B$114,BY20+BX21-CG20)))</f>
        <v>51.276971117915458</v>
      </c>
      <c r="BZ21" s="14">
        <f>BY21*VLOOKUP('Données projet'!$B$12,Paramètres!$A$1:$I$88,3,0)*VLOOKUP('Données projet'!$B$12,Paramètres!$A$1:$I$88,5,0)</f>
        <v>30.663628728513448</v>
      </c>
      <c r="CA21" s="14">
        <f t="shared" si="39"/>
        <v>9.4870815071768995</v>
      </c>
      <c r="CB21" s="22">
        <f t="shared" si="10"/>
        <v>69.929153660494023</v>
      </c>
      <c r="CC21" s="62">
        <f t="shared" si="11"/>
        <v>363.26248699382734</v>
      </c>
      <c r="CD21" s="62">
        <f ca="1">AVERAGE(OFFSET($CC$3,0,0,'Données projet'!$E$12+1,1))-AVERAGE(OFFSET($H$3,0,0,'Données projet'!$E$12+1,1))</f>
        <v>168.16583766359378</v>
      </c>
      <c r="CE21" s="62">
        <f t="shared" si="40"/>
        <v>194.52809733694494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</v>
      </c>
      <c r="CT21" s="13">
        <f>IF('Données projet'!$A$140&gt;35,CT20+CS21-DB20,IF(A21&lt;'Données projet'!$A$140,$CQ$205^A21,IF(A21='Données projet'!$A$140,'Données projet'!$B$140,CT20+CS21-DB20)))</f>
        <v>71</v>
      </c>
      <c r="CU21" s="18">
        <f>CT21*VLOOKUP('Données projet'!$B$13,Paramètres!$A$1:$I$88,3,0)*VLOOKUP('Données projet'!$B$13,Paramètres!$A$1:$I$88,5,0)</f>
        <v>62.025600000000011</v>
      </c>
      <c r="CV21" s="14">
        <f t="shared" si="41"/>
        <v>17.679410406677221</v>
      </c>
      <c r="CW21" s="22">
        <f t="shared" si="13"/>
        <v>138.8195597916295</v>
      </c>
      <c r="CX21" s="62">
        <f t="shared" si="14"/>
        <v>432.15289312496282</v>
      </c>
      <c r="CY21" s="62">
        <f ca="1">AVERAGE(OFFSET($CX$3,0,0,'Données projet'!$E$13+1,1))-AVERAGE(OFFSET($H$3,0,0,'Données projet'!$E$13+1,1))</f>
        <v>146.09202487550647</v>
      </c>
      <c r="CZ21" s="62">
        <f t="shared" si="42"/>
        <v>168.58814676269344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4.4000000000000004</v>
      </c>
      <c r="DO21" s="13">
        <f>IF('Données projet'!$A$166&gt;35,DO20+DN21-DW20,IF(A21&lt;'Données projet'!$A$166,$DL$205^A21,IF(A21='Données projet'!$A$166,'Données projet'!$B$166,DO20+DN21-DW20)))</f>
        <v>31.199999999999996</v>
      </c>
      <c r="DP21" s="18">
        <f>DO21*VLOOKUP('Données projet'!$B$14,Paramètres!$A$1:$I$88,3,0)*VLOOKUP('Données projet'!$B$14,Paramètres!$A$1:$I$88,5,0)</f>
        <v>22.875839999999997</v>
      </c>
      <c r="DQ21" s="14">
        <f t="shared" si="43"/>
        <v>7.3231448847805867</v>
      </c>
      <c r="DR21" s="22">
        <f t="shared" si="16"/>
        <v>52.596565340992839</v>
      </c>
      <c r="DS21" s="62">
        <f t="shared" si="17"/>
        <v>345.92989867432618</v>
      </c>
      <c r="DT21" s="62">
        <f ca="1">AVERAGE(OFFSET($DS$3,0,0,'Données projet'!$E$14+1,1))-AVERAGE(OFFSET($H$3,0,0,'Données projet'!$E$14+1,1))</f>
        <v>116.35584360635318</v>
      </c>
      <c r="DU21" s="62">
        <f t="shared" si="44"/>
        <v>86.38226293640173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0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5.666666666666667</v>
      </c>
      <c r="N22" s="14">
        <f>IF('Données projet'!$A$36&gt;35,N21+M22-V21,IF(A22&lt;'Données projet'!$A$36,$K$205^A22,IF(A22='Données projet'!$A$36,'Données projet'!$B$36,N21+M22-V21)))</f>
        <v>25.859352735441334</v>
      </c>
      <c r="O22" s="14">
        <f>N22*VLOOKUP('Données projet'!$B$9,Paramètres!$A$1:$I$88,3,0)*VLOOKUP('Données projet'!$B$9,Paramètres!$A$1:$I$88,5,0)</f>
        <v>12.102177080186545</v>
      </c>
      <c r="P22" s="14">
        <f t="shared" si="33"/>
        <v>4.1722493566752403</v>
      </c>
      <c r="Q22" s="22">
        <f t="shared" si="2"/>
        <v>28.34462604420094</v>
      </c>
      <c r="R22" s="62">
        <f t="shared" si="0"/>
        <v>321.67795937753425</v>
      </c>
      <c r="S22" s="62">
        <f ca="1">AVERAGE(OFFSET($R$3,0,0,'Données projet'!$E$9+1,1))-AVERAGE(OFFSET($H$3,0,0,'Données projet'!$E$9+1,1))</f>
        <v>82.229723373996478</v>
      </c>
      <c r="T22" s="62">
        <f t="shared" si="34"/>
        <v>115.86489547584461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projet'!$B$10,Paramètres!$A$1:$I$88,3,0)*VLOOKUP('Données projet'!$B$10,Paramètres!$A$1:$I$88,5,0)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494.07391930065342</v>
      </c>
      <c r="AN22" s="62">
        <f ca="1">AVERAGE(OFFSET($AM$3,0,0,'Données projet'!$E$10+1,1))-AVERAGE(OFFSET($H$3,0,0,'Données projet'!$E$10+1,1))</f>
        <v>262.78347246606825</v>
      </c>
      <c r="AO22" s="62">
        <f t="shared" si="36"/>
        <v>448.84541017639367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0.30800000000000005</v>
      </c>
      <c r="AT22" s="17">
        <f>IF(ISNA(VLOOKUP(A22,'Données projet'!$A$61:$I$81,7,0)),0%,VLOOKUP(A22,'Données projet'!$A$61:$I$81,7,0))</f>
        <v>0.44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18</v>
      </c>
      <c r="BD22" s="13">
        <f>IF('Données projet'!$A$88&gt;35,BD21+BC22-BL21,IF(A22&lt;'Données projet'!$A$88,$BA$205^A22,IF(A22='Données projet'!$A$88,'Données projet'!$B$88,BD21+BC22-BL21)))</f>
        <v>110</v>
      </c>
      <c r="BE22" s="14">
        <f>BD22*VLOOKUP('Données projet'!$B$11,Paramètres!$A$1:$I$88,3,0)*VLOOKUP('Données projet'!$B$11,Paramètres!$A$1:$I$88,5,0)</f>
        <v>68.64</v>
      </c>
      <c r="BF22" s="14">
        <f t="shared" si="37"/>
        <v>19.335336956640202</v>
      </c>
      <c r="BG22" s="22">
        <f t="shared" si="7"/>
        <v>153.22371186614836</v>
      </c>
      <c r="BH22" s="62">
        <f t="shared" si="8"/>
        <v>446.55704519948165</v>
      </c>
      <c r="BI22" s="62">
        <f ca="1">AVERAGE(OFFSET($BH$3,0,0,'Données projet'!$E$11+1,1))-AVERAGE(OFFSET($H$3,0,0,'Données projet'!$E$11+1,1))</f>
        <v>135.14998708332445</v>
      </c>
      <c r="BJ22" s="62">
        <f t="shared" si="38"/>
        <v>245.50083454484513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5.3892416958639284</v>
      </c>
      <c r="BR22" s="23">
        <f>EXP(-LN(2)/2)*BR21+(1-EXP(-LN(2)/2))/(LN(2)/2)*BL22*BO22*VLOOKUP('Données projet'!$B$11,Paramètres!$A$1:$I$88,3,0)*0.475*44/12</f>
        <v>4.3963048846345947</v>
      </c>
      <c r="BS22" s="24">
        <f t="shared" si="9"/>
        <v>9.7855465804985222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5.5909090909090908</v>
      </c>
      <c r="BY22" s="13">
        <f>IF('Données projet'!$A$114&gt;35,BY21+BX22-CG21,IF(A22&lt;'Données projet'!$A$114,$BV$205^A22,IF(A22='Données projet'!$A$114,'Données projet'!$B$114,BY21+BX22-CG21)))</f>
        <v>63.814306040343304</v>
      </c>
      <c r="BZ22" s="14">
        <f>BY22*VLOOKUP('Données projet'!$B$12,Paramètres!$A$1:$I$88,3,0)*VLOOKUP('Données projet'!$B$12,Paramètres!$A$1:$I$88,5,0)</f>
        <v>38.160955012125299</v>
      </c>
      <c r="CA22" s="14">
        <f t="shared" si="39"/>
        <v>11.509880661066306</v>
      </c>
      <c r="CB22" s="22">
        <f t="shared" si="10"/>
        <v>86.510038797475374</v>
      </c>
      <c r="CC22" s="62">
        <f t="shared" si="11"/>
        <v>379.84337213080869</v>
      </c>
      <c r="CD22" s="62">
        <f ca="1">AVERAGE(OFFSET($CC$3,0,0,'Données projet'!$E$12+1,1))-AVERAGE(OFFSET($H$3,0,0,'Données projet'!$E$12+1,1))</f>
        <v>168.16583766359378</v>
      </c>
      <c r="CE22" s="62">
        <f t="shared" si="40"/>
        <v>194.52809733694494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8</v>
      </c>
      <c r="CT22" s="13">
        <f>IF('Données projet'!$A$140&gt;35,CT21+CS22-DB21,IF(A22&lt;'Données projet'!$A$140,$CQ$205^A22,IF(A22='Données projet'!$A$140,'Données projet'!$B$140,CT21+CS22-DB21)))</f>
        <v>79</v>
      </c>
      <c r="CU22" s="18">
        <f>CT22*VLOOKUP('Données projet'!$B$13,Paramètres!$A$1:$I$88,3,0)*VLOOKUP('Données projet'!$B$13,Paramètres!$A$1:$I$88,5,0)</f>
        <v>69.014400000000009</v>
      </c>
      <c r="CV22" s="14">
        <f t="shared" si="41"/>
        <v>19.428496726251055</v>
      </c>
      <c r="CW22" s="22">
        <f t="shared" si="13"/>
        <v>154.03804513155393</v>
      </c>
      <c r="CX22" s="62">
        <f t="shared" si="14"/>
        <v>447.37137846488724</v>
      </c>
      <c r="CY22" s="62">
        <f ca="1">AVERAGE(OFFSET($CX$3,0,0,'Données projet'!$E$13+1,1))-AVERAGE(OFFSET($H$3,0,0,'Données projet'!$E$13+1,1))</f>
        <v>146.09202487550647</v>
      </c>
      <c r="CZ22" s="62">
        <f t="shared" si="42"/>
        <v>168.58814676269344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4.4000000000000004</v>
      </c>
      <c r="DO22" s="13">
        <f>IF('Données projet'!$A$166&gt;35,DO21+DN22-DW21,IF(A22&lt;'Données projet'!$A$166,$DL$205^A22,IF(A22='Données projet'!$A$166,'Données projet'!$B$166,DO21+DN22-DW21)))</f>
        <v>35.599999999999994</v>
      </c>
      <c r="DP22" s="18">
        <f>DO22*VLOOKUP('Données projet'!$B$14,Paramètres!$A$1:$I$88,3,0)*VLOOKUP('Données projet'!$B$14,Paramètres!$A$1:$I$88,5,0)</f>
        <v>26.101919999999993</v>
      </c>
      <c r="DQ22" s="14">
        <f t="shared" si="43"/>
        <v>8.2285600991803136</v>
      </c>
      <c r="DR22" s="22">
        <f t="shared" si="16"/>
        <v>59.792252839405698</v>
      </c>
      <c r="DS22" s="62">
        <f t="shared" si="17"/>
        <v>353.12558617273902</v>
      </c>
      <c r="DT22" s="62">
        <f ca="1">AVERAGE(OFFSET($DS$3,0,0,'Données projet'!$E$14+1,1))-AVERAGE(OFFSET($H$3,0,0,'Données projet'!$E$14+1,1))</f>
        <v>116.35584360635318</v>
      </c>
      <c r="DU22" s="62">
        <f t="shared" si="44"/>
        <v>86.38226293640173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0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5.666666666666667</v>
      </c>
      <c r="N23" s="14">
        <f>IF('Données projet'!$A$36&gt;35,N22+M23-V22,IF(A23&lt;'Données projet'!$A$36,$K$205^A23,IF(A23='Données projet'!$A$36,'Données projet'!$B$36,N22+M23-V22)))</f>
        <v>30.68781360162793</v>
      </c>
      <c r="O23" s="14">
        <f>N23*VLOOKUP('Données projet'!$B$9,Paramètres!$A$1:$I$88,3,0)*VLOOKUP('Données projet'!$B$9,Paramètres!$A$1:$I$88,5,0)</f>
        <v>14.361896765561871</v>
      </c>
      <c r="P23" s="14">
        <f t="shared" si="33"/>
        <v>4.8536048055679508</v>
      </c>
      <c r="Q23" s="22">
        <f t="shared" si="2"/>
        <v>33.466998569717767</v>
      </c>
      <c r="R23" s="62">
        <f t="shared" si="0"/>
        <v>326.80033190305107</v>
      </c>
      <c r="S23" s="62">
        <f ca="1">AVERAGE(OFFSET($R$3,0,0,'Données projet'!$E$9+1,1))-AVERAGE(OFFSET($H$3,0,0,'Données projet'!$E$9+1,1))</f>
        <v>82.229723373996478</v>
      </c>
      <c r="T23" s="62">
        <f t="shared" si="34"/>
        <v>115.86489547584461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projet'!$B$10,Paramètres!$A$1:$I$88,3,0)*VLOOKUP('Données projet'!$B$10,Paramètres!$A$1:$I$88,5,0)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528.84537536099572</v>
      </c>
      <c r="AN23" s="62">
        <f ca="1">AVERAGE(OFFSET($AM$3,0,0,'Données projet'!$E$10+1,1))-AVERAGE(OFFSET($H$3,0,0,'Données projet'!$E$10+1,1))</f>
        <v>262.78347246606825</v>
      </c>
      <c r="AO23" s="62">
        <f t="shared" si="36"/>
        <v>448.84541017639367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18</v>
      </c>
      <c r="BD23" s="13">
        <f>IF('Données projet'!$A$88&gt;35,BD22+BC23-BL22,IF(A23&lt;'Données projet'!$A$88,$BA$205^A23,IF(A23='Données projet'!$A$88,'Données projet'!$B$88,BD22+BC23-BL22)))</f>
        <v>128</v>
      </c>
      <c r="BE23" s="14">
        <f>BD23*VLOOKUP('Données projet'!$B$11,Paramètres!$A$1:$I$88,3,0)*VLOOKUP('Données projet'!$B$11,Paramètres!$A$1:$I$88,5,0)</f>
        <v>79.872</v>
      </c>
      <c r="BF23" s="14">
        <f t="shared" si="37"/>
        <v>22.105884547145418</v>
      </c>
      <c r="BG23" s="22">
        <f t="shared" si="7"/>
        <v>177.61148225294494</v>
      </c>
      <c r="BH23" s="62">
        <f t="shared" si="8"/>
        <v>470.94481558627825</v>
      </c>
      <c r="BI23" s="62">
        <f ca="1">AVERAGE(OFFSET($BH$3,0,0,'Données projet'!$E$11+1,1))-AVERAGE(OFFSET($H$3,0,0,'Données projet'!$E$11+1,1))</f>
        <v>135.14998708332445</v>
      </c>
      <c r="BJ23" s="62">
        <f t="shared" si="38"/>
        <v>245.50083454484513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5.241872598282626</v>
      </c>
      <c r="BR23" s="23">
        <f>EXP(-LN(2)/2)*BR22+(1-EXP(-LN(2)/2))/(LN(2)/2)*BL23*BO23*VLOOKUP('Données projet'!$B$11,Paramètres!$A$1:$I$88,3,0)*0.475*44/12</f>
        <v>3.1086569960886647</v>
      </c>
      <c r="BS23" s="24">
        <f t="shared" si="9"/>
        <v>8.3505295943712916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5.5909090909090908</v>
      </c>
      <c r="BY23" s="13">
        <f>IF('Données projet'!$A$114&gt;35,BY22+BX23-CG22,IF(A23&lt;'Données projet'!$A$114,$BV$205^A23,IF(A23='Données projet'!$A$114,'Données projet'!$B$114,BY22+BX23-CG22)))</f>
        <v>79.417047587426694</v>
      </c>
      <c r="BZ23" s="14">
        <f>BY23*VLOOKUP('Données projet'!$B$12,Paramètres!$A$1:$I$88,3,0)*VLOOKUP('Données projet'!$B$12,Paramètres!$A$1:$I$88,5,0)</f>
        <v>47.49139445728116</v>
      </c>
      <c r="CA23" s="14">
        <f t="shared" si="39"/>
        <v>13.96397329692701</v>
      </c>
      <c r="CB23" s="22">
        <f t="shared" si="10"/>
        <v>107.03476550524589</v>
      </c>
      <c r="CC23" s="62">
        <f t="shared" si="11"/>
        <v>400.36809883857921</v>
      </c>
      <c r="CD23" s="62">
        <f ca="1">AVERAGE(OFFSET($CC$3,0,0,'Données projet'!$E$12+1,1))-AVERAGE(OFFSET($H$3,0,0,'Données projet'!$E$12+1,1))</f>
        <v>168.16583766359378</v>
      </c>
      <c r="CE23" s="62">
        <f t="shared" si="40"/>
        <v>194.52809733694494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87</v>
      </c>
      <c r="CR23" s="13">
        <f>VLOOKUP(A23,'Données projet'!$A$139:$I$159,9,0)</f>
        <v>8</v>
      </c>
      <c r="CS23" s="13">
        <f t="array" ref="CS23">INDEX(CR:CR,MIN(IF(ISNUMBER(CR23:CR219),ROW(CR23:CR219),"")))</f>
        <v>8</v>
      </c>
      <c r="CT23" s="13">
        <f>IF('Données projet'!$A$140&gt;35,CT22+CS23-DB22,IF(A23&lt;'Données projet'!$A$140,$CQ$205^A23,IF(A23='Données projet'!$A$140,'Données projet'!$B$140,CT22+CS23-DB22)))</f>
        <v>87</v>
      </c>
      <c r="CU23" s="18">
        <f>CT23*VLOOKUP('Données projet'!$B$13,Paramètres!$A$1:$I$88,3,0)*VLOOKUP('Données projet'!$B$13,Paramètres!$A$1:$I$88,5,0)</f>
        <v>76.003200000000007</v>
      </c>
      <c r="CV23" s="14">
        <f t="shared" si="41"/>
        <v>21.157049992000456</v>
      </c>
      <c r="CW23" s="22">
        <f t="shared" si="13"/>
        <v>169.22076873606747</v>
      </c>
      <c r="CX23" s="62">
        <f t="shared" si="14"/>
        <v>462.55410206940076</v>
      </c>
      <c r="CY23" s="62">
        <f ca="1">AVERAGE(OFFSET($CX$3,0,0,'Données projet'!$E$13+1,1))-AVERAGE(OFFSET($H$3,0,0,'Données projet'!$E$13+1,1))</f>
        <v>146.09202487550647</v>
      </c>
      <c r="CZ23" s="62">
        <f t="shared" si="42"/>
        <v>168.58814676269344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29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40</v>
      </c>
      <c r="DM23" s="13">
        <f>VLOOKUP(A23,'Données projet'!$A$165:$I$185,9,0)</f>
        <v>4.4000000000000004</v>
      </c>
      <c r="DN23" s="13">
        <f t="array" ref="DN23">INDEX(DM:DM,MIN(IF(ISNUMBER(DM23:DM219),ROW(DM23:DM219),"")))</f>
        <v>4.4000000000000004</v>
      </c>
      <c r="DO23" s="13">
        <f>IF('Données projet'!$A$166&gt;35,DO22+DN23-DW22,IF(A23&lt;'Données projet'!$A$166,$DL$205^A23,IF(A23='Données projet'!$A$166,'Données projet'!$B$166,DO22+DN23-DW22)))</f>
        <v>39.999999999999993</v>
      </c>
      <c r="DP23" s="18">
        <f>DO23*VLOOKUP('Données projet'!$B$14,Paramètres!$A$1:$I$88,3,0)*VLOOKUP('Données projet'!$B$14,Paramètres!$A$1:$I$88,5,0)</f>
        <v>29.327999999999996</v>
      </c>
      <c r="DQ23" s="14">
        <f t="shared" si="43"/>
        <v>9.1210079777371842</v>
      </c>
      <c r="DR23" s="22">
        <f t="shared" si="16"/>
        <v>66.965355561225593</v>
      </c>
      <c r="DS23" s="62">
        <f t="shared" si="17"/>
        <v>360.29868889455889</v>
      </c>
      <c r="DT23" s="62">
        <f ca="1">AVERAGE(OFFSET($DS$3,0,0,'Données projet'!$E$14+1,1))-AVERAGE(OFFSET($H$3,0,0,'Données projet'!$E$14+1,1))</f>
        <v>116.35584360635318</v>
      </c>
      <c r="DU23" s="62">
        <f t="shared" si="44"/>
        <v>86.38226293640173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4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0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5.666666666666667</v>
      </c>
      <c r="N24" s="14">
        <f>IF('Données projet'!$A$36&gt;35,N23+M24-V23,IF(A24&lt;'Données projet'!$A$36,$K$205^A24,IF(A24='Données projet'!$A$36,'Données projet'!$B$36,N23+M24-V23)))</f>
        <v>36.417845151923039</v>
      </c>
      <c r="O24" s="14">
        <f>N24*VLOOKUP('Données projet'!$B$9,Paramètres!$A$1:$I$88,3,0)*VLOOKUP('Données projet'!$B$9,Paramètres!$A$1:$I$88,5,0)</f>
        <v>17.043551531099983</v>
      </c>
      <c r="P24" s="14">
        <f t="shared" si="33"/>
        <v>5.6462300295983905</v>
      </c>
      <c r="Q24" s="22">
        <f t="shared" si="2"/>
        <v>39.518036218216324</v>
      </c>
      <c r="R24" s="62">
        <f t="shared" si="0"/>
        <v>332.85136955154962</v>
      </c>
      <c r="S24" s="62">
        <f ca="1">AVERAGE(OFFSET($R$3,0,0,'Données projet'!$E$9+1,1))-AVERAGE(OFFSET($H$3,0,0,'Données projet'!$E$9+1,1))</f>
        <v>82.229723373996478</v>
      </c>
      <c r="T24" s="62">
        <f t="shared" si="34"/>
        <v>115.86489547584461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projet'!$B$10,Paramètres!$A$1:$I$88,3,0)*VLOOKUP('Données projet'!$B$10,Paramètres!$A$1:$I$88,5,0)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563.4995651481911</v>
      </c>
      <c r="AN24" s="62">
        <f ca="1">AVERAGE(OFFSET($AM$3,0,0,'Données projet'!$E$10+1,1))-AVERAGE(OFFSET($H$3,0,0,'Données projet'!$E$10+1,1))</f>
        <v>262.78347246606825</v>
      </c>
      <c r="AO24" s="62">
        <f t="shared" si="36"/>
        <v>448.84541017639367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>
        <f>VLOOKUP(A24,'Données projet'!$A$87:$I$107,2,0)</f>
        <v>146</v>
      </c>
      <c r="BB24" s="13">
        <f>VLOOKUP(A24,'Données projet'!$A$87:$I$107,9,0)</f>
        <v>18</v>
      </c>
      <c r="BC24" s="13">
        <f t="array" ref="BC24">INDEX(BB:BB,MIN(IF(ISNUMBER(BB24:BB220),ROW(BB24:BB220),"")))</f>
        <v>18</v>
      </c>
      <c r="BD24" s="13">
        <f>IF('Données projet'!$A$88&gt;35,BD23+BC24-BL23,IF(A24&lt;'Données projet'!$A$88,$BA$205^A24,IF(A24='Données projet'!$A$88,'Données projet'!$B$88,BD23+BC24-BL23)))</f>
        <v>146</v>
      </c>
      <c r="BE24" s="14">
        <f>BD24*VLOOKUP('Données projet'!$B$11,Paramètres!$A$1:$I$88,3,0)*VLOOKUP('Données projet'!$B$11,Paramètres!$A$1:$I$88,5,0)</f>
        <v>91.103999999999999</v>
      </c>
      <c r="BF24" s="14">
        <f t="shared" si="37"/>
        <v>24.831293984707884</v>
      </c>
      <c r="BG24" s="22">
        <f t="shared" si="7"/>
        <v>201.92063702336623</v>
      </c>
      <c r="BH24" s="62">
        <f t="shared" si="8"/>
        <v>495.25397035669954</v>
      </c>
      <c r="BI24" s="62">
        <f ca="1">AVERAGE(OFFSET($BH$3,0,0,'Données projet'!$E$11+1,1))-AVERAGE(OFFSET($H$3,0,0,'Données projet'!$E$11+1,1))</f>
        <v>135.14998708332445</v>
      </c>
      <c r="BJ24" s="62">
        <f t="shared" si="38"/>
        <v>245.50083454484513</v>
      </c>
      <c r="BK24" s="16">
        <f>IF(ISNA(VLOOKUP(A24,'Données projet'!$A$87:$I$107,3,0)),0,VLOOKUP(A24,'Données projet'!$A$87:$I$107,3,0))</f>
        <v>2</v>
      </c>
      <c r="BL24" s="16">
        <f>IF(ISNA(VLOOKUP(A24,'Données projet'!$A$87:$I$107,4,0)),0,VLOOKUP(A24,'Données projet'!$A$87:$I$107,4,0))</f>
        <v>26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0.33600000000000002</v>
      </c>
      <c r="BO24" s="17">
        <f>IF(ISNA(VLOOKUP(A24,'Données projet'!$A$87:$I$107,7,0)),0%,VLOOKUP(A24,'Données projet'!$A$87:$I$107,7,0))</f>
        <v>0.44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12.301513389946308</v>
      </c>
      <c r="BR24" s="23">
        <f>EXP(-LN(2)/2)*BR23+(1-EXP(-LN(2)/2))/(LN(2)/2)*BL24*BO24*VLOOKUP('Données projet'!$B$11,Paramètres!$A$1:$I$88,3,0)*0.475*44/12</f>
        <v>10.280660632147827</v>
      </c>
      <c r="BS24" s="24">
        <f t="shared" si="9"/>
        <v>22.582174022094136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5.5909090909090908</v>
      </c>
      <c r="BY24" s="13">
        <f>IF('Données projet'!$A$114&gt;35,BY23+BX24-CG23,IF(A24&lt;'Données projet'!$A$114,$BV$205^A24,IF(A24='Données projet'!$A$114,'Données projet'!$B$114,BY23+BX24-CG23)))</f>
        <v>98.834694582689295</v>
      </c>
      <c r="BZ24" s="14">
        <f>BY24*VLOOKUP('Données projet'!$B$12,Paramètres!$A$1:$I$88,3,0)*VLOOKUP('Données projet'!$B$12,Paramètres!$A$1:$I$88,5,0)</f>
        <v>59.103147360448204</v>
      </c>
      <c r="CA24" s="14">
        <f t="shared" si="39"/>
        <v>16.94131815778756</v>
      </c>
      <c r="CB24" s="22">
        <f t="shared" si="10"/>
        <v>132.44411077759398</v>
      </c>
      <c r="CC24" s="62">
        <f t="shared" si="11"/>
        <v>425.77744411092726</v>
      </c>
      <c r="CD24" s="62">
        <f ca="1">AVERAGE(OFFSET($CC$3,0,0,'Données projet'!$E$12+1,1))-AVERAGE(OFFSET($H$3,0,0,'Données projet'!$E$12+1,1))</f>
        <v>168.16583766359378</v>
      </c>
      <c r="CE24" s="62">
        <f t="shared" si="40"/>
        <v>194.52809733694494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</v>
      </c>
      <c r="CT24" s="13">
        <f>IF('Données projet'!$A$140&gt;35,CT23+CS24-DB23,IF(A24&lt;'Données projet'!$A$140,$CQ$205^A24,IF(A24='Données projet'!$A$140,'Données projet'!$B$140,CT23+CS24-DB23)))</f>
        <v>66</v>
      </c>
      <c r="CU24" s="18">
        <f>CT24*VLOOKUP('Données projet'!$B$13,Paramètres!$A$1:$I$88,3,0)*VLOOKUP('Données projet'!$B$13,Paramètres!$A$1:$I$88,5,0)</f>
        <v>57.657600000000002</v>
      </c>
      <c r="CV24" s="14">
        <f t="shared" si="41"/>
        <v>16.574671209026025</v>
      </c>
      <c r="CW24" s="22">
        <f t="shared" si="13"/>
        <v>129.28787235572034</v>
      </c>
      <c r="CX24" s="62">
        <f t="shared" si="14"/>
        <v>422.62120568905368</v>
      </c>
      <c r="CY24" s="62">
        <f ca="1">AVERAGE(OFFSET($CX$3,0,0,'Données projet'!$E$13+1,1))-AVERAGE(OFFSET($H$3,0,0,'Données projet'!$E$13+1,1))</f>
        <v>146.09202487550647</v>
      </c>
      <c r="CZ24" s="62">
        <f t="shared" si="42"/>
        <v>168.58814676269344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5.8</v>
      </c>
      <c r="DO24" s="13">
        <f>IF('Données projet'!$A$166&gt;35,DO23+DN24-DW23,IF(A24&lt;'Données projet'!$A$166,$DL$205^A24,IF(A24='Données projet'!$A$166,'Données projet'!$B$166,DO23+DN24-DW23)))</f>
        <v>41.79999999999999</v>
      </c>
      <c r="DP24" s="18">
        <f>DO24*VLOOKUP('Données projet'!$B$14,Paramètres!$A$1:$I$88,3,0)*VLOOKUP('Données projet'!$B$14,Paramètres!$A$1:$I$88,5,0)</f>
        <v>30.647759999999991</v>
      </c>
      <c r="DQ24" s="14">
        <f t="shared" si="43"/>
        <v>9.4827432029483987</v>
      </c>
      <c r="DR24" s="22">
        <f t="shared" si="16"/>
        <v>69.89395974513512</v>
      </c>
      <c r="DS24" s="62">
        <f t="shared" si="17"/>
        <v>363.22729307846845</v>
      </c>
      <c r="DT24" s="62">
        <f ca="1">AVERAGE(OFFSET($DS$3,0,0,'Données projet'!$E$14+1,1))-AVERAGE(OFFSET($H$3,0,0,'Données projet'!$E$14+1,1))</f>
        <v>116.35584360635318</v>
      </c>
      <c r="DU24" s="62">
        <f t="shared" si="44"/>
        <v>86.38226293640173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0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5.666666666666667</v>
      </c>
      <c r="N25" s="14">
        <f>IF('Données projet'!$A$36&gt;35,N24+M25-V24,IF(A25&lt;'Données projet'!$A$36,$K$205^A25,IF(A25='Données projet'!$A$36,'Données projet'!$B$36,N24+M25-V24)))</f>
        <v>43.217788752441109</v>
      </c>
      <c r="O25" s="14">
        <f>N25*VLOOKUP('Données projet'!$B$9,Paramètres!$A$1:$I$88,3,0)*VLOOKUP('Données projet'!$B$9,Paramètres!$A$1:$I$88,5,0)</f>
        <v>20.22592513614244</v>
      </c>
      <c r="P25" s="14">
        <f t="shared" si="33"/>
        <v>6.5682961065488277</v>
      </c>
      <c r="Q25" s="22">
        <f t="shared" si="2"/>
        <v>46.666601997687287</v>
      </c>
      <c r="R25" s="62">
        <f t="shared" si="0"/>
        <v>339.99993533102059</v>
      </c>
      <c r="S25" s="62">
        <f ca="1">AVERAGE(OFFSET($R$3,0,0,'Données projet'!$E$9+1,1))-AVERAGE(OFFSET($H$3,0,0,'Données projet'!$E$9+1,1))</f>
        <v>82.229723373996478</v>
      </c>
      <c r="T25" s="62">
        <f t="shared" si="34"/>
        <v>115.86489547584461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projet'!$B$10,Paramètres!$A$1:$I$88,3,0)*VLOOKUP('Données projet'!$B$10,Paramètres!$A$1:$I$88,5,0)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598.05364786280813</v>
      </c>
      <c r="AN25" s="62">
        <f ca="1">AVERAGE(OFFSET($AM$3,0,0,'Données projet'!$E$10+1,1))-AVERAGE(OFFSET($H$3,0,0,'Données projet'!$E$10+1,1))</f>
        <v>262.78347246606825</v>
      </c>
      <c r="AO25" s="62">
        <f t="shared" si="36"/>
        <v>448.84541017639367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</v>
      </c>
      <c r="BD25" s="13">
        <f>IF('Données projet'!$A$88&gt;35,BD24+BC25-BL24,IF(A25&lt;'Données projet'!$A$88,$BA$205^A25,IF(A25='Données projet'!$A$88,'Données projet'!$B$88,BD24+BC25-BL24)))</f>
        <v>136</v>
      </c>
      <c r="BE25" s="14">
        <f>BD25*VLOOKUP('Données projet'!$B$11,Paramètres!$A$1:$I$88,3,0)*VLOOKUP('Données projet'!$B$11,Paramètres!$A$1:$I$88,5,0)</f>
        <v>84.864000000000004</v>
      </c>
      <c r="BF25" s="14">
        <f t="shared" si="37"/>
        <v>23.322341364766192</v>
      </c>
      <c r="BG25" s="22">
        <f t="shared" si="7"/>
        <v>188.42454454363443</v>
      </c>
      <c r="BH25" s="62">
        <f t="shared" si="8"/>
        <v>481.75787787696777</v>
      </c>
      <c r="BI25" s="62">
        <f ca="1">AVERAGE(OFFSET($BH$3,0,0,'Données projet'!$E$11+1,1))-AVERAGE(OFFSET($H$3,0,0,'Données projet'!$E$11+1,1))</f>
        <v>135.14998708332445</v>
      </c>
      <c r="BJ25" s="62">
        <f t="shared" si="38"/>
        <v>245.50083454484513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11.965127859389753</v>
      </c>
      <c r="BR25" s="23">
        <f>EXP(-LN(2)/2)*BR24+(1-EXP(-LN(2)/2))/(LN(2)/2)*BL25*BO25*VLOOKUP('Données projet'!$B$11,Paramètres!$A$1:$I$88,3,0)*0.475*44/12</f>
        <v>7.2695248480693069</v>
      </c>
      <c r="BS25" s="24">
        <f t="shared" si="9"/>
        <v>19.234652707459059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123</v>
      </c>
      <c r="BW25" s="13">
        <f>VLOOKUP(A25,'Données projet'!$A$113:$I$133,9,0)</f>
        <v>5.5909090909090908</v>
      </c>
      <c r="BX25" s="13">
        <f t="array" ref="BX25">INDEX(BW:BW,MIN(IF(ISNUMBER(BW25:BW221),ROW(BW25:BW221),"")))</f>
        <v>5.5909090909090908</v>
      </c>
      <c r="BY25" s="13">
        <f>IF('Données projet'!$A$114&gt;35,BY24+BX25-CG24,IF(A25&lt;'Données projet'!$A$114,$BV$205^A25,IF(A25='Données projet'!$A$114,'Données projet'!$B$114,BY24+BX25-CG24)))</f>
        <v>123</v>
      </c>
      <c r="BZ25" s="14">
        <f>BY25*VLOOKUP('Données projet'!$B$12,Paramètres!$A$1:$I$88,3,0)*VLOOKUP('Données projet'!$B$12,Paramètres!$A$1:$I$88,5,0)</f>
        <v>73.554000000000016</v>
      </c>
      <c r="CA25" s="14">
        <f t="shared" si="39"/>
        <v>20.553481077376691</v>
      </c>
      <c r="CB25" s="22">
        <f t="shared" si="10"/>
        <v>163.90386287643108</v>
      </c>
      <c r="CC25" s="62">
        <f t="shared" si="11"/>
        <v>457.23719620976442</v>
      </c>
      <c r="CD25" s="62">
        <f ca="1">AVERAGE(OFFSET($CC$3,0,0,'Données projet'!$E$12+1,1))-AVERAGE(OFFSET($H$3,0,0,'Données projet'!$E$12+1,1))</f>
        <v>168.16583766359378</v>
      </c>
      <c r="CE25" s="62">
        <f t="shared" si="40"/>
        <v>194.52809733694494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16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</v>
      </c>
      <c r="CT25" s="13">
        <f>IF('Données projet'!$A$140&gt;35,CT24+CS25-DB24,IF(A25&lt;'Données projet'!$A$140,$CQ$205^A25,IF(A25='Données projet'!$A$140,'Données projet'!$B$140,CT24+CS25-DB24)))</f>
        <v>74</v>
      </c>
      <c r="CU25" s="18">
        <f>CT25*VLOOKUP('Données projet'!$B$13,Paramètres!$A$1:$I$88,3,0)*VLOOKUP('Données projet'!$B$13,Paramètres!$A$1:$I$88,5,0)</f>
        <v>64.646400000000014</v>
      </c>
      <c r="CV25" s="14">
        <f t="shared" si="41"/>
        <v>18.337876695493666</v>
      </c>
      <c r="CW25" s="22">
        <f t="shared" si="13"/>
        <v>144.53094857798482</v>
      </c>
      <c r="CX25" s="62">
        <f t="shared" si="14"/>
        <v>437.86428191131813</v>
      </c>
      <c r="CY25" s="62">
        <f ca="1">AVERAGE(OFFSET($CX$3,0,0,'Données projet'!$E$13+1,1))-AVERAGE(OFFSET($H$3,0,0,'Données projet'!$E$13+1,1))</f>
        <v>146.09202487550647</v>
      </c>
      <c r="CZ25" s="62">
        <f t="shared" si="42"/>
        <v>168.58814676269344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5.8</v>
      </c>
      <c r="DO25" s="13">
        <f>IF('Données projet'!$A$166&gt;35,DO24+DN25-DW24,IF(A25&lt;'Données projet'!$A$166,$DL$205^A25,IF(A25='Données projet'!$A$166,'Données projet'!$B$166,DO24+DN25-DW24)))</f>
        <v>47.599999999999987</v>
      </c>
      <c r="DP25" s="18">
        <f>DO25*VLOOKUP('Données projet'!$B$14,Paramètres!$A$1:$I$88,3,0)*VLOOKUP('Données projet'!$B$14,Paramètres!$A$1:$I$88,5,0)</f>
        <v>34.900319999999986</v>
      </c>
      <c r="DQ25" s="14">
        <f t="shared" si="43"/>
        <v>10.636435985458307</v>
      </c>
      <c r="DR25" s="22">
        <f t="shared" si="16"/>
        <v>79.309850008006521</v>
      </c>
      <c r="DS25" s="62">
        <f t="shared" si="17"/>
        <v>372.64318334133986</v>
      </c>
      <c r="DT25" s="62">
        <f ca="1">AVERAGE(OFFSET($DS$3,0,0,'Données projet'!$E$14+1,1))-AVERAGE(OFFSET($H$3,0,0,'Données projet'!$E$14+1,1))</f>
        <v>116.35584360635318</v>
      </c>
      <c r="DU25" s="62">
        <f t="shared" si="44"/>
        <v>86.38226293640173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0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5.666666666666667</v>
      </c>
      <c r="N26" s="14">
        <f>IF('Données projet'!$A$36&gt;35,N25+M26-V25,IF(A26&lt;'Données projet'!$A$36,$K$205^A26,IF(A26='Données projet'!$A$36,'Données projet'!$B$36,N25+M26-V25)))</f>
        <v>51.287418485604626</v>
      </c>
      <c r="O26" s="14">
        <f>N26*VLOOKUP('Données projet'!$B$9,Paramètres!$A$1:$I$88,3,0)*VLOOKUP('Données projet'!$B$9,Paramètres!$A$1:$I$88,5,0)</f>
        <v>24.002511851262966</v>
      </c>
      <c r="P26" s="14">
        <f t="shared" si="33"/>
        <v>7.6409415693559897</v>
      </c>
      <c r="Q26" s="22">
        <f t="shared" si="2"/>
        <v>55.112348040911343</v>
      </c>
      <c r="R26" s="62">
        <f t="shared" si="0"/>
        <v>348.44568137424466</v>
      </c>
      <c r="S26" s="62">
        <f ca="1">AVERAGE(OFFSET($R$3,0,0,'Données projet'!$E$9+1,1))-AVERAGE(OFFSET($H$3,0,0,'Données projet'!$E$9+1,1))</f>
        <v>82.229723373996478</v>
      </c>
      <c r="T26" s="62">
        <f t="shared" si="34"/>
        <v>115.86489547584461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projet'!$B$10,Paramètres!$A$1:$I$88,3,0)*VLOOKUP('Données projet'!$B$10,Paramètres!$A$1:$I$88,5,0)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632.52056549583176</v>
      </c>
      <c r="AN26" s="62">
        <f ca="1">AVERAGE(OFFSET($AM$3,0,0,'Données projet'!$E$10+1,1))-AVERAGE(OFFSET($H$3,0,0,'Données projet'!$E$10+1,1))</f>
        <v>262.78347246606825</v>
      </c>
      <c r="AO26" s="62">
        <f t="shared" si="36"/>
        <v>448.84541017639367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</v>
      </c>
      <c r="BD26" s="13">
        <f>IF('Données projet'!$A$88&gt;35,BD25+BC26-BL25,IF(A26&lt;'Données projet'!$A$88,$BA$205^A26,IF(A26='Données projet'!$A$88,'Données projet'!$B$88,BD25+BC26-BL25)))</f>
        <v>152</v>
      </c>
      <c r="BE26" s="14">
        <f>BD26*VLOOKUP('Données projet'!$B$11,Paramètres!$A$1:$I$88,3,0)*VLOOKUP('Données projet'!$B$11,Paramètres!$A$1:$I$88,5,0)</f>
        <v>94.847999999999999</v>
      </c>
      <c r="BF26" s="14">
        <f t="shared" si="37"/>
        <v>25.730851751939202</v>
      </c>
      <c r="BG26" s="22">
        <f t="shared" si="7"/>
        <v>210.0081668012941</v>
      </c>
      <c r="BH26" s="62">
        <f t="shared" si="8"/>
        <v>503.34150013462738</v>
      </c>
      <c r="BI26" s="62">
        <f ca="1">AVERAGE(OFFSET($BH$3,0,0,'Données projet'!$E$11+1,1))-AVERAGE(OFFSET($H$3,0,0,'Données projet'!$E$11+1,1))</f>
        <v>135.14998708332445</v>
      </c>
      <c r="BJ26" s="62">
        <f t="shared" si="38"/>
        <v>245.50083454484513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11.637940808856012</v>
      </c>
      <c r="BR26" s="23">
        <f>EXP(-LN(2)/2)*BR25+(1-EXP(-LN(2)/2))/(LN(2)/2)*BL26*BO26*VLOOKUP('Données projet'!$B$11,Paramètres!$A$1:$I$88,3,0)*0.475*44/12</f>
        <v>5.1403303160739142</v>
      </c>
      <c r="BS26" s="24">
        <f t="shared" si="9"/>
        <v>16.778271124929926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12.333333333333334</v>
      </c>
      <c r="BY26" s="13">
        <f>IF('Données projet'!$A$114&gt;35,BY25+BX26-CG25,IF(A26&lt;'Données projet'!$A$114,$BV$205^A26,IF(A26='Données projet'!$A$114,'Données projet'!$B$114,BY25+BX26-CG25)))</f>
        <v>119.33333333333334</v>
      </c>
      <c r="BZ26" s="14">
        <f>BY26*VLOOKUP('Données projet'!$B$12,Paramètres!$A$1:$I$88,3,0)*VLOOKUP('Données projet'!$B$12,Paramètres!$A$1:$I$88,5,0)</f>
        <v>71.361333333333349</v>
      </c>
      <c r="CA26" s="14">
        <f t="shared" si="39"/>
        <v>20.011144716858571</v>
      </c>
      <c r="CB26" s="22">
        <f t="shared" si="10"/>
        <v>159.14039927075092</v>
      </c>
      <c r="CC26" s="62">
        <f t="shared" si="11"/>
        <v>452.47373260408426</v>
      </c>
      <c r="CD26" s="62">
        <f ca="1">AVERAGE(OFFSET($CC$3,0,0,'Données projet'!$E$12+1,1))-AVERAGE(OFFSET($H$3,0,0,'Données projet'!$E$12+1,1))</f>
        <v>168.16583766359378</v>
      </c>
      <c r="CE26" s="62">
        <f t="shared" si="40"/>
        <v>194.52809733694494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</v>
      </c>
      <c r="CT26" s="13">
        <f>IF('Données projet'!$A$140&gt;35,CT25+CS26-DB25,IF(A26&lt;'Données projet'!$A$140,$CQ$205^A26,IF(A26='Données projet'!$A$140,'Données projet'!$B$140,CT25+CS26-DB25)))</f>
        <v>82</v>
      </c>
      <c r="CU26" s="18">
        <f>CT26*VLOOKUP('Données projet'!$B$13,Paramètres!$A$1:$I$88,3,0)*VLOOKUP('Données projet'!$B$13,Paramètres!$A$1:$I$88,5,0)</f>
        <v>71.635200000000012</v>
      </c>
      <c r="CV26" s="14">
        <f t="shared" si="41"/>
        <v>20.078988020012648</v>
      </c>
      <c r="CW26" s="22">
        <f t="shared" si="13"/>
        <v>159.73554413485536</v>
      </c>
      <c r="CX26" s="62">
        <f t="shared" si="14"/>
        <v>453.0688774681887</v>
      </c>
      <c r="CY26" s="62">
        <f ca="1">AVERAGE(OFFSET($CX$3,0,0,'Données projet'!$E$13+1,1))-AVERAGE(OFFSET($H$3,0,0,'Données projet'!$E$13+1,1))</f>
        <v>146.09202487550647</v>
      </c>
      <c r="CZ26" s="62">
        <f t="shared" si="42"/>
        <v>168.58814676269344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5.8</v>
      </c>
      <c r="DO26" s="13">
        <f>IF('Données projet'!$A$166&gt;35,DO25+DN26-DW25,IF(A26&lt;'Données projet'!$A$166,$DL$205^A26,IF(A26='Données projet'!$A$166,'Données projet'!$B$166,DO25+DN26-DW25)))</f>
        <v>53.399999999999984</v>
      </c>
      <c r="DP26" s="18">
        <f>DO26*VLOOKUP('Données projet'!$B$14,Paramètres!$A$1:$I$88,3,0)*VLOOKUP('Données projet'!$B$14,Paramètres!$A$1:$I$88,5,0)</f>
        <v>39.152879999999989</v>
      </c>
      <c r="DQ26" s="14">
        <f t="shared" si="43"/>
        <v>11.773838705878203</v>
      </c>
      <c r="DR26" s="22">
        <f t="shared" si="16"/>
        <v>88.697368412737845</v>
      </c>
      <c r="DS26" s="62">
        <f t="shared" si="17"/>
        <v>382.03070174607114</v>
      </c>
      <c r="DT26" s="62">
        <f ca="1">AVERAGE(OFFSET($DS$3,0,0,'Données projet'!$E$14+1,1))-AVERAGE(OFFSET($H$3,0,0,'Données projet'!$E$14+1,1))</f>
        <v>116.35584360635318</v>
      </c>
      <c r="DU26" s="62">
        <f t="shared" si="44"/>
        <v>86.38226293640173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0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5.666666666666667</v>
      </c>
      <c r="N27" s="14">
        <f>IF('Données projet'!$A$36&gt;35,N26+M27-V26,IF(A27&lt;'Données projet'!$A$36,$K$205^A27,IF(A27='Données projet'!$A$36,'Données projet'!$B$36,N26+M27-V26)))</f>
        <v>60.863810270000563</v>
      </c>
      <c r="O27" s="14">
        <f>N27*VLOOKUP('Données projet'!$B$9,Paramètres!$A$1:$I$88,3,0)*VLOOKUP('Données projet'!$B$9,Paramètres!$A$1:$I$88,5,0)</f>
        <v>28.484263206360264</v>
      </c>
      <c r="P27" s="14">
        <f t="shared" si="33"/>
        <v>8.8887570108329133</v>
      </c>
      <c r="Q27" s="22">
        <f t="shared" si="2"/>
        <v>65.091343544944792</v>
      </c>
      <c r="R27" s="62">
        <f t="shared" si="0"/>
        <v>358.42467687827809</v>
      </c>
      <c r="S27" s="62">
        <f ca="1">AVERAGE(OFFSET($R$3,0,0,'Données projet'!$E$9+1,1))-AVERAGE(OFFSET($H$3,0,0,'Données projet'!$E$9+1,1))</f>
        <v>82.229723373996478</v>
      </c>
      <c r="T27" s="62">
        <f t="shared" si="34"/>
        <v>115.86489547584461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projet'!$B$10,Paramètres!$A$1:$I$88,3,0)*VLOOKUP('Données projet'!$B$10,Paramètres!$A$1:$I$88,5,0)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666.91041254463369</v>
      </c>
      <c r="AN27" s="62">
        <f ca="1">AVERAGE(OFFSET($AM$3,0,0,'Données projet'!$E$10+1,1))-AVERAGE(OFFSET($H$3,0,0,'Données projet'!$E$10+1,1))</f>
        <v>262.78347246606825</v>
      </c>
      <c r="AO27" s="62">
        <f t="shared" si="36"/>
        <v>448.84541017639367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168</v>
      </c>
      <c r="BB27" s="13">
        <f>VLOOKUP(A27,'Données projet'!$A$87:$I$107,9,0)</f>
        <v>16</v>
      </c>
      <c r="BC27" s="13">
        <f t="array" ref="BC27">INDEX(BB:BB,MIN(IF(ISNUMBER(BB27:BB223),ROW(BB27:BB223),"")))</f>
        <v>16</v>
      </c>
      <c r="BD27" s="13">
        <f>IF('Données projet'!$A$88&gt;35,BD26+BC27-BL26,IF(A27&lt;'Données projet'!$A$88,$BA$205^A27,IF(A27='Données projet'!$A$88,'Données projet'!$B$88,BD26+BC27-BL26)))</f>
        <v>168</v>
      </c>
      <c r="BE27" s="14">
        <f>BD27*VLOOKUP('Données projet'!$B$11,Paramètres!$A$1:$I$88,3,0)*VLOOKUP('Données projet'!$B$11,Paramètres!$A$1:$I$88,5,0)</f>
        <v>104.83200000000001</v>
      </c>
      <c r="BF27" s="14">
        <f t="shared" si="37"/>
        <v>28.109974371137717</v>
      </c>
      <c r="BG27" s="22">
        <f t="shared" si="7"/>
        <v>231.54060536306486</v>
      </c>
      <c r="BH27" s="62">
        <f t="shared" si="8"/>
        <v>524.87393869639823</v>
      </c>
      <c r="BI27" s="62">
        <f ca="1">AVERAGE(OFFSET($BH$3,0,0,'Données projet'!$E$11+1,1))-AVERAGE(OFFSET($H$3,0,0,'Données projet'!$E$11+1,1))</f>
        <v>135.14998708332445</v>
      </c>
      <c r="BJ27" s="62">
        <f t="shared" si="38"/>
        <v>245.50083454484513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29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0.33600000000000002</v>
      </c>
      <c r="BO27" s="17">
        <f>IF(ISNA(VLOOKUP(A27,'Données projet'!$A$87:$I$107,7,0)),0%,VLOOKUP(A27,'Données projet'!$A$87:$I$107,7,0))</f>
        <v>0.44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19.353793864353321</v>
      </c>
      <c r="BR27" s="23">
        <f>EXP(-LN(2)/2)*BR26+(1-EXP(-LN(2)/2))/(LN(2)/2)*BL27*BO27*VLOOKUP('Données projet'!$B$11,Paramètres!$A$1:$I$88,3,0)*0.475*44/12</f>
        <v>12.649867712691782</v>
      </c>
      <c r="BS27" s="24">
        <f t="shared" si="9"/>
        <v>32.003661577045101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12.333333333333334</v>
      </c>
      <c r="BY27" s="13">
        <f>IF('Données projet'!$A$114&gt;35,BY26+BX27-CG26,IF(A27&lt;'Données projet'!$A$114,$BV$205^A27,IF(A27='Données projet'!$A$114,'Données projet'!$B$114,BY26+BX27-CG26)))</f>
        <v>131.66666666666669</v>
      </c>
      <c r="BZ27" s="14">
        <f>BY27*VLOOKUP('Données projet'!$B$12,Paramètres!$A$1:$I$88,3,0)*VLOOKUP('Données projet'!$B$12,Paramètres!$A$1:$I$88,5,0)</f>
        <v>78.736666666666679</v>
      </c>
      <c r="CA27" s="14">
        <f t="shared" si="39"/>
        <v>21.828006984037064</v>
      </c>
      <c r="CB27" s="22">
        <f t="shared" si="10"/>
        <v>175.15013994164235</v>
      </c>
      <c r="CC27" s="62">
        <f t="shared" si="11"/>
        <v>468.48347327497567</v>
      </c>
      <c r="CD27" s="62">
        <f ca="1">AVERAGE(OFFSET($CC$3,0,0,'Données projet'!$E$12+1,1))-AVERAGE(OFFSET($H$3,0,0,'Données projet'!$E$12+1,1))</f>
        <v>168.16583766359378</v>
      </c>
      <c r="CE27" s="62">
        <f t="shared" si="40"/>
        <v>194.52809733694494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</v>
      </c>
      <c r="CT27" s="13">
        <f>IF('Données projet'!$A$140&gt;35,CT26+CS27-DB26,IF(A27&lt;'Données projet'!$A$140,$CQ$205^A27,IF(A27='Données projet'!$A$140,'Données projet'!$B$140,CT26+CS27-DB26)))</f>
        <v>90</v>
      </c>
      <c r="CU27" s="18">
        <f>CT27*VLOOKUP('Données projet'!$B$13,Paramètres!$A$1:$I$88,3,0)*VLOOKUP('Données projet'!$B$13,Paramètres!$A$1:$I$88,5,0)</f>
        <v>78.624000000000009</v>
      </c>
      <c r="CV27" s="14">
        <f t="shared" si="41"/>
        <v>21.800406010684462</v>
      </c>
      <c r="CW27" s="22">
        <f t="shared" si="13"/>
        <v>174.90584046860877</v>
      </c>
      <c r="CX27" s="62">
        <f t="shared" si="14"/>
        <v>468.23917380194212</v>
      </c>
      <c r="CY27" s="62">
        <f ca="1">AVERAGE(OFFSET($CX$3,0,0,'Données projet'!$E$13+1,1))-AVERAGE(OFFSET($H$3,0,0,'Données projet'!$E$13+1,1))</f>
        <v>146.09202487550647</v>
      </c>
      <c r="CZ27" s="62">
        <f t="shared" si="42"/>
        <v>168.58814676269344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5.8</v>
      </c>
      <c r="DO27" s="13">
        <f>IF('Données projet'!$A$166&gt;35,DO26+DN27-DW26,IF(A27&lt;'Données projet'!$A$166,$DL$205^A27,IF(A27='Données projet'!$A$166,'Données projet'!$B$166,DO26+DN27-DW26)))</f>
        <v>59.199999999999982</v>
      </c>
      <c r="DP27" s="18">
        <f>DO27*VLOOKUP('Données projet'!$B$14,Paramètres!$A$1:$I$88,3,0)*VLOOKUP('Données projet'!$B$14,Paramètres!$A$1:$I$88,5,0)</f>
        <v>43.405439999999984</v>
      </c>
      <c r="DQ27" s="14">
        <f t="shared" si="43"/>
        <v>12.896922417430387</v>
      </c>
      <c r="DR27" s="22">
        <f t="shared" si="16"/>
        <v>98.059947877024555</v>
      </c>
      <c r="DS27" s="62">
        <f t="shared" si="17"/>
        <v>391.39328121035788</v>
      </c>
      <c r="DT27" s="62">
        <f ca="1">AVERAGE(OFFSET($DS$3,0,0,'Données projet'!$E$14+1,1))-AVERAGE(OFFSET($H$3,0,0,'Données projet'!$E$14+1,1))</f>
        <v>116.35584360635318</v>
      </c>
      <c r="DU27" s="62">
        <f t="shared" si="44"/>
        <v>86.38226293640173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0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5.666666666666667</v>
      </c>
      <c r="N28" s="14">
        <f>IF('Données projet'!$A$36&gt;35,N27+M28-V27,IF(A28&lt;'Données projet'!$A$36,$K$205^A28,IF(A28='Données projet'!$A$36,'Données projet'!$B$36,N27+M28-V27)))</f>
        <v>72.228306862868891</v>
      </c>
      <c r="O28" s="14">
        <f>N28*VLOOKUP('Données projet'!$B$9,Paramètres!$A$1:$I$88,3,0)*VLOOKUP('Données projet'!$B$9,Paramètres!$A$1:$I$88,5,0)</f>
        <v>33.802847611822642</v>
      </c>
      <c r="P28" s="14">
        <f t="shared" si="33"/>
        <v>10.340348827492802</v>
      </c>
      <c r="Q28" s="22">
        <f t="shared" si="2"/>
        <v>76.882733798474405</v>
      </c>
      <c r="R28" s="62">
        <f t="shared" si="0"/>
        <v>370.21606713180773</v>
      </c>
      <c r="S28" s="62">
        <f ca="1">AVERAGE(OFFSET($R$3,0,0,'Données projet'!$E$9+1,1))-AVERAGE(OFFSET($H$3,0,0,'Données projet'!$E$9+1,1))</f>
        <v>82.229723373996478</v>
      </c>
      <c r="T28" s="62">
        <f t="shared" si="34"/>
        <v>115.86489547584461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projet'!$B$10,Paramètres!$A$1:$I$88,3,0)*VLOOKUP('Données projet'!$B$10,Paramètres!$A$1:$I$88,5,0)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701.23127282801488</v>
      </c>
      <c r="AN28" s="62">
        <f ca="1">AVERAGE(OFFSET($AM$3,0,0,'Données projet'!$E$10+1,1))-AVERAGE(OFFSET($H$3,0,0,'Données projet'!$E$10+1,1))</f>
        <v>262.78347246606825</v>
      </c>
      <c r="AO28" s="62">
        <f t="shared" si="36"/>
        <v>448.84541017639367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0.30800000000000005</v>
      </c>
      <c r="AT28" s="17">
        <f>IF(ISNA(VLOOKUP(A28,'Données projet'!$A$61:$I$81,7,0)),0%,VLOOKUP(A28,'Données projet'!$A$61:$I$81,7,0))</f>
        <v>0.44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12.284890293662819</v>
      </c>
      <c r="AW28" s="23">
        <f>EXP(-LN(2)/2)*AW27+(1-EXP(-LN(2)/2))/(LN(2)/2)*AQ28*AT28*VLOOKUP('Données projet'!$B$10,Paramètres!$A$1:$I$88,3,0)*0.475*44/12</f>
        <v>15.038128218578914</v>
      </c>
      <c r="AX28" s="23">
        <f t="shared" si="6"/>
        <v>27.323018512241731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14.166666666666666</v>
      </c>
      <c r="BD28" s="13">
        <f>IF('Données projet'!$A$88&gt;35,BD27+BC28-BL27,IF(A28&lt;'Données projet'!$A$88,$BA$205^A28,IF(A28='Données projet'!$A$88,'Données projet'!$B$88,BD27+BC28-BL27)))</f>
        <v>153.16666666666666</v>
      </c>
      <c r="BE28" s="14">
        <f>BD28*VLOOKUP('Données projet'!$B$11,Paramètres!$A$1:$I$88,3,0)*VLOOKUP('Données projet'!$B$11,Paramètres!$A$1:$I$88,5,0)</f>
        <v>95.575999999999993</v>
      </c>
      <c r="BF28" s="14">
        <f t="shared" si="37"/>
        <v>25.905281107545633</v>
      </c>
      <c r="BG28" s="22">
        <f t="shared" si="7"/>
        <v>211.57989792897527</v>
      </c>
      <c r="BH28" s="62">
        <f t="shared" si="8"/>
        <v>504.91323126230861</v>
      </c>
      <c r="BI28" s="62">
        <f ca="1">AVERAGE(OFFSET($BH$3,0,0,'Données projet'!$E$11+1,1))-AVERAGE(OFFSET($H$3,0,0,'Données projet'!$E$11+1,1))</f>
        <v>135.14998708332445</v>
      </c>
      <c r="BJ28" s="62">
        <f t="shared" si="38"/>
        <v>245.50083454484513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18.824563353360794</v>
      </c>
      <c r="BR28" s="23">
        <f>EXP(-LN(2)/2)*BR27+(1-EXP(-LN(2)/2))/(LN(2)/2)*BL28*BO28*VLOOKUP('Données projet'!$B$11,Paramètres!$A$1:$I$88,3,0)*0.475*44/12</f>
        <v>8.94480724075712</v>
      </c>
      <c r="BS28" s="24">
        <f t="shared" si="9"/>
        <v>27.769370594117916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144</v>
      </c>
      <c r="BW28" s="13">
        <f>VLOOKUP(A28,'Données projet'!$A$113:$I$133,9,0)</f>
        <v>12.333333333333334</v>
      </c>
      <c r="BX28" s="13">
        <f t="array" ref="BX28">INDEX(BW:BW,MIN(IF(ISNUMBER(BW28:BW224),ROW(BW28:BW224),"")))</f>
        <v>12.333333333333334</v>
      </c>
      <c r="BY28" s="13">
        <f>IF('Données projet'!$A$114&gt;35,BY27+BX28-CG27,IF(A28&lt;'Données projet'!$A$114,$BV$205^A28,IF(A28='Données projet'!$A$114,'Données projet'!$B$114,BY27+BX28-CG27)))</f>
        <v>144.00000000000003</v>
      </c>
      <c r="BZ28" s="14">
        <f>BY28*VLOOKUP('Données projet'!$B$12,Paramètres!$A$1:$I$88,3,0)*VLOOKUP('Données projet'!$B$12,Paramètres!$A$1:$I$88,5,0)</f>
        <v>86.112000000000009</v>
      </c>
      <c r="CA28" s="14">
        <f t="shared" si="39"/>
        <v>23.625136642852297</v>
      </c>
      <c r="CB28" s="22">
        <f t="shared" si="10"/>
        <v>191.12551298630106</v>
      </c>
      <c r="CC28" s="62">
        <f t="shared" si="11"/>
        <v>484.4588463196344</v>
      </c>
      <c r="CD28" s="62">
        <f ca="1">AVERAGE(OFFSET($CC$3,0,0,'Données projet'!$E$12+1,1))-AVERAGE(OFFSET($H$3,0,0,'Données projet'!$E$12+1,1))</f>
        <v>168.16583766359378</v>
      </c>
      <c r="CE28" s="62">
        <f t="shared" si="40"/>
        <v>194.52809733694494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17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98</v>
      </c>
      <c r="CR28" s="13">
        <f>VLOOKUP(A28,'Données projet'!$A$139:$I$159,9,0)</f>
        <v>8</v>
      </c>
      <c r="CS28" s="13">
        <f t="array" ref="CS28">INDEX(CR:CR,MIN(IF(ISNUMBER(CR28:CR224),ROW(CR28:CR224),"")))</f>
        <v>8</v>
      </c>
      <c r="CT28" s="13">
        <f>IF('Données projet'!$A$140&gt;35,CT27+CS28-DB27,IF(A28&lt;'Données projet'!$A$140,$CQ$205^A28,IF(A28='Données projet'!$A$140,'Données projet'!$B$140,CT27+CS28-DB27)))</f>
        <v>98</v>
      </c>
      <c r="CU28" s="18">
        <f>CT28*VLOOKUP('Données projet'!$B$13,Paramètres!$A$1:$I$88,3,0)*VLOOKUP('Données projet'!$B$13,Paramètres!$A$1:$I$88,5,0)</f>
        <v>85.612800000000007</v>
      </c>
      <c r="CV28" s="14">
        <f t="shared" si="41"/>
        <v>23.504080242391282</v>
      </c>
      <c r="CW28" s="22">
        <f t="shared" si="13"/>
        <v>190.04523308883151</v>
      </c>
      <c r="CX28" s="62">
        <f t="shared" si="14"/>
        <v>483.37856642216479</v>
      </c>
      <c r="CY28" s="62">
        <f ca="1">AVERAGE(OFFSET($CX$3,0,0,'Données projet'!$E$13+1,1))-AVERAGE(OFFSET($H$3,0,0,'Données projet'!$E$13+1,1))</f>
        <v>146.09202487550647</v>
      </c>
      <c r="CZ28" s="62">
        <f t="shared" si="42"/>
        <v>168.58814676269344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19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65</v>
      </c>
      <c r="DM28" s="13">
        <f>VLOOKUP(A28,'Données projet'!$A$165:$I$185,9,0)</f>
        <v>5.8</v>
      </c>
      <c r="DN28" s="13">
        <f t="array" ref="DN28">INDEX(DM:DM,MIN(IF(ISNUMBER(DM28:DM224),ROW(DM28:DM224),"")))</f>
        <v>5.8</v>
      </c>
      <c r="DO28" s="13">
        <f>IF('Données projet'!$A$166&gt;35,DO27+DN28-DW27,IF(A28&lt;'Données projet'!$A$166,$DL$205^A28,IF(A28='Données projet'!$A$166,'Données projet'!$B$166,DO27+DN28-DW27)))</f>
        <v>64.999999999999986</v>
      </c>
      <c r="DP28" s="18">
        <f>DO28*VLOOKUP('Données projet'!$B$14,Paramètres!$A$1:$I$88,3,0)*VLOOKUP('Données projet'!$B$14,Paramètres!$A$1:$I$88,5,0)</f>
        <v>47.657999999999987</v>
      </c>
      <c r="DQ28" s="14">
        <f t="shared" si="43"/>
        <v>14.007249652087207</v>
      </c>
      <c r="DR28" s="22">
        <f t="shared" si="16"/>
        <v>107.40030981071853</v>
      </c>
      <c r="DS28" s="62">
        <f t="shared" si="17"/>
        <v>400.73364314405183</v>
      </c>
      <c r="DT28" s="62">
        <f ca="1">AVERAGE(OFFSET($DS$3,0,0,'Données projet'!$E$14+1,1))-AVERAGE(OFFSET($H$3,0,0,'Données projet'!$E$14+1,1))</f>
        <v>116.35584360635318</v>
      </c>
      <c r="DU28" s="62">
        <f t="shared" si="44"/>
        <v>86.38226293640173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9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0</v>
      </c>
      <c r="EB28" s="23">
        <f>EXP(-LN(2)/25)*EB27+(1-EXP(-LN(2)/25))/(LN(2)/25)*Calculateur!DW28*Calculateur!DY28*VLOOKUP('Données projet'!$B$14,Paramètres!$A$1:$I$88,3,0)*0.475*44/12</f>
        <v>0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5.666666666666667</v>
      </c>
      <c r="N29" s="14">
        <f>IF('Données projet'!$A$36&gt;35,N28+M29-V28,IF(A29&lt;'Données projet'!$A$36,$K$205^A29,IF(A29='Données projet'!$A$36,'Données projet'!$B$36,N28+M29-V28)))</f>
        <v>85.714783368535649</v>
      </c>
      <c r="O29" s="14">
        <f>N29*VLOOKUP('Données projet'!$B$9,Paramètres!$A$1:$I$88,3,0)*VLOOKUP('Données projet'!$B$9,Paramètres!$A$1:$I$88,5,0)</f>
        <v>40.114518616474683</v>
      </c>
      <c r="P29" s="14">
        <f t="shared" si="33"/>
        <v>12.028995026405015</v>
      </c>
      <c r="Q29" s="22">
        <f t="shared" si="2"/>
        <v>90.816619594682138</v>
      </c>
      <c r="R29" s="62">
        <f t="shared" si="0"/>
        <v>384.14995292801547</v>
      </c>
      <c r="S29" s="62">
        <f ca="1">AVERAGE(OFFSET($R$3,0,0,'Données projet'!$E$9+1,1))-AVERAGE(OFFSET($H$3,0,0,'Données projet'!$E$9+1,1))</f>
        <v>82.229723373996478</v>
      </c>
      <c r="T29" s="62">
        <f t="shared" si="34"/>
        <v>115.86489547584461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projet'!$B$10,Paramètres!$A$1:$I$88,3,0)*VLOOKUP('Données projet'!$B$10,Paramètres!$A$1:$I$88,5,0)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670.28592187226661</v>
      </c>
      <c r="AN29" s="62">
        <f ca="1">AVERAGE(OFFSET($AM$3,0,0,'Données projet'!$E$10+1,1))-AVERAGE(OFFSET($H$3,0,0,'Données projet'!$E$10+1,1))</f>
        <v>262.78347246606825</v>
      </c>
      <c r="AO29" s="62">
        <f t="shared" si="36"/>
        <v>448.84541017639367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11.948959322548307</v>
      </c>
      <c r="AW29" s="23">
        <f>EXP(-LN(2)/2)*AW28+(1-EXP(-LN(2)/2))/(LN(2)/2)*AQ29*AT29*VLOOKUP('Données projet'!$B$10,Paramètres!$A$1:$I$88,3,0)*0.475*44/12</f>
        <v>10.633562439709927</v>
      </c>
      <c r="AX29" s="23">
        <f t="shared" si="6"/>
        <v>22.582521762258231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14.166666666666666</v>
      </c>
      <c r="BD29" s="13">
        <f>IF('Données projet'!$A$88&gt;35,BD28+BC29-BL28,IF(A29&lt;'Données projet'!$A$88,$BA$205^A29,IF(A29='Données projet'!$A$88,'Données projet'!$B$88,BD28+BC29-BL28)))</f>
        <v>167.33333333333331</v>
      </c>
      <c r="BE29" s="14">
        <f>BD29*VLOOKUP('Données projet'!$B$11,Paramètres!$A$1:$I$88,3,0)*VLOOKUP('Données projet'!$B$11,Paramètres!$A$1:$I$88,5,0)</f>
        <v>104.416</v>
      </c>
      <c r="BF29" s="14">
        <f t="shared" si="37"/>
        <v>28.01138818767625</v>
      </c>
      <c r="BG29" s="22">
        <f t="shared" si="7"/>
        <v>230.64436776020281</v>
      </c>
      <c r="BH29" s="62">
        <f t="shared" si="8"/>
        <v>523.9777010935361</v>
      </c>
      <c r="BI29" s="62">
        <f ca="1">AVERAGE(OFFSET($BH$3,0,0,'Données projet'!$E$11+1,1))-AVERAGE(OFFSET($H$3,0,0,'Données projet'!$E$11+1,1))</f>
        <v>135.14998708332445</v>
      </c>
      <c r="BJ29" s="62">
        <f t="shared" si="38"/>
        <v>245.50083454484513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18.309804678522379</v>
      </c>
      <c r="BR29" s="23">
        <f>EXP(-LN(2)/2)*BR28+(1-EXP(-LN(2)/2))/(LN(2)/2)*BL29*BO29*VLOOKUP('Données projet'!$B$11,Paramètres!$A$1:$I$88,3,0)*0.475*44/12</f>
        <v>6.3249338563458908</v>
      </c>
      <c r="BS29" s="24">
        <f t="shared" si="9"/>
        <v>24.634738534868269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13.4</v>
      </c>
      <c r="BY29" s="13">
        <f>IF('Données projet'!$A$114&gt;35,BY28+BX29-CG28,IF(A29&lt;'Données projet'!$A$114,$BV$205^A29,IF(A29='Données projet'!$A$114,'Données projet'!$B$114,BY28+BX29-CG28)))</f>
        <v>140.40000000000003</v>
      </c>
      <c r="BZ29" s="14">
        <f>BY29*VLOOKUP('Données projet'!$B$12,Paramètres!$A$1:$I$88,3,0)*VLOOKUP('Données projet'!$B$12,Paramètres!$A$1:$I$88,5,0)</f>
        <v>83.959200000000024</v>
      </c>
      <c r="CA29" s="14">
        <f t="shared" si="39"/>
        <v>23.102490880810642</v>
      </c>
      <c r="CB29" s="22">
        <f t="shared" si="10"/>
        <v>186.46577828407854</v>
      </c>
      <c r="CC29" s="62">
        <f t="shared" si="11"/>
        <v>479.79911161741188</v>
      </c>
      <c r="CD29" s="62">
        <f ca="1">AVERAGE(OFFSET($CC$3,0,0,'Données projet'!$E$12+1,1))-AVERAGE(OFFSET($H$3,0,0,'Données projet'!$E$12+1,1))</f>
        <v>168.16583766359378</v>
      </c>
      <c r="CE29" s="62">
        <f t="shared" si="40"/>
        <v>194.52809733694494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</v>
      </c>
      <c r="CT29" s="13">
        <f>IF('Données projet'!$A$140&gt;35,CT28+CS29-DB28,IF(A29&lt;'Données projet'!$A$140,$CQ$205^A29,IF(A29='Données projet'!$A$140,'Données projet'!$B$140,CT28+CS29-DB28)))</f>
        <v>87</v>
      </c>
      <c r="CU29" s="18">
        <f>CT29*VLOOKUP('Données projet'!$B$13,Paramètres!$A$1:$I$88,3,0)*VLOOKUP('Données projet'!$B$13,Paramètres!$A$1:$I$88,5,0)</f>
        <v>76.003200000000007</v>
      </c>
      <c r="CV29" s="14">
        <f t="shared" si="41"/>
        <v>21.157049992000456</v>
      </c>
      <c r="CW29" s="22">
        <f t="shared" si="13"/>
        <v>169.22076873606747</v>
      </c>
      <c r="CX29" s="62">
        <f t="shared" si="14"/>
        <v>462.55410206940076</v>
      </c>
      <c r="CY29" s="62">
        <f ca="1">AVERAGE(OFFSET($CX$3,0,0,'Données projet'!$E$13+1,1))-AVERAGE(OFFSET($H$3,0,0,'Données projet'!$E$13+1,1))</f>
        <v>146.09202487550647</v>
      </c>
      <c r="CZ29" s="62">
        <f t="shared" si="42"/>
        <v>168.58814676269344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6.8</v>
      </c>
      <c r="DO29" s="13">
        <f>IF('Données projet'!$A$166&gt;35,DO28+DN29-DW28,IF(A29&lt;'Données projet'!$A$166,$DL$205^A29,IF(A29='Données projet'!$A$166,'Données projet'!$B$166,DO28+DN29-DW28)))</f>
        <v>62.799999999999983</v>
      </c>
      <c r="DP29" s="18">
        <f>DO29*VLOOKUP('Données projet'!$B$14,Paramètres!$A$1:$I$88,3,0)*VLOOKUP('Données projet'!$B$14,Paramètres!$A$1:$I$88,5,0)</f>
        <v>46.044959999999989</v>
      </c>
      <c r="DQ29" s="14">
        <f t="shared" si="43"/>
        <v>13.587506612670687</v>
      </c>
      <c r="DR29" s="22">
        <f t="shared" si="16"/>
        <v>103.85987935040141</v>
      </c>
      <c r="DS29" s="62">
        <f t="shared" si="17"/>
        <v>397.19321268373471</v>
      </c>
      <c r="DT29" s="62">
        <f ca="1">AVERAGE(OFFSET($DS$3,0,0,'Données projet'!$E$14+1,1))-AVERAGE(OFFSET($H$3,0,0,'Données projet'!$E$14+1,1))</f>
        <v>116.35584360635318</v>
      </c>
      <c r="DU29" s="62">
        <f t="shared" si="44"/>
        <v>86.38226293640173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0</v>
      </c>
      <c r="EB29" s="23">
        <f>EXP(-LN(2)/25)*EB28+(1-EXP(-LN(2)/25))/(LN(2)/25)*Calculateur!DW29*Calculateur!DY29*VLOOKUP('Données projet'!$B$14,Paramètres!$A$1:$I$88,3,0)*0.475*44/12</f>
        <v>0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5.666666666666667</v>
      </c>
      <c r="N30" s="14">
        <f>IF('Données projet'!$A$36&gt;35,N29+M30-V29,IF(A30&lt;'Données projet'!$A$36,$K$205^A30,IF(A30='Données projet'!$A$36,'Données projet'!$B$36,N29+M30-V29)))</f>
        <v>101.71945608338704</v>
      </c>
      <c r="O30" s="14">
        <f>N30*VLOOKUP('Données projet'!$B$9,Paramètres!$A$1:$I$88,3,0)*VLOOKUP('Données projet'!$B$9,Paramètres!$A$1:$I$88,5,0)</f>
        <v>47.604705447025133</v>
      </c>
      <c r="P30" s="14">
        <f t="shared" si="33"/>
        <v>13.993408129574757</v>
      </c>
      <c r="Q30" s="22">
        <f t="shared" si="2"/>
        <v>107.28338114591146</v>
      </c>
      <c r="R30" s="62">
        <f t="shared" si="0"/>
        <v>400.61671447924476</v>
      </c>
      <c r="S30" s="62">
        <f ca="1">AVERAGE(OFFSET($R$3,0,0,'Données projet'!$E$9+1,1))-AVERAGE(OFFSET($H$3,0,0,'Données projet'!$E$9+1,1))</f>
        <v>82.229723373996478</v>
      </c>
      <c r="T30" s="62">
        <f t="shared" si="34"/>
        <v>115.86489547584461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projet'!$B$10,Paramètres!$A$1:$I$88,3,0)*VLOOKUP('Données projet'!$B$10,Paramètres!$A$1:$I$88,5,0)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703.60952841764924</v>
      </c>
      <c r="AN30" s="62">
        <f ca="1">AVERAGE(OFFSET($AM$3,0,0,'Données projet'!$E$10+1,1))-AVERAGE(OFFSET($H$3,0,0,'Données projet'!$E$10+1,1))</f>
        <v>262.78347246606825</v>
      </c>
      <c r="AO30" s="62">
        <f t="shared" si="36"/>
        <v>448.84541017639367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11.622214401504761</v>
      </c>
      <c r="AW30" s="23">
        <f>EXP(-LN(2)/2)*AW29+(1-EXP(-LN(2)/2))/(LN(2)/2)*AQ30*AT30*VLOOKUP('Données projet'!$B$10,Paramètres!$A$1:$I$88,3,0)*0.475*44/12</f>
        <v>7.5190641092894577</v>
      </c>
      <c r="AX30" s="23">
        <f t="shared" si="6"/>
        <v>19.141278510794219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14.166666666666666</v>
      </c>
      <c r="BD30" s="13">
        <f>IF('Données projet'!$A$88&gt;35,BD29+BC30-BL29,IF(A30&lt;'Données projet'!$A$88,$BA$205^A30,IF(A30='Données projet'!$A$88,'Données projet'!$B$88,BD29+BC30-BL29)))</f>
        <v>181.49999999999997</v>
      </c>
      <c r="BE30" s="14">
        <f>BD30*VLOOKUP('Données projet'!$B$11,Paramètres!$A$1:$I$88,3,0)*VLOOKUP('Données projet'!$B$11,Paramètres!$A$1:$I$88,5,0)</f>
        <v>113.25599999999997</v>
      </c>
      <c r="BF30" s="14">
        <f t="shared" si="37"/>
        <v>30.096816336106439</v>
      </c>
      <c r="BG30" s="22">
        <f t="shared" si="7"/>
        <v>249.67282178538531</v>
      </c>
      <c r="BH30" s="62">
        <f t="shared" si="8"/>
        <v>543.00615511871865</v>
      </c>
      <c r="BI30" s="62">
        <f ca="1">AVERAGE(OFFSET($BH$3,0,0,'Données projet'!$E$11+1,1))-AVERAGE(OFFSET($H$3,0,0,'Données projet'!$E$11+1,1))</f>
        <v>135.14998708332445</v>
      </c>
      <c r="BJ30" s="62">
        <f t="shared" si="38"/>
        <v>245.50083454484513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17.809122106717403</v>
      </c>
      <c r="BR30" s="23">
        <f>EXP(-LN(2)/2)*BR29+(1-EXP(-LN(2)/2))/(LN(2)/2)*BL30*BO30*VLOOKUP('Données projet'!$B$11,Paramètres!$A$1:$I$88,3,0)*0.475*44/12</f>
        <v>4.47240362037856</v>
      </c>
      <c r="BS30" s="24">
        <f t="shared" si="9"/>
        <v>22.281525727095964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13.4</v>
      </c>
      <c r="BY30" s="13">
        <f>IF('Données projet'!$A$114&gt;35,BY29+BX30-CG29,IF(A30&lt;'Données projet'!$A$114,$BV$205^A30,IF(A30='Données projet'!$A$114,'Données projet'!$B$114,BY29+BX30-CG29)))</f>
        <v>153.80000000000004</v>
      </c>
      <c r="BZ30" s="14">
        <f>BY30*VLOOKUP('Données projet'!$B$12,Paramètres!$A$1:$I$88,3,0)*VLOOKUP('Données projet'!$B$12,Paramètres!$A$1:$I$88,5,0)</f>
        <v>91.972400000000022</v>
      </c>
      <c r="CA30" s="14">
        <f t="shared" si="39"/>
        <v>25.040318527820091</v>
      </c>
      <c r="CB30" s="22">
        <f t="shared" si="10"/>
        <v>203.79715143595334</v>
      </c>
      <c r="CC30" s="62">
        <f t="shared" si="11"/>
        <v>497.13048476928668</v>
      </c>
      <c r="CD30" s="62">
        <f ca="1">AVERAGE(OFFSET($CC$3,0,0,'Données projet'!$E$12+1,1))-AVERAGE(OFFSET($H$3,0,0,'Données projet'!$E$12+1,1))</f>
        <v>168.16583766359378</v>
      </c>
      <c r="CE30" s="62">
        <f t="shared" si="40"/>
        <v>194.52809733694494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</v>
      </c>
      <c r="CT30" s="13">
        <f>IF('Données projet'!$A$140&gt;35,CT29+CS30-DB29,IF(A30&lt;'Données projet'!$A$140,$CQ$205^A30,IF(A30='Données projet'!$A$140,'Données projet'!$B$140,CT29+CS30-DB29)))</f>
        <v>95</v>
      </c>
      <c r="CU30" s="18">
        <f>CT30*VLOOKUP('Données projet'!$B$13,Paramètres!$A$1:$I$88,3,0)*VLOOKUP('Données projet'!$B$13,Paramètres!$A$1:$I$88,5,0)</f>
        <v>82.992000000000004</v>
      </c>
      <c r="CV30" s="14">
        <f t="shared" si="41"/>
        <v>22.867173045817324</v>
      </c>
      <c r="CW30" s="22">
        <f t="shared" si="13"/>
        <v>184.37139305479852</v>
      </c>
      <c r="CX30" s="62">
        <f t="shared" si="14"/>
        <v>477.7047263881318</v>
      </c>
      <c r="CY30" s="62">
        <f ca="1">AVERAGE(OFFSET($CX$3,0,0,'Données projet'!$E$13+1,1))-AVERAGE(OFFSET($H$3,0,0,'Données projet'!$E$13+1,1))</f>
        <v>146.09202487550647</v>
      </c>
      <c r="CZ30" s="62">
        <f t="shared" si="42"/>
        <v>168.58814676269344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6.8</v>
      </c>
      <c r="DO30" s="13">
        <f>IF('Données projet'!$A$166&gt;35,DO29+DN30-DW29,IF(A30&lt;'Données projet'!$A$166,$DL$205^A30,IF(A30='Données projet'!$A$166,'Données projet'!$B$166,DO29+DN30-DW29)))</f>
        <v>69.59999999999998</v>
      </c>
      <c r="DP30" s="18">
        <f>DO30*VLOOKUP('Données projet'!$B$14,Paramètres!$A$1:$I$88,3,0)*VLOOKUP('Données projet'!$B$14,Paramètres!$A$1:$I$88,5,0)</f>
        <v>51.030719999999988</v>
      </c>
      <c r="DQ30" s="14">
        <f t="shared" si="43"/>
        <v>14.879630660597618</v>
      </c>
      <c r="DR30" s="22">
        <f t="shared" si="16"/>
        <v>114.79386073387415</v>
      </c>
      <c r="DS30" s="62">
        <f t="shared" si="17"/>
        <v>408.12719406720748</v>
      </c>
      <c r="DT30" s="62">
        <f ca="1">AVERAGE(OFFSET($DS$3,0,0,'Données projet'!$E$14+1,1))-AVERAGE(OFFSET($H$3,0,0,'Données projet'!$E$14+1,1))</f>
        <v>116.35584360635318</v>
      </c>
      <c r="DU30" s="62">
        <f t="shared" si="44"/>
        <v>86.38226293640173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0</v>
      </c>
      <c r="EB30" s="23">
        <f>EXP(-LN(2)/25)*EB29+(1-EXP(-LN(2)/25))/(LN(2)/25)*Calculateur!DW30*Calculateur!DY30*VLOOKUP('Données projet'!$B$14,Paramètres!$A$1:$I$88,3,0)*0.475*44/12</f>
        <v>0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5.666666666666667</v>
      </c>
      <c r="N31" s="14">
        <f>IF('Données projet'!$A$36&gt;35,N30+M31-V30,IF(A31&lt;'Données projet'!$A$36,$K$205^A31,IF(A31='Données projet'!$A$36,'Données projet'!$B$36,N30+M31-V30)))</f>
        <v>120.71252284933438</v>
      </c>
      <c r="O31" s="14">
        <f>N31*VLOOKUP('Données projet'!$B$9,Paramètres!$A$1:$I$88,3,0)*VLOOKUP('Données projet'!$B$9,Paramètres!$A$1:$I$88,5,0)</f>
        <v>56.493460693488487</v>
      </c>
      <c r="P31" s="14">
        <f t="shared" si="33"/>
        <v>16.278622665568623</v>
      </c>
      <c r="Q31" s="22">
        <f t="shared" si="2"/>
        <v>126.74471185035777</v>
      </c>
      <c r="R31" s="62">
        <f t="shared" si="0"/>
        <v>420.07804518369107</v>
      </c>
      <c r="S31" s="62">
        <f ca="1">AVERAGE(OFFSET($R$3,0,0,'Données projet'!$E$9+1,1))-AVERAGE(OFFSET($H$3,0,0,'Données projet'!$E$9+1,1))</f>
        <v>82.229723373996478</v>
      </c>
      <c r="T31" s="62">
        <f t="shared" si="34"/>
        <v>115.86489547584461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projet'!$B$10,Paramètres!$A$1:$I$88,3,0)*VLOOKUP('Données projet'!$B$10,Paramètres!$A$1:$I$88,5,0)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736.87470971578341</v>
      </c>
      <c r="AN31" s="62">
        <f ca="1">AVERAGE(OFFSET($AM$3,0,0,'Données projet'!$E$10+1,1))-AVERAGE(OFFSET($H$3,0,0,'Données projet'!$E$10+1,1))</f>
        <v>262.78347246606825</v>
      </c>
      <c r="AO31" s="62">
        <f t="shared" si="36"/>
        <v>448.84541017639367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11.304404337509922</v>
      </c>
      <c r="AW31" s="23">
        <f>EXP(-LN(2)/2)*AW30+(1-EXP(-LN(2)/2))/(LN(2)/2)*AQ31*AT31*VLOOKUP('Données projet'!$B$10,Paramètres!$A$1:$I$88,3,0)*0.475*44/12</f>
        <v>5.3167812198549642</v>
      </c>
      <c r="AX31" s="23">
        <f t="shared" si="6"/>
        <v>16.621185557364885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14.166666666666666</v>
      </c>
      <c r="BD31" s="13">
        <f>IF('Données projet'!$A$88&gt;35,BD30+BC31-BL30,IF(A31&lt;'Données projet'!$A$88,$BA$205^A31,IF(A31='Données projet'!$A$88,'Données projet'!$B$88,BD30+BC31-BL30)))</f>
        <v>195.66666666666663</v>
      </c>
      <c r="BE31" s="14">
        <f>BD31*VLOOKUP('Données projet'!$B$11,Paramètres!$A$1:$I$88,3,0)*VLOOKUP('Données projet'!$B$11,Paramètres!$A$1:$I$88,5,0)</f>
        <v>122.09599999999998</v>
      </c>
      <c r="BF31" s="14">
        <f t="shared" si="37"/>
        <v>32.163363121463028</v>
      </c>
      <c r="BG31" s="22">
        <f t="shared" si="7"/>
        <v>268.6683907698814</v>
      </c>
      <c r="BH31" s="62">
        <f t="shared" si="8"/>
        <v>562.00172410321466</v>
      </c>
      <c r="BI31" s="62">
        <f ca="1">AVERAGE(OFFSET($BH$3,0,0,'Données projet'!$E$11+1,1))-AVERAGE(OFFSET($H$3,0,0,'Données projet'!$E$11+1,1))</f>
        <v>135.14998708332445</v>
      </c>
      <c r="BJ31" s="62">
        <f t="shared" si="38"/>
        <v>245.50083454484513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17.322130726168186</v>
      </c>
      <c r="BR31" s="23">
        <f>EXP(-LN(2)/2)*BR30+(1-EXP(-LN(2)/2))/(LN(2)/2)*BL31*BO31*VLOOKUP('Données projet'!$B$11,Paramètres!$A$1:$I$88,3,0)*0.475*44/12</f>
        <v>3.1624669281729454</v>
      </c>
      <c r="BS31" s="24">
        <f t="shared" si="9"/>
        <v>20.484597654341133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13.4</v>
      </c>
      <c r="BY31" s="13">
        <f>IF('Données projet'!$A$114&gt;35,BY30+BX31-CG30,IF(A31&lt;'Données projet'!$A$114,$BV$205^A31,IF(A31='Données projet'!$A$114,'Données projet'!$B$114,BY30+BX31-CG30)))</f>
        <v>167.20000000000005</v>
      </c>
      <c r="BZ31" s="14">
        <f>BY31*VLOOKUP('Données projet'!$B$12,Paramètres!$A$1:$I$88,3,0)*VLOOKUP('Données projet'!$B$12,Paramètres!$A$1:$I$88,5,0)</f>
        <v>99.985600000000034</v>
      </c>
      <c r="CA31" s="14">
        <f t="shared" si="39"/>
        <v>26.958566918169435</v>
      </c>
      <c r="CB31" s="22">
        <f t="shared" si="10"/>
        <v>221.09442404914515</v>
      </c>
      <c r="CC31" s="62">
        <f t="shared" si="11"/>
        <v>514.42775738247849</v>
      </c>
      <c r="CD31" s="62">
        <f ca="1">AVERAGE(OFFSET($CC$3,0,0,'Données projet'!$E$12+1,1))-AVERAGE(OFFSET($H$3,0,0,'Données projet'!$E$12+1,1))</f>
        <v>168.16583766359378</v>
      </c>
      <c r="CE31" s="62">
        <f t="shared" si="40"/>
        <v>194.52809733694494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</v>
      </c>
      <c r="CT31" s="13">
        <f>IF('Données projet'!$A$140&gt;35,CT30+CS31-DB30,IF(A31&lt;'Données projet'!$A$140,$CQ$205^A31,IF(A31='Données projet'!$A$140,'Données projet'!$B$140,CT30+CS31-DB30)))</f>
        <v>103</v>
      </c>
      <c r="CU31" s="18">
        <f>CT31*VLOOKUP('Données projet'!$B$13,Paramètres!$A$1:$I$88,3,0)*VLOOKUP('Données projet'!$B$13,Paramètres!$A$1:$I$88,5,0)</f>
        <v>89.980800000000016</v>
      </c>
      <c r="CV31" s="14">
        <f t="shared" si="41"/>
        <v>24.560594358746648</v>
      </c>
      <c r="CW31" s="22">
        <f t="shared" si="13"/>
        <v>199.49292850815041</v>
      </c>
      <c r="CX31" s="62">
        <f t="shared" si="14"/>
        <v>492.82626184148376</v>
      </c>
      <c r="CY31" s="62">
        <f ca="1">AVERAGE(OFFSET($CX$3,0,0,'Données projet'!$E$13+1,1))-AVERAGE(OFFSET($H$3,0,0,'Données projet'!$E$13+1,1))</f>
        <v>146.09202487550647</v>
      </c>
      <c r="CZ31" s="62">
        <f t="shared" si="42"/>
        <v>168.58814676269344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6.8</v>
      </c>
      <c r="DO31" s="13">
        <f>IF('Données projet'!$A$166&gt;35,DO30+DN31-DW30,IF(A31&lt;'Données projet'!$A$166,$DL$205^A31,IF(A31='Données projet'!$A$166,'Données projet'!$B$166,DO30+DN31-DW30)))</f>
        <v>76.399999999999977</v>
      </c>
      <c r="DP31" s="18">
        <f>DO31*VLOOKUP('Données projet'!$B$14,Paramètres!$A$1:$I$88,3,0)*VLOOKUP('Données projet'!$B$14,Paramètres!$A$1:$I$88,5,0)</f>
        <v>56.01647999999998</v>
      </c>
      <c r="DQ31" s="14">
        <f t="shared" si="43"/>
        <v>16.157118822922481</v>
      </c>
      <c r="DR31" s="22">
        <f t="shared" si="16"/>
        <v>125.70235128325662</v>
      </c>
      <c r="DS31" s="62">
        <f t="shared" si="17"/>
        <v>419.03568461658995</v>
      </c>
      <c r="DT31" s="62">
        <f ca="1">AVERAGE(OFFSET($DS$3,0,0,'Données projet'!$E$14+1,1))-AVERAGE(OFFSET($H$3,0,0,'Données projet'!$E$14+1,1))</f>
        <v>116.35584360635318</v>
      </c>
      <c r="DU31" s="62">
        <f t="shared" si="44"/>
        <v>86.38226293640173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0</v>
      </c>
      <c r="EB31" s="23">
        <f>EXP(-LN(2)/25)*EB30+(1-EXP(-LN(2)/25))/(LN(2)/25)*Calculateur!DW31*Calculateur!DY31*VLOOKUP('Données projet'!$B$14,Paramètres!$A$1:$I$88,3,0)*0.475*44/12</f>
        <v>0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5.666666666666667</v>
      </c>
      <c r="N32" s="14">
        <f>IF('Données projet'!$A$36&gt;35,N31+M32-V31,IF(A32&lt;'Données projet'!$A$36,$K$205^A32,IF(A32='Données projet'!$A$36,'Données projet'!$B$36,N31+M32-V31)))</f>
        <v>143.25197689521377</v>
      </c>
      <c r="O32" s="14">
        <f>N32*VLOOKUP('Données projet'!$B$9,Paramètres!$A$1:$I$88,3,0)*VLOOKUP('Données projet'!$B$9,Paramètres!$A$1:$I$88,5,0)</f>
        <v>67.041925186960043</v>
      </c>
      <c r="P32" s="14">
        <f t="shared" si="33"/>
        <v>18.93702759429323</v>
      </c>
      <c r="Q32" s="22">
        <f t="shared" si="2"/>
        <v>149.74667609401612</v>
      </c>
      <c r="R32" s="62">
        <f t="shared" si="0"/>
        <v>443.08000942734941</v>
      </c>
      <c r="S32" s="62">
        <f ca="1">AVERAGE(OFFSET($R$3,0,0,'Données projet'!$E$9+1,1))-AVERAGE(OFFSET($H$3,0,0,'Données projet'!$E$9+1,1))</f>
        <v>82.229723373996478</v>
      </c>
      <c r="T32" s="62">
        <f t="shared" si="34"/>
        <v>115.86489547584461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projet'!$B$10,Paramètres!$A$1:$I$88,3,0)*VLOOKUP('Données projet'!$B$10,Paramètres!$A$1:$I$88,5,0)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770.08645729957652</v>
      </c>
      <c r="AN32" s="62">
        <f ca="1">AVERAGE(OFFSET($AM$3,0,0,'Données projet'!$E$10+1,1))-AVERAGE(OFFSET($H$3,0,0,'Données projet'!$E$10+1,1))</f>
        <v>262.78347246606825</v>
      </c>
      <c r="AO32" s="62">
        <f t="shared" si="36"/>
        <v>448.84541017639367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10.995284806427925</v>
      </c>
      <c r="AW32" s="23">
        <f>EXP(-LN(2)/2)*AW31+(1-EXP(-LN(2)/2))/(LN(2)/2)*AQ32*AT32*VLOOKUP('Données projet'!$B$10,Paramètres!$A$1:$I$88,3,0)*0.475*44/12</f>
        <v>3.7595320546447297</v>
      </c>
      <c r="AX32" s="23">
        <f t="shared" si="6"/>
        <v>14.754816861072655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14.166666666666666</v>
      </c>
      <c r="BD32" s="13">
        <f>IF('Données projet'!$A$88&gt;35,BD31+BC32-BL31,IF(A32&lt;'Données projet'!$A$88,$BA$205^A32,IF(A32='Données projet'!$A$88,'Données projet'!$B$88,BD31+BC32-BL31)))</f>
        <v>209.83333333333329</v>
      </c>
      <c r="BE32" s="14">
        <f>BD32*VLOOKUP('Données projet'!$B$11,Paramètres!$A$1:$I$88,3,0)*VLOOKUP('Données projet'!$B$11,Paramètres!$A$1:$I$88,5,0)</f>
        <v>130.93599999999998</v>
      </c>
      <c r="BF32" s="14">
        <f t="shared" si="37"/>
        <v>34.21255106176632</v>
      </c>
      <c r="BG32" s="22">
        <f t="shared" si="7"/>
        <v>287.63372643257628</v>
      </c>
      <c r="BH32" s="62">
        <f t="shared" si="8"/>
        <v>580.96705976590965</v>
      </c>
      <c r="BI32" s="62">
        <f ca="1">AVERAGE(OFFSET($BH$3,0,0,'Données projet'!$E$11+1,1))-AVERAGE(OFFSET($H$3,0,0,'Données projet'!$E$11+1,1))</f>
        <v>135.14998708332445</v>
      </c>
      <c r="BJ32" s="62">
        <f t="shared" si="38"/>
        <v>245.50083454484513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16.848456150529852</v>
      </c>
      <c r="BR32" s="23">
        <f>EXP(-LN(2)/2)*BR31+(1-EXP(-LN(2)/2))/(LN(2)/2)*BL32*BO32*VLOOKUP('Données projet'!$B$11,Paramètres!$A$1:$I$88,3,0)*0.475*44/12</f>
        <v>2.23620181018928</v>
      </c>
      <c r="BS32" s="24">
        <f t="shared" si="9"/>
        <v>19.084657960719131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13.4</v>
      </c>
      <c r="BY32" s="13">
        <f>IF('Données projet'!$A$114&gt;35,BY31+BX32-CG31,IF(A32&lt;'Données projet'!$A$114,$BV$205^A32,IF(A32='Données projet'!$A$114,'Données projet'!$B$114,BY31+BX32-CG31)))</f>
        <v>180.60000000000005</v>
      </c>
      <c r="BZ32" s="14">
        <f>BY32*VLOOKUP('Données projet'!$B$12,Paramètres!$A$1:$I$88,3,0)*VLOOKUP('Données projet'!$B$12,Paramètres!$A$1:$I$88,5,0)</f>
        <v>107.99880000000003</v>
      </c>
      <c r="CA32" s="14">
        <f t="shared" si="39"/>
        <v>28.85898360070161</v>
      </c>
      <c r="CB32" s="22">
        <f t="shared" si="10"/>
        <v>238.36063977122203</v>
      </c>
      <c r="CC32" s="62">
        <f t="shared" si="11"/>
        <v>531.69397310455531</v>
      </c>
      <c r="CD32" s="62">
        <f ca="1">AVERAGE(OFFSET($CC$3,0,0,'Données projet'!$E$12+1,1))-AVERAGE(OFFSET($H$3,0,0,'Données projet'!$E$12+1,1))</f>
        <v>168.16583766359378</v>
      </c>
      <c r="CE32" s="62">
        <f t="shared" si="40"/>
        <v>194.52809733694494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</v>
      </c>
      <c r="CT32" s="13">
        <f>IF('Données projet'!$A$140&gt;35,CT31+CS32-DB31,IF(A32&lt;'Données projet'!$A$140,$CQ$205^A32,IF(A32='Données projet'!$A$140,'Données projet'!$B$140,CT31+CS32-DB31)))</f>
        <v>111</v>
      </c>
      <c r="CU32" s="18">
        <f>CT32*VLOOKUP('Données projet'!$B$13,Paramètres!$A$1:$I$88,3,0)*VLOOKUP('Données projet'!$B$13,Paramètres!$A$1:$I$88,5,0)</f>
        <v>96.969600000000014</v>
      </c>
      <c r="CV32" s="14">
        <f t="shared" si="41"/>
        <v>26.238758642904337</v>
      </c>
      <c r="CW32" s="22">
        <f t="shared" si="13"/>
        <v>214.58789130305843</v>
      </c>
      <c r="CX32" s="62">
        <f t="shared" si="14"/>
        <v>507.92122463639174</v>
      </c>
      <c r="CY32" s="62">
        <f ca="1">AVERAGE(OFFSET($CX$3,0,0,'Données projet'!$E$13+1,1))-AVERAGE(OFFSET($H$3,0,0,'Données projet'!$E$13+1,1))</f>
        <v>146.09202487550647</v>
      </c>
      <c r="CZ32" s="62">
        <f t="shared" si="42"/>
        <v>168.58814676269344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6.8</v>
      </c>
      <c r="DO32" s="13">
        <f>IF('Données projet'!$A$166&gt;35,DO31+DN32-DW31,IF(A32&lt;'Données projet'!$A$166,$DL$205^A32,IF(A32='Données projet'!$A$166,'Données projet'!$B$166,DO31+DN32-DW31)))</f>
        <v>83.199999999999974</v>
      </c>
      <c r="DP32" s="18">
        <f>DO32*VLOOKUP('Données projet'!$B$14,Paramètres!$A$1:$I$88,3,0)*VLOOKUP('Données projet'!$B$14,Paramètres!$A$1:$I$88,5,0)</f>
        <v>61.002239999999979</v>
      </c>
      <c r="DQ32" s="14">
        <f t="shared" si="43"/>
        <v>17.421421901322486</v>
      </c>
      <c r="DR32" s="22">
        <f t="shared" si="16"/>
        <v>136.58787781146995</v>
      </c>
      <c r="DS32" s="62">
        <f t="shared" si="17"/>
        <v>429.92121114480324</v>
      </c>
      <c r="DT32" s="62">
        <f ca="1">AVERAGE(OFFSET($DS$3,0,0,'Données projet'!$E$14+1,1))-AVERAGE(OFFSET($H$3,0,0,'Données projet'!$E$14+1,1))</f>
        <v>116.35584360635318</v>
      </c>
      <c r="DU32" s="62">
        <f t="shared" si="44"/>
        <v>86.38226293640173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0</v>
      </c>
      <c r="EB32" s="23">
        <f>EXP(-LN(2)/25)*EB31+(1-EXP(-LN(2)/25))/(LN(2)/25)*Calculateur!DW32*Calculateur!DY32*VLOOKUP('Données projet'!$B$14,Paramètres!$A$1:$I$88,3,0)*0.475*44/12</f>
        <v>0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170</v>
      </c>
      <c r="L33" s="13">
        <f>VLOOKUP(A33,'Données projet'!$A$35:$I$55,9,0)</f>
        <v>5.666666666666667</v>
      </c>
      <c r="M33" s="13">
        <f t="array" ref="M33">INDEX(L:L,MIN(IF(ISNUMBER(L33:L229),ROW(L33:L229),"")))</f>
        <v>5.666666666666667</v>
      </c>
      <c r="N33" s="14">
        <f>IF('Données projet'!$A$36&gt;35,N32+M33-V32,IF(A33&lt;'Données projet'!$A$36,$K$205^A33,IF(A33='Données projet'!$A$36,'Données projet'!$B$36,N32+M33-V32)))</f>
        <v>170</v>
      </c>
      <c r="O33" s="14">
        <f>N33*VLOOKUP('Données projet'!$B$9,Paramètres!$A$1:$I$88,3,0)*VLOOKUP('Données projet'!$B$9,Paramètres!$A$1:$I$88,5,0)</f>
        <v>79.56</v>
      </c>
      <c r="P33" s="14">
        <f t="shared" si="33"/>
        <v>22.029567333453311</v>
      </c>
      <c r="Q33" s="22">
        <f t="shared" si="2"/>
        <v>176.93516310576453</v>
      </c>
      <c r="R33" s="62">
        <f t="shared" si="0"/>
        <v>470.26849643909782</v>
      </c>
      <c r="S33" s="62">
        <f ca="1">AVERAGE(OFFSET($R$3,0,0,'Données projet'!$E$9+1,1))-AVERAGE(OFFSET($H$3,0,0,'Données projet'!$E$9+1,1))</f>
        <v>82.229723373996478</v>
      </c>
      <c r="T33" s="62">
        <f t="shared" si="34"/>
        <v>115.86489547584461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40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0.30800000000000005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7.6185366162250032</v>
      </c>
      <c r="AB33" s="23">
        <f>EXP(-LN(2)/2)*AB32+(1-EXP(-LN(2)/2))/(LN(2)/2)*V33*Y33*VLOOKUP('Données projet'!$B$9,Paramètres!$A$1:$I$88,3,0)*0.475*44/12</f>
        <v>9.3259709882659934</v>
      </c>
      <c r="AC33" s="24">
        <f t="shared" si="3"/>
        <v>16.944507604490997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projet'!$B$10,Paramètres!$A$1:$I$88,3,0)*VLOOKUP('Données projet'!$B$10,Paramètres!$A$1:$I$88,5,0)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262.78347246606825</v>
      </c>
      <c r="AO33" s="62">
        <f t="shared" si="36"/>
        <v>448.84541017639367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0.30800000000000005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22.979508458842076</v>
      </c>
      <c r="AW33" s="23">
        <f>EXP(-LN(2)/2)*AW32+(1-EXP(-LN(2)/2))/(LN(2)/2)*AQ33*AT33*VLOOKUP('Données projet'!$B$10,Paramètres!$A$1:$I$88,3,0)*0.475*44/12</f>
        <v>17.696518828506395</v>
      </c>
      <c r="AX33" s="23">
        <f t="shared" si="6"/>
        <v>40.676027287348475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224</v>
      </c>
      <c r="BB33" s="13">
        <f>VLOOKUP(A33,'Données projet'!$A$87:$I$107,9,0)</f>
        <v>14.166666666666666</v>
      </c>
      <c r="BC33" s="13">
        <f t="array" ref="BC33">INDEX(BB:BB,MIN(IF(ISNUMBER(BB33:BB229),ROW(BB33:BB229),"")))</f>
        <v>14.166666666666666</v>
      </c>
      <c r="BD33" s="13">
        <f>IF('Données projet'!$A$88&gt;35,BD32+BC33-BL32,IF(A33&lt;'Données projet'!$A$88,$BA$205^A33,IF(A33='Données projet'!$A$88,'Données projet'!$B$88,BD32+BC33-BL32)))</f>
        <v>223.99999999999994</v>
      </c>
      <c r="BE33" s="14">
        <f>BD33*VLOOKUP('Données projet'!$B$11,Paramètres!$A$1:$I$88,3,0)*VLOOKUP('Données projet'!$B$11,Paramètres!$A$1:$I$88,5,0)</f>
        <v>139.77599999999995</v>
      </c>
      <c r="BF33" s="14">
        <f t="shared" si="37"/>
        <v>36.245685459195258</v>
      </c>
      <c r="BG33" s="22">
        <f t="shared" si="7"/>
        <v>306.57110217476503</v>
      </c>
      <c r="BH33" s="62">
        <f t="shared" si="8"/>
        <v>599.90443550809835</v>
      </c>
      <c r="BI33" s="62">
        <f ca="1">AVERAGE(OFFSET($BH$3,0,0,'Données projet'!$E$11+1,1))-AVERAGE(OFFSET($H$3,0,0,'Données projet'!$E$11+1,1))</f>
        <v>135.14998708332445</v>
      </c>
      <c r="BJ33" s="62">
        <f t="shared" si="38"/>
        <v>245.50083454484513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53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0.33600000000000002</v>
      </c>
      <c r="BO33" s="17">
        <f>IF(ISNA(VLOOKUP(A33,'Données projet'!$A$87:$I$107,7,0)),0%,VLOOKUP(A33,'Données projet'!$A$87:$I$107,7,0))</f>
        <v>0.44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31.070732073250909</v>
      </c>
      <c r="BR33" s="23">
        <f>EXP(-LN(2)/2)*BR32+(1-EXP(-LN(2)/2))/(LN(2)/2)*BL33*BO33*VLOOKUP('Données projet'!$B$11,Paramètres!$A$1:$I$88,3,0)*0.475*44/12</f>
        <v>18.057115543356392</v>
      </c>
      <c r="BS33" s="24">
        <f t="shared" si="9"/>
        <v>49.127847616607298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194</v>
      </c>
      <c r="BW33" s="13">
        <f>VLOOKUP(A33,'Données projet'!$A$113:$I$133,9,0)</f>
        <v>13.4</v>
      </c>
      <c r="BX33" s="13">
        <f t="array" ref="BX33">INDEX(BW:BW,MIN(IF(ISNUMBER(BW33:BW229),ROW(BW33:BW229),"")))</f>
        <v>13.4</v>
      </c>
      <c r="BY33" s="13">
        <f>IF('Données projet'!$A$114&gt;35,BY32+BX33-CG32,IF(A33&lt;'Données projet'!$A$114,$BV$205^A33,IF(A33='Données projet'!$A$114,'Données projet'!$B$114,BY32+BX33-CG32)))</f>
        <v>194.00000000000006</v>
      </c>
      <c r="BZ33" s="14">
        <f>BY33*VLOOKUP('Données projet'!$B$12,Paramètres!$A$1:$I$88,3,0)*VLOOKUP('Données projet'!$B$12,Paramètres!$A$1:$I$88,5,0)</f>
        <v>116.01200000000003</v>
      </c>
      <c r="CA33" s="14">
        <f t="shared" si="39"/>
        <v>30.743042086238173</v>
      </c>
      <c r="CB33" s="22">
        <f t="shared" si="10"/>
        <v>255.59836496686489</v>
      </c>
      <c r="CC33" s="62">
        <f t="shared" si="11"/>
        <v>548.93169830019815</v>
      </c>
      <c r="CD33" s="62">
        <f ca="1">AVERAGE(OFFSET($CC$3,0,0,'Données projet'!$E$12+1,1))-AVERAGE(OFFSET($H$3,0,0,'Données projet'!$E$12+1,1))</f>
        <v>168.16583766359378</v>
      </c>
      <c r="CE33" s="62">
        <f t="shared" si="40"/>
        <v>194.52809733694494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34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119</v>
      </c>
      <c r="CR33" s="13">
        <f>VLOOKUP(A33,'Données projet'!$A$139:$I$159,9,0)</f>
        <v>8</v>
      </c>
      <c r="CS33" s="13">
        <f t="array" ref="CS33">INDEX(CR:CR,MIN(IF(ISNUMBER(CR33:CR229),ROW(CR33:CR229),"")))</f>
        <v>8</v>
      </c>
      <c r="CT33" s="13">
        <f>IF('Données projet'!$A$140&gt;35,CT32+CS33-DB32,IF(A33&lt;'Données projet'!$A$140,$CQ$205^A33,IF(A33='Données projet'!$A$140,'Données projet'!$B$140,CT32+CS33-DB32)))</f>
        <v>119</v>
      </c>
      <c r="CU33" s="18">
        <f>CT33*VLOOKUP('Données projet'!$B$13,Paramètres!$A$1:$I$88,3,0)*VLOOKUP('Données projet'!$B$13,Paramètres!$A$1:$I$88,5,0)</f>
        <v>103.9584</v>
      </c>
      <c r="CV33" s="14">
        <f t="shared" si="41"/>
        <v>27.902890560352166</v>
      </c>
      <c r="CW33" s="22">
        <f t="shared" si="13"/>
        <v>229.65841439261331</v>
      </c>
      <c r="CX33" s="62">
        <f t="shared" si="14"/>
        <v>522.99174772594665</v>
      </c>
      <c r="CY33" s="62">
        <f ca="1">AVERAGE(OFFSET($CX$3,0,0,'Données projet'!$E$13+1,1))-AVERAGE(OFFSET($H$3,0,0,'Données projet'!$E$13+1,1))</f>
        <v>146.09202487550647</v>
      </c>
      <c r="CZ33" s="62">
        <f t="shared" si="42"/>
        <v>168.58814676269344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90</v>
      </c>
      <c r="DM33" s="13">
        <f>VLOOKUP(A33,'Données projet'!$A$165:$I$185,9,0)</f>
        <v>6.8</v>
      </c>
      <c r="DN33" s="13">
        <f t="array" ref="DN33">INDEX(DM:DM,MIN(IF(ISNUMBER(DM33:DM229),ROW(DM33:DM229),"")))</f>
        <v>6.8</v>
      </c>
      <c r="DO33" s="13">
        <f>IF('Données projet'!$A$166&gt;35,DO32+DN33-DW32,IF(A33&lt;'Données projet'!$A$166,$DL$205^A33,IF(A33='Données projet'!$A$166,'Données projet'!$B$166,DO32+DN33-DW32)))</f>
        <v>89.999999999999972</v>
      </c>
      <c r="DP33" s="18">
        <f>DO33*VLOOKUP('Données projet'!$B$14,Paramètres!$A$1:$I$88,3,0)*VLOOKUP('Données projet'!$B$14,Paramètres!$A$1:$I$88,5,0)</f>
        <v>65.987999999999971</v>
      </c>
      <c r="DQ33" s="14">
        <f t="shared" si="43"/>
        <v>18.67374003807944</v>
      </c>
      <c r="DR33" s="22">
        <f t="shared" si="16"/>
        <v>147.45253056632166</v>
      </c>
      <c r="DS33" s="62">
        <f t="shared" si="17"/>
        <v>440.78586389965494</v>
      </c>
      <c r="DT33" s="62">
        <f ca="1">AVERAGE(OFFSET($DS$3,0,0,'Données projet'!$E$14+1,1))-AVERAGE(OFFSET($H$3,0,0,'Données projet'!$E$14+1,1))</f>
        <v>116.35584360635318</v>
      </c>
      <c r="DU33" s="62">
        <f t="shared" si="44"/>
        <v>86.38226293640173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13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0</v>
      </c>
      <c r="EB33" s="23">
        <f>EXP(-LN(2)/25)*EB32+(1-EXP(-LN(2)/25))/(LN(2)/25)*Calculateur!DW33*Calculateur!DY33*VLOOKUP('Données projet'!$B$14,Paramètres!$A$1:$I$88,3,0)*0.475*44/12</f>
        <v>0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140</v>
      </c>
      <c r="O34" s="14">
        <f>N34*VLOOKUP('Données projet'!$B$9,Paramètres!$A$1:$I$88,3,0)*VLOOKUP('Données projet'!$B$9,Paramètres!$A$1:$I$88,5,0)</f>
        <v>65.52</v>
      </c>
      <c r="P34" s="14">
        <f t="shared" si="33"/>
        <v>18.556669503136725</v>
      </c>
      <c r="Q34" s="22">
        <f t="shared" si="2"/>
        <v>146.43353271796309</v>
      </c>
      <c r="R34" s="62">
        <f t="shared" si="0"/>
        <v>439.7668660512964</v>
      </c>
      <c r="S34" s="62">
        <f ca="1">AVERAGE(OFFSET($R$3,0,0,'Données projet'!$E$9+1,1))-AVERAGE(OFFSET($H$3,0,0,'Données projet'!$E$9+1,1))</f>
        <v>82.229723373996478</v>
      </c>
      <c r="T34" s="62">
        <f t="shared" si="34"/>
        <v>115.86489547584461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7.4102073318129023</v>
      </c>
      <c r="AB34" s="23">
        <f>EXP(-LN(2)/2)*AB33+(1-EXP(-LN(2)/2))/(LN(2)/2)*V34*Y34*VLOOKUP('Données projet'!$B$9,Paramètres!$A$1:$I$88,3,0)*0.475*44/12</f>
        <v>6.5944573269518925</v>
      </c>
      <c r="AC34" s="24">
        <f t="shared" si="3"/>
        <v>14.004664658764796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projet'!$B$10,Paramètres!$A$1:$I$88,3,0)*VLOOKUP('Données projet'!$B$10,Paramètres!$A$1:$I$88,5,0)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262.78347246606825</v>
      </c>
      <c r="AO34" s="62">
        <f t="shared" si="36"/>
        <v>448.84541017639367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22.35113259159521</v>
      </c>
      <c r="AW34" s="23">
        <f>EXP(-LN(2)/2)*AW33+(1-EXP(-LN(2)/2))/(LN(2)/2)*AQ34*AT34*VLOOKUP('Données projet'!$B$10,Paramètres!$A$1:$I$88,3,0)*0.475*44/12</f>
        <v>12.513328467032292</v>
      </c>
      <c r="AX34" s="23">
        <f t="shared" si="6"/>
        <v>34.864461058627498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12.833333333333334</v>
      </c>
      <c r="BD34" s="13">
        <f>IF('Données projet'!$A$88&gt;35,BD33+BC34-BL33,IF(A34&lt;'Données projet'!$A$88,$BA$205^A34,IF(A34='Données projet'!$A$88,'Données projet'!$B$88,BD33+BC34-BL33)))</f>
        <v>183.83333333333329</v>
      </c>
      <c r="BE34" s="14">
        <f>BD34*VLOOKUP('Données projet'!$B$11,Paramètres!$A$1:$I$88,3,0)*VLOOKUP('Données projet'!$B$11,Paramètres!$A$1:$I$88,5,0)</f>
        <v>114.71199999999997</v>
      </c>
      <c r="BF34" s="14">
        <f t="shared" si="37"/>
        <v>30.438443898016164</v>
      </c>
      <c r="BG34" s="22">
        <f t="shared" si="7"/>
        <v>252.80368978904474</v>
      </c>
      <c r="BH34" s="62">
        <f t="shared" si="8"/>
        <v>546.13702312237808</v>
      </c>
      <c r="BI34" s="62">
        <f ca="1">AVERAGE(OFFSET($BH$3,0,0,'Données projet'!$E$11+1,1))-AVERAGE(OFFSET($H$3,0,0,'Données projet'!$E$11+1,1))</f>
        <v>135.14998708332445</v>
      </c>
      <c r="BJ34" s="62">
        <f t="shared" si="38"/>
        <v>245.50083454484513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30.221101270769076</v>
      </c>
      <c r="BR34" s="23">
        <f>EXP(-LN(2)/2)*BR33+(1-EXP(-LN(2)/2))/(LN(2)/2)*BL34*BO34*VLOOKUP('Données projet'!$B$11,Paramètres!$A$1:$I$88,3,0)*0.475*44/12</f>
        <v>12.768308849376316</v>
      </c>
      <c r="BS34" s="24">
        <f t="shared" si="9"/>
        <v>42.989410120145394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14.6</v>
      </c>
      <c r="BY34" s="13">
        <f>IF('Données projet'!$A$114&gt;35,BY33+BX34-CG33,IF(A34&lt;'Données projet'!$A$114,$BV$205^A34,IF(A34='Données projet'!$A$114,'Données projet'!$B$114,BY33+BX34-CG33)))</f>
        <v>174.60000000000005</v>
      </c>
      <c r="BZ34" s="14">
        <f>BY34*VLOOKUP('Données projet'!$B$12,Paramètres!$A$1:$I$88,3,0)*VLOOKUP('Données projet'!$B$12,Paramètres!$A$1:$I$88,5,0)</f>
        <v>104.41080000000004</v>
      </c>
      <c r="CA34" s="14">
        <f t="shared" si="39"/>
        <v>28.010155571424168</v>
      </c>
      <c r="CB34" s="22">
        <f t="shared" si="10"/>
        <v>230.63316428689714</v>
      </c>
      <c r="CC34" s="62">
        <f t="shared" si="11"/>
        <v>523.96649762023048</v>
      </c>
      <c r="CD34" s="62">
        <f ca="1">AVERAGE(OFFSET($CC$3,0,0,'Données projet'!$E$12+1,1))-AVERAGE(OFFSET($H$3,0,0,'Données projet'!$E$12+1,1))</f>
        <v>168.16583766359378</v>
      </c>
      <c r="CE34" s="62">
        <f t="shared" si="40"/>
        <v>194.52809733694494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7.2</v>
      </c>
      <c r="CT34" s="13">
        <f>IF('Données projet'!$A$140&gt;35,CT33+CS34-DB33,IF(A34&lt;'Données projet'!$A$140,$CQ$205^A34,IF(A34='Données projet'!$A$140,'Données projet'!$B$140,CT33+CS34-DB33)))</f>
        <v>106.2</v>
      </c>
      <c r="CU34" s="18">
        <f>CT34*VLOOKUP('Données projet'!$B$13,Paramètres!$A$1:$I$88,3,0)*VLOOKUP('Données projet'!$B$13,Paramètres!$A$1:$I$88,5,0)</f>
        <v>92.776320000000013</v>
      </c>
      <c r="CV34" s="14">
        <f t="shared" si="41"/>
        <v>25.233617967655977</v>
      </c>
      <c r="CW34" s="22">
        <f t="shared" si="13"/>
        <v>205.53397529366751</v>
      </c>
      <c r="CX34" s="62">
        <f t="shared" si="14"/>
        <v>498.86730862700085</v>
      </c>
      <c r="CY34" s="62">
        <f ca="1">AVERAGE(OFFSET($CX$3,0,0,'Données projet'!$E$13+1,1))-AVERAGE(OFFSET($H$3,0,0,'Données projet'!$E$13+1,1))</f>
        <v>146.09202487550647</v>
      </c>
      <c r="CZ34" s="62">
        <f t="shared" si="42"/>
        <v>168.58814676269344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9.1999999999999993</v>
      </c>
      <c r="DO34" s="13">
        <f>IF('Données projet'!$A$166&gt;35,DO33+DN34-DW33,IF(A34&lt;'Données projet'!$A$166,$DL$205^A34,IF(A34='Données projet'!$A$166,'Données projet'!$B$166,DO33+DN34-DW33)))</f>
        <v>86.199999999999974</v>
      </c>
      <c r="DP34" s="18">
        <f>DO34*VLOOKUP('Données projet'!$B$14,Paramètres!$A$1:$I$88,3,0)*VLOOKUP('Données projet'!$B$14,Paramètres!$A$1:$I$88,5,0)</f>
        <v>63.201839999999983</v>
      </c>
      <c r="DQ34" s="14">
        <f t="shared" si="43"/>
        <v>17.975328973916852</v>
      </c>
      <c r="DR34" s="22">
        <f t="shared" si="16"/>
        <v>141.38356929623848</v>
      </c>
      <c r="DS34" s="62">
        <f t="shared" si="17"/>
        <v>434.71690262957179</v>
      </c>
      <c r="DT34" s="62">
        <f ca="1">AVERAGE(OFFSET($DS$3,0,0,'Données projet'!$E$14+1,1))-AVERAGE(OFFSET($H$3,0,0,'Données projet'!$E$14+1,1))</f>
        <v>116.35584360635318</v>
      </c>
      <c r="DU34" s="62">
        <f t="shared" si="44"/>
        <v>86.38226293640173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0</v>
      </c>
      <c r="EB34" s="23">
        <f>EXP(-LN(2)/25)*EB33+(1-EXP(-LN(2)/25))/(LN(2)/25)*Calculateur!DW34*Calculateur!DY34*VLOOKUP('Données projet'!$B$14,Paramètres!$A$1:$I$88,3,0)*0.475*44/12</f>
        <v>0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150</v>
      </c>
      <c r="O35" s="14">
        <f>N35*VLOOKUP('Données projet'!$B$9,Paramètres!$A$1:$I$88,3,0)*VLOOKUP('Données projet'!$B$9,Paramètres!$A$1:$I$88,5,0)</f>
        <v>70.2</v>
      </c>
      <c r="P35" s="14">
        <f t="shared" si="33"/>
        <v>19.723116370112194</v>
      </c>
      <c r="Q35" s="22">
        <f t="shared" ref="Q35:Q66" si="53">(O35+P35)*0.475*44/12</f>
        <v>156.61609434461207</v>
      </c>
      <c r="R35" s="62">
        <f t="shared" si="0"/>
        <v>449.94942767794538</v>
      </c>
      <c r="S35" s="62">
        <f ca="1">AVERAGE(OFFSET($R$3,0,0,'Données projet'!$E$9+1,1))-AVERAGE(OFFSET($H$3,0,0,'Données projet'!$E$9+1,1))</f>
        <v>82.229723373996478</v>
      </c>
      <c r="T35" s="62">
        <f t="shared" si="34"/>
        <v>115.86489547584461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7.2075748226386107</v>
      </c>
      <c r="AB35" s="23">
        <f>EXP(-LN(2)/2)*AB34+(1-EXP(-LN(2)/2))/(LN(2)/2)*V35*Y35*VLOOKUP('Données projet'!$B$9,Paramètres!$A$1:$I$88,3,0)*0.475*44/12</f>
        <v>4.6629854941329976</v>
      </c>
      <c r="AC35" s="24">
        <f t="shared" si="3"/>
        <v>11.870560316771609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projet'!$B$10,Paramètres!$A$1:$I$88,3,0)*VLOOKUP('Données projet'!$B$10,Paramètres!$A$1:$I$88,5,0)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262.78347246606825</v>
      </c>
      <c r="AO35" s="62">
        <f t="shared" si="36"/>
        <v>448.84541017639367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21.739939695483059</v>
      </c>
      <c r="AW35" s="23">
        <f>EXP(-LN(2)/2)*AW34+(1-EXP(-LN(2)/2))/(LN(2)/2)*AQ35*AT35*VLOOKUP('Données projet'!$B$10,Paramètres!$A$1:$I$88,3,0)*0.475*44/12</f>
        <v>8.8482594142531994</v>
      </c>
      <c r="AX35" s="23">
        <f t="shared" si="6"/>
        <v>30.588199109736259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12.833333333333334</v>
      </c>
      <c r="BD35" s="13">
        <f>IF('Données projet'!$A$88&gt;35,BD34+BC35-BL34,IF(A35&lt;'Données projet'!$A$88,$BA$205^A35,IF(A35='Données projet'!$A$88,'Données projet'!$B$88,BD34+BC35-BL34)))</f>
        <v>196.66666666666663</v>
      </c>
      <c r="BE35" s="14">
        <f>BD35*VLOOKUP('Données projet'!$B$11,Paramètres!$A$1:$I$88,3,0)*VLOOKUP('Données projet'!$B$11,Paramètres!$A$1:$I$88,5,0)</f>
        <v>122.71999999999997</v>
      </c>
      <c r="BF35" s="14">
        <f t="shared" si="37"/>
        <v>32.308564708068729</v>
      </c>
      <c r="BG35" s="22">
        <f t="shared" si="7"/>
        <v>270.00808353321963</v>
      </c>
      <c r="BH35" s="62">
        <f t="shared" si="8"/>
        <v>563.34141686655289</v>
      </c>
      <c r="BI35" s="62">
        <f ca="1">AVERAGE(OFFSET($BH$3,0,0,'Données projet'!$E$11+1,1))-AVERAGE(OFFSET($H$3,0,0,'Données projet'!$E$11+1,1))</f>
        <v>135.14998708332445</v>
      </c>
      <c r="BJ35" s="62">
        <f t="shared" si="38"/>
        <v>245.50083454484513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29.394703667261251</v>
      </c>
      <c r="BR35" s="23">
        <f>EXP(-LN(2)/2)*BR34+(1-EXP(-LN(2)/2))/(LN(2)/2)*BL35*BO35*VLOOKUP('Données projet'!$B$11,Paramètres!$A$1:$I$88,3,0)*0.475*44/12</f>
        <v>9.028557771678198</v>
      </c>
      <c r="BS35" s="24">
        <f t="shared" si="9"/>
        <v>38.423261438939448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14.6</v>
      </c>
      <c r="BY35" s="13">
        <f>IF('Données projet'!$A$114&gt;35,BY34+BX35-CG34,IF(A35&lt;'Données projet'!$A$114,$BV$205^A35,IF(A35='Données projet'!$A$114,'Données projet'!$B$114,BY34+BX35-CG34)))</f>
        <v>189.20000000000005</v>
      </c>
      <c r="BZ35" s="14">
        <f>BY35*VLOOKUP('Données projet'!$B$12,Paramètres!$A$1:$I$88,3,0)*VLOOKUP('Données projet'!$B$12,Paramètres!$A$1:$I$88,5,0)</f>
        <v>113.14160000000004</v>
      </c>
      <c r="CA35" s="14">
        <f t="shared" si="39"/>
        <v>30.069952587742019</v>
      </c>
      <c r="CB35" s="22">
        <f t="shared" si="10"/>
        <v>249.42678742365072</v>
      </c>
      <c r="CC35" s="62">
        <f t="shared" si="11"/>
        <v>542.76012075698407</v>
      </c>
      <c r="CD35" s="62">
        <f ca="1">AVERAGE(OFFSET($CC$3,0,0,'Données projet'!$E$12+1,1))-AVERAGE(OFFSET($H$3,0,0,'Données projet'!$E$12+1,1))</f>
        <v>168.16583766359378</v>
      </c>
      <c r="CE35" s="62">
        <f t="shared" si="40"/>
        <v>194.52809733694494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7.2</v>
      </c>
      <c r="CT35" s="13">
        <f>IF('Données projet'!$A$140&gt;35,CT34+CS35-DB34,IF(A35&lt;'Données projet'!$A$140,$CQ$205^A35,IF(A35='Données projet'!$A$140,'Données projet'!$B$140,CT34+CS35-DB34)))</f>
        <v>113.4</v>
      </c>
      <c r="CU35" s="18">
        <f>CT35*VLOOKUP('Données projet'!$B$13,Paramètres!$A$1:$I$88,3,0)*VLOOKUP('Données projet'!$B$13,Paramètres!$A$1:$I$88,5,0)</f>
        <v>99.066240000000022</v>
      </c>
      <c r="CV35" s="14">
        <f t="shared" si="41"/>
        <v>26.739420789378705</v>
      </c>
      <c r="CW35" s="22">
        <f t="shared" si="13"/>
        <v>219.11152587483457</v>
      </c>
      <c r="CX35" s="62">
        <f t="shared" si="14"/>
        <v>512.44485920816783</v>
      </c>
      <c r="CY35" s="62">
        <f ca="1">AVERAGE(OFFSET($CX$3,0,0,'Données projet'!$E$13+1,1))-AVERAGE(OFFSET($H$3,0,0,'Données projet'!$E$13+1,1))</f>
        <v>146.09202487550647</v>
      </c>
      <c r="CZ35" s="62">
        <f t="shared" si="42"/>
        <v>168.58814676269344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9.1999999999999993</v>
      </c>
      <c r="DO35" s="13">
        <f>IF('Données projet'!$A$166&gt;35,DO34+DN35-DW34,IF(A35&lt;'Données projet'!$A$166,$DL$205^A35,IF(A35='Données projet'!$A$166,'Données projet'!$B$166,DO34+DN35-DW34)))</f>
        <v>95.399999999999977</v>
      </c>
      <c r="DP35" s="18">
        <f>DO35*VLOOKUP('Données projet'!$B$14,Paramètres!$A$1:$I$88,3,0)*VLOOKUP('Données projet'!$B$14,Paramètres!$A$1:$I$88,5,0)</f>
        <v>69.947279999999978</v>
      </c>
      <c r="DQ35" s="14">
        <f t="shared" si="43"/>
        <v>19.660364763261025</v>
      </c>
      <c r="DR35" s="22">
        <f t="shared" si="16"/>
        <v>156.06664796267958</v>
      </c>
      <c r="DS35" s="62">
        <f t="shared" si="17"/>
        <v>449.39998129601292</v>
      </c>
      <c r="DT35" s="62">
        <f ca="1">AVERAGE(OFFSET($DS$3,0,0,'Données projet'!$E$14+1,1))-AVERAGE(OFFSET($H$3,0,0,'Données projet'!$E$14+1,1))</f>
        <v>116.35584360635318</v>
      </c>
      <c r="DU35" s="62">
        <f t="shared" si="44"/>
        <v>86.38226293640173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0</v>
      </c>
      <c r="EB35" s="23">
        <f>EXP(-LN(2)/25)*EB34+(1-EXP(-LN(2)/25))/(LN(2)/25)*Calculateur!DW35*Calculateur!DY35*VLOOKUP('Données projet'!$B$14,Paramètres!$A$1:$I$88,3,0)*0.475*44/12</f>
        <v>0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160</v>
      </c>
      <c r="O36" s="14">
        <f>N36*VLOOKUP('Données projet'!$B$9,Paramètres!$A$1:$I$88,3,0)*VLOOKUP('Données projet'!$B$9,Paramètres!$A$1:$I$88,5,0)</f>
        <v>74.88</v>
      </c>
      <c r="P36" s="14">
        <f t="shared" si="33"/>
        <v>20.880539585643231</v>
      </c>
      <c r="Q36" s="22">
        <f t="shared" si="53"/>
        <v>166.78293977832863</v>
      </c>
      <c r="R36" s="62">
        <f t="shared" si="0"/>
        <v>460.11627311166194</v>
      </c>
      <c r="S36" s="62">
        <f ca="1">AVERAGE(OFFSET($R$3,0,0,'Données projet'!$E$9+1,1))-AVERAGE(OFFSET($H$3,0,0,'Données projet'!$E$9+1,1))</f>
        <v>82.229723373996478</v>
      </c>
      <c r="T36" s="62">
        <f t="shared" si="34"/>
        <v>115.86489547584461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7.0104833100836714</v>
      </c>
      <c r="AB36" s="23">
        <f>EXP(-LN(2)/2)*AB35+(1-EXP(-LN(2)/2))/(LN(2)/2)*V36*Y36*VLOOKUP('Données projet'!$B$9,Paramètres!$A$1:$I$88,3,0)*0.475*44/12</f>
        <v>3.2972286634759471</v>
      </c>
      <c r="AC36" s="24">
        <f t="shared" si="3"/>
        <v>10.307711973559618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projet'!$B$10,Paramètres!$A$1:$I$88,3,0)*VLOOKUP('Données projet'!$B$10,Paramètres!$A$1:$I$88,5,0)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262.78347246606825</v>
      </c>
      <c r="AO36" s="62">
        <f t="shared" si="36"/>
        <v>448.84541017639367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21.145459901256334</v>
      </c>
      <c r="AW36" s="23">
        <f>EXP(-LN(2)/2)*AW35+(1-EXP(-LN(2)/2))/(LN(2)/2)*AQ36*AT36*VLOOKUP('Données projet'!$B$10,Paramètres!$A$1:$I$88,3,0)*0.475*44/12</f>
        <v>6.2566642335161466</v>
      </c>
      <c r="AX36" s="23">
        <f t="shared" si="6"/>
        <v>27.402124134772482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12.833333333333334</v>
      </c>
      <c r="BD36" s="13">
        <f>IF('Données projet'!$A$88&gt;35,BD35+BC36-BL35,IF(A36&lt;'Données projet'!$A$88,$BA$205^A36,IF(A36='Données projet'!$A$88,'Données projet'!$B$88,BD35+BC36-BL35)))</f>
        <v>209.49999999999997</v>
      </c>
      <c r="BE36" s="14">
        <f>BD36*VLOOKUP('Données projet'!$B$11,Paramètres!$A$1:$I$88,3,0)*VLOOKUP('Données projet'!$B$11,Paramètres!$A$1:$I$88,5,0)</f>
        <v>130.72799999999998</v>
      </c>
      <c r="BF36" s="14">
        <f t="shared" si="37"/>
        <v>34.164524045585857</v>
      </c>
      <c r="BG36" s="22">
        <f t="shared" si="7"/>
        <v>287.18781271272866</v>
      </c>
      <c r="BH36" s="62">
        <f t="shared" si="8"/>
        <v>580.52114604606197</v>
      </c>
      <c r="BI36" s="62">
        <f ca="1">AVERAGE(OFFSET($BH$3,0,0,'Données projet'!$E$11+1,1))-AVERAGE(OFFSET($H$3,0,0,'Données projet'!$E$11+1,1))</f>
        <v>135.14998708332445</v>
      </c>
      <c r="BJ36" s="62">
        <f t="shared" si="38"/>
        <v>245.50083454484513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28.59090394967971</v>
      </c>
      <c r="BR36" s="23">
        <f>EXP(-LN(2)/2)*BR35+(1-EXP(-LN(2)/2))/(LN(2)/2)*BL36*BO36*VLOOKUP('Données projet'!$B$11,Paramètres!$A$1:$I$88,3,0)*0.475*44/12</f>
        <v>6.384154424688159</v>
      </c>
      <c r="BS36" s="24">
        <f t="shared" si="9"/>
        <v>34.975058374367869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14.6</v>
      </c>
      <c r="BY36" s="13">
        <f>IF('Données projet'!$A$114&gt;35,BY35+BX36-CG35,IF(A36&lt;'Données projet'!$A$114,$BV$205^A36,IF(A36='Données projet'!$A$114,'Données projet'!$B$114,BY35+BX36-CG35)))</f>
        <v>203.80000000000004</v>
      </c>
      <c r="BZ36" s="14">
        <f>BY36*VLOOKUP('Données projet'!$B$12,Paramètres!$A$1:$I$88,3,0)*VLOOKUP('Données projet'!$B$12,Paramètres!$A$1:$I$88,5,0)</f>
        <v>121.87240000000003</v>
      </c>
      <c r="CA36" s="14">
        <f t="shared" si="39"/>
        <v>32.111311550408985</v>
      </c>
      <c r="CB36" s="22">
        <f t="shared" si="10"/>
        <v>268.1882976169623</v>
      </c>
      <c r="CC36" s="62">
        <f t="shared" si="11"/>
        <v>561.52163095029562</v>
      </c>
      <c r="CD36" s="62">
        <f ca="1">AVERAGE(OFFSET($CC$3,0,0,'Données projet'!$E$12+1,1))-AVERAGE(OFFSET($H$3,0,0,'Données projet'!$E$12+1,1))</f>
        <v>168.16583766359378</v>
      </c>
      <c r="CE36" s="62">
        <f t="shared" si="40"/>
        <v>194.52809733694494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7.2</v>
      </c>
      <c r="CT36" s="13">
        <f>IF('Données projet'!$A$140&gt;35,CT35+CS36-DB35,IF(A36&lt;'Données projet'!$A$140,$CQ$205^A36,IF(A36='Données projet'!$A$140,'Données projet'!$B$140,CT35+CS36-DB35)))</f>
        <v>120.60000000000001</v>
      </c>
      <c r="CU36" s="18">
        <f>CT36*VLOOKUP('Données projet'!$B$13,Paramètres!$A$1:$I$88,3,0)*VLOOKUP('Données projet'!$B$13,Paramètres!$A$1:$I$88,5,0)</f>
        <v>105.35616000000003</v>
      </c>
      <c r="CV36" s="14">
        <f t="shared" si="41"/>
        <v>28.234128165723941</v>
      </c>
      <c r="CW36" s="22">
        <f t="shared" si="13"/>
        <v>232.66975188863589</v>
      </c>
      <c r="CX36" s="62">
        <f t="shared" si="14"/>
        <v>526.00308522196917</v>
      </c>
      <c r="CY36" s="62">
        <f ca="1">AVERAGE(OFFSET($CX$3,0,0,'Données projet'!$E$13+1,1))-AVERAGE(OFFSET($H$3,0,0,'Données projet'!$E$13+1,1))</f>
        <v>146.09202487550647</v>
      </c>
      <c r="CZ36" s="62">
        <f t="shared" si="42"/>
        <v>168.58814676269344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9.1999999999999993</v>
      </c>
      <c r="DO36" s="13">
        <f>IF('Données projet'!$A$166&gt;35,DO35+DN36-DW35,IF(A36&lt;'Données projet'!$A$166,$DL$205^A36,IF(A36='Données projet'!$A$166,'Données projet'!$B$166,DO35+DN36-DW35)))</f>
        <v>104.59999999999998</v>
      </c>
      <c r="DP36" s="18">
        <f>DO36*VLOOKUP('Données projet'!$B$14,Paramètres!$A$1:$I$88,3,0)*VLOOKUP('Données projet'!$B$14,Paramètres!$A$1:$I$88,5,0)</f>
        <v>76.69271999999998</v>
      </c>
      <c r="DQ36" s="14">
        <f t="shared" si="43"/>
        <v>21.326560728126577</v>
      </c>
      <c r="DR36" s="22">
        <f t="shared" si="16"/>
        <v>170.71691393482038</v>
      </c>
      <c r="DS36" s="62">
        <f t="shared" si="17"/>
        <v>464.05024726815373</v>
      </c>
      <c r="DT36" s="62">
        <f ca="1">AVERAGE(OFFSET($DS$3,0,0,'Données projet'!$E$14+1,1))-AVERAGE(OFFSET($H$3,0,0,'Données projet'!$E$14+1,1))</f>
        <v>116.35584360635318</v>
      </c>
      <c r="DU36" s="62">
        <f t="shared" si="44"/>
        <v>86.38226293640173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0</v>
      </c>
      <c r="EB36" s="23">
        <f>EXP(-LN(2)/25)*EB35+(1-EXP(-LN(2)/25))/(LN(2)/25)*Calculateur!DW36*Calculateur!DY36*VLOOKUP('Données projet'!$B$14,Paramètres!$A$1:$I$88,3,0)*0.475*44/12</f>
        <v>0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170</v>
      </c>
      <c r="O37" s="14">
        <f>N37*VLOOKUP('Données projet'!$B$9,Paramètres!$A$1:$I$88,3,0)*VLOOKUP('Données projet'!$B$9,Paramètres!$A$1:$I$88,5,0)</f>
        <v>79.56</v>
      </c>
      <c r="P37" s="14">
        <f t="shared" si="33"/>
        <v>22.029567333453311</v>
      </c>
      <c r="Q37" s="22">
        <f t="shared" si="53"/>
        <v>176.93516310576453</v>
      </c>
      <c r="R37" s="62">
        <f t="shared" si="0"/>
        <v>470.26849643909782</v>
      </c>
      <c r="S37" s="62">
        <f ca="1">AVERAGE(OFFSET($R$3,0,0,'Données projet'!$E$9+1,1))-AVERAGE(OFFSET($H$3,0,0,'Données projet'!$E$9+1,1))</f>
        <v>82.229723373996478</v>
      </c>
      <c r="T37" s="62">
        <f t="shared" si="34"/>
        <v>115.86489547584461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6.818781275304139</v>
      </c>
      <c r="AB37" s="23">
        <f>EXP(-LN(2)/2)*AB36+(1-EXP(-LN(2)/2))/(LN(2)/2)*V37*Y37*VLOOKUP('Données projet'!$B$9,Paramètres!$A$1:$I$88,3,0)*0.475*44/12</f>
        <v>2.3314927470664992</v>
      </c>
      <c r="AC37" s="24">
        <f t="shared" si="3"/>
        <v>9.1502740223706382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projet'!$B$10,Paramètres!$A$1:$I$88,3,0)*VLOOKUP('Données projet'!$B$10,Paramètres!$A$1:$I$88,5,0)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262.78347246606825</v>
      </c>
      <c r="AO37" s="62">
        <f t="shared" si="36"/>
        <v>448.84541017639367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20.56723618826507</v>
      </c>
      <c r="AW37" s="23">
        <f>EXP(-LN(2)/2)*AW36+(1-EXP(-LN(2)/2))/(LN(2)/2)*AQ37*AT37*VLOOKUP('Données projet'!$B$10,Paramètres!$A$1:$I$88,3,0)*0.475*44/12</f>
        <v>4.4241297071266006</v>
      </c>
      <c r="AX37" s="23">
        <f t="shared" si="6"/>
        <v>24.99136589539167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12.833333333333334</v>
      </c>
      <c r="BD37" s="13">
        <f>IF('Données projet'!$A$88&gt;35,BD36+BC37-BL36,IF(A37&lt;'Données projet'!$A$88,$BA$205^A37,IF(A37='Données projet'!$A$88,'Données projet'!$B$88,BD36+BC37-BL36)))</f>
        <v>222.33333333333331</v>
      </c>
      <c r="BE37" s="14">
        <f>BD37*VLOOKUP('Données projet'!$B$11,Paramètres!$A$1:$I$88,3,0)*VLOOKUP('Données projet'!$B$11,Paramètres!$A$1:$I$88,5,0)</f>
        <v>138.73599999999999</v>
      </c>
      <c r="BF37" s="14">
        <f t="shared" si="37"/>
        <v>36.007288175538044</v>
      </c>
      <c r="BG37" s="22">
        <f t="shared" si="7"/>
        <v>304.34456023906205</v>
      </c>
      <c r="BH37" s="62">
        <f t="shared" si="8"/>
        <v>597.67789357239531</v>
      </c>
      <c r="BI37" s="62">
        <f ca="1">AVERAGE(OFFSET($BH$3,0,0,'Données projet'!$E$11+1,1))-AVERAGE(OFFSET($H$3,0,0,'Données projet'!$E$11+1,1))</f>
        <v>135.14998708332445</v>
      </c>
      <c r="BJ37" s="62">
        <f t="shared" si="38"/>
        <v>245.50083454484513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27.809084177645424</v>
      </c>
      <c r="BR37" s="23">
        <f>EXP(-LN(2)/2)*BR36+(1-EXP(-LN(2)/2))/(LN(2)/2)*BL37*BO37*VLOOKUP('Données projet'!$B$11,Paramètres!$A$1:$I$88,3,0)*0.475*44/12</f>
        <v>4.5142788858390999</v>
      </c>
      <c r="BS37" s="24">
        <f t="shared" si="9"/>
        <v>32.323363063484521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14.6</v>
      </c>
      <c r="BY37" s="13">
        <f>IF('Données projet'!$A$114&gt;35,BY36+BX37-CG36,IF(A37&lt;'Données projet'!$A$114,$BV$205^A37,IF(A37='Données projet'!$A$114,'Données projet'!$B$114,BY36+BX37-CG36)))</f>
        <v>218.40000000000003</v>
      </c>
      <c r="BZ37" s="14">
        <f>BY37*VLOOKUP('Données projet'!$B$12,Paramètres!$A$1:$I$88,3,0)*VLOOKUP('Données projet'!$B$12,Paramètres!$A$1:$I$88,5,0)</f>
        <v>130.60320000000004</v>
      </c>
      <c r="CA37" s="14">
        <f t="shared" si="39"/>
        <v>34.135703567016428</v>
      </c>
      <c r="CB37" s="22">
        <f t="shared" si="10"/>
        <v>286.92025704588701</v>
      </c>
      <c r="CC37" s="62">
        <f t="shared" si="11"/>
        <v>580.25359037922033</v>
      </c>
      <c r="CD37" s="62">
        <f ca="1">AVERAGE(OFFSET($CC$3,0,0,'Données projet'!$E$12+1,1))-AVERAGE(OFFSET($H$3,0,0,'Données projet'!$E$12+1,1))</f>
        <v>168.16583766359378</v>
      </c>
      <c r="CE37" s="62">
        <f t="shared" si="40"/>
        <v>194.52809733694494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7.2</v>
      </c>
      <c r="CT37" s="13">
        <f>IF('Données projet'!$A$140&gt;35,CT36+CS37-DB36,IF(A37&lt;'Données projet'!$A$140,$CQ$205^A37,IF(A37='Données projet'!$A$140,'Données projet'!$B$140,CT36+CS37-DB36)))</f>
        <v>127.80000000000001</v>
      </c>
      <c r="CU37" s="18">
        <f>CT37*VLOOKUP('Données projet'!$B$13,Paramètres!$A$1:$I$88,3,0)*VLOOKUP('Données projet'!$B$13,Paramètres!$A$1:$I$88,5,0)</f>
        <v>111.64608000000003</v>
      </c>
      <c r="CV37" s="14">
        <f t="shared" si="41"/>
        <v>29.718477955114288</v>
      </c>
      <c r="CW37" s="22">
        <f t="shared" si="13"/>
        <v>246.20993843849078</v>
      </c>
      <c r="CX37" s="62">
        <f t="shared" si="14"/>
        <v>539.54327177182404</v>
      </c>
      <c r="CY37" s="62">
        <f ca="1">AVERAGE(OFFSET($CX$3,0,0,'Données projet'!$E$13+1,1))-AVERAGE(OFFSET($H$3,0,0,'Données projet'!$E$13+1,1))</f>
        <v>146.09202487550647</v>
      </c>
      <c r="CZ37" s="62">
        <f t="shared" si="42"/>
        <v>168.58814676269344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9.1999999999999993</v>
      </c>
      <c r="DO37" s="13">
        <f>IF('Données projet'!$A$166&gt;35,DO36+DN37-DW36,IF(A37&lt;'Données projet'!$A$166,$DL$205^A37,IF(A37='Données projet'!$A$166,'Données projet'!$B$166,DO36+DN37-DW36)))</f>
        <v>113.79999999999998</v>
      </c>
      <c r="DP37" s="18">
        <f>DO37*VLOOKUP('Données projet'!$B$14,Paramètres!$A$1:$I$88,3,0)*VLOOKUP('Données projet'!$B$14,Paramètres!$A$1:$I$88,5,0)</f>
        <v>83.438159999999982</v>
      </c>
      <c r="DQ37" s="14">
        <f t="shared" si="43"/>
        <v>22.975762325996961</v>
      </c>
      <c r="DR37" s="22">
        <f t="shared" si="16"/>
        <v>185.33758138444466</v>
      </c>
      <c r="DS37" s="62">
        <f t="shared" si="17"/>
        <v>478.67091471777798</v>
      </c>
      <c r="DT37" s="62">
        <f ca="1">AVERAGE(OFFSET($DS$3,0,0,'Données projet'!$E$14+1,1))-AVERAGE(OFFSET($H$3,0,0,'Données projet'!$E$14+1,1))</f>
        <v>116.35584360635318</v>
      </c>
      <c r="DU37" s="62">
        <f t="shared" si="44"/>
        <v>86.38226293640173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0</v>
      </c>
      <c r="EB37" s="23">
        <f>EXP(-LN(2)/25)*EB36+(1-EXP(-LN(2)/25))/(LN(2)/25)*Calculateur!DW37*Calculateur!DY37*VLOOKUP('Données projet'!$B$14,Paramètres!$A$1:$I$88,3,0)*0.475*44/12</f>
        <v>0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180</v>
      </c>
      <c r="O38" s="14">
        <f>N38*VLOOKUP('Données projet'!$B$9,Paramètres!$A$1:$I$88,3,0)*VLOOKUP('Données projet'!$B$9,Paramètres!$A$1:$I$88,5,0)</f>
        <v>84.24</v>
      </c>
      <c r="P38" s="14">
        <f t="shared" si="33"/>
        <v>23.170749718409468</v>
      </c>
      <c r="Q38" s="22">
        <f t="shared" si="53"/>
        <v>187.07372242622981</v>
      </c>
      <c r="R38" s="62">
        <f t="shared" si="0"/>
        <v>480.40705575956315</v>
      </c>
      <c r="S38" s="62">
        <f ca="1">AVERAGE(OFFSET($R$3,0,0,'Données projet'!$E$9+1,1))-AVERAGE(OFFSET($H$3,0,0,'Données projet'!$E$9+1,1))</f>
        <v>82.229723373996478</v>
      </c>
      <c r="T38" s="62">
        <f t="shared" si="34"/>
        <v>115.86489547584461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6.6323213427468248</v>
      </c>
      <c r="AB38" s="23">
        <f>EXP(-LN(2)/2)*AB37+(1-EXP(-LN(2)/2))/(LN(2)/2)*V38*Y38*VLOOKUP('Données projet'!$B$9,Paramètres!$A$1:$I$88,3,0)*0.475*44/12</f>
        <v>1.6486143317379738</v>
      </c>
      <c r="AC38" s="24">
        <f t="shared" si="3"/>
        <v>8.2809356744847982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projet'!$B$10,Paramètres!$A$1:$I$88,3,0)*VLOOKUP('Données projet'!$B$10,Paramètres!$A$1:$I$88,5,0)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262.78347246606825</v>
      </c>
      <c r="AO38" s="62">
        <f t="shared" si="36"/>
        <v>448.84541017639367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projet'!$B$10,Paramètres!$A$1:$I$88,7,0))</f>
        <v>0.16500000000000001</v>
      </c>
      <c r="AS38" s="17">
        <f>IF(ISNA(VLOOKUP(A38,'Données projet'!$A$61:$I$81,6,0)),0%,VLOOKUP(A38,'Données projet'!$A$61:$I$81,6,0)*VLOOKUP('Données projet'!$B$10,Paramètres!$A$1:$I$88,7,0))</f>
        <v>0.21560000000000001</v>
      </c>
      <c r="AT38" s="17">
        <f>IF(ISNA(VLOOKUP(A38,'Données projet'!$A$61:$I$81,7,0)),0%,VLOOKUP(A38,'Données projet'!$A$61:$I$81,7,0))</f>
        <v>0.308</v>
      </c>
      <c r="AU38" s="23">
        <f>EXP(-LN(2)/35)*AU37+(1-EXP(-LN(2)/35))/(LN(2)/35)*AQ38*AR38*VLOOKUP('Données projet'!$B$10,Paramètres!$A$1:$I$88,3,0)*0.475*44/12</f>
        <v>8.442541405775156</v>
      </c>
      <c r="AV38" s="23">
        <f>EXP(-LN(2)/25)*AV37+(1-EXP(-LN(2)/25))/(LN(2)/25)*Calculateur!AQ38*Calculateur!AS38*VLOOKUP('Données projet'!$B$10,Paramètres!$A$1:$I$88,3,0)*0.475*44/12</f>
        <v>30.992975906889207</v>
      </c>
      <c r="AW38" s="23">
        <f>EXP(-LN(2)/2)*AW37+(1-EXP(-LN(2)/2))/(LN(2)/2)*AQ38*AT38*VLOOKUP('Données projet'!$B$10,Paramètres!$A$1:$I$88,3,0)*0.475*44/12</f>
        <v>16.579102356709214</v>
      </c>
      <c r="AX38" s="23">
        <f t="shared" si="6"/>
        <v>56.014619669373573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12.833333333333334</v>
      </c>
      <c r="BD38" s="13">
        <f>IF('Données projet'!$A$88&gt;35,BD37+BC38-BL37,IF(A38&lt;'Données projet'!$A$88,$BA$205^A38,IF(A38='Données projet'!$A$88,'Données projet'!$B$88,BD37+BC38-BL37)))</f>
        <v>235.16666666666666</v>
      </c>
      <c r="BE38" s="14">
        <f>BD38*VLOOKUP('Données projet'!$B$11,Paramètres!$A$1:$I$88,3,0)*VLOOKUP('Données projet'!$B$11,Paramètres!$A$1:$I$88,5,0)</f>
        <v>146.744</v>
      </c>
      <c r="BF38" s="14">
        <f t="shared" si="37"/>
        <v>37.837705514258651</v>
      </c>
      <c r="BG38" s="22">
        <f t="shared" si="7"/>
        <v>321.47980377066716</v>
      </c>
      <c r="BH38" s="62">
        <f t="shared" si="8"/>
        <v>614.81313710400048</v>
      </c>
      <c r="BI38" s="62">
        <f ca="1">AVERAGE(OFFSET($BH$3,0,0,'Données projet'!$E$11+1,1))-AVERAGE(OFFSET($H$3,0,0,'Données projet'!$E$11+1,1))</f>
        <v>135.14998708332445</v>
      </c>
      <c r="BJ38" s="62">
        <f t="shared" si="38"/>
        <v>245.50083454484513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27.048643308391533</v>
      </c>
      <c r="BR38" s="23">
        <f>EXP(-LN(2)/2)*BR37+(1-EXP(-LN(2)/2))/(LN(2)/2)*BL38*BO38*VLOOKUP('Données projet'!$B$11,Paramètres!$A$1:$I$88,3,0)*0.475*44/12</f>
        <v>3.1920772123440804</v>
      </c>
      <c r="BS38" s="24">
        <f t="shared" si="9"/>
        <v>30.240720520735614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233</v>
      </c>
      <c r="BW38" s="13">
        <f>VLOOKUP(A38,'Données projet'!$A$113:$I$133,9,0)</f>
        <v>14.6</v>
      </c>
      <c r="BX38" s="13">
        <f t="array" ref="BX38">INDEX(BW:BW,MIN(IF(ISNUMBER(BW38:BW234),ROW(BW38:BW234),"")))</f>
        <v>14.6</v>
      </c>
      <c r="BY38" s="13">
        <f>IF('Données projet'!$A$114&gt;35,BY37+BX38-CG37,IF(A38&lt;'Données projet'!$A$114,$BV$205^A38,IF(A38='Données projet'!$A$114,'Données projet'!$B$114,BY37+BX38-CG37)))</f>
        <v>233.00000000000003</v>
      </c>
      <c r="BZ38" s="14">
        <f>BY38*VLOOKUP('Données projet'!$B$12,Paramètres!$A$1:$I$88,3,0)*VLOOKUP('Données projet'!$B$12,Paramètres!$A$1:$I$88,5,0)</f>
        <v>139.33400000000003</v>
      </c>
      <c r="CA38" s="14">
        <f t="shared" si="39"/>
        <v>36.144391930570897</v>
      </c>
      <c r="CB38" s="22">
        <f t="shared" si="10"/>
        <v>305.62486594574438</v>
      </c>
      <c r="CC38" s="62">
        <f t="shared" si="11"/>
        <v>598.95819927907769</v>
      </c>
      <c r="CD38" s="62">
        <f ca="1">AVERAGE(OFFSET($CC$3,0,0,'Données projet'!$E$12+1,1))-AVERAGE(OFFSET($H$3,0,0,'Données projet'!$E$12+1,1))</f>
        <v>168.16583766359378</v>
      </c>
      <c r="CE38" s="62">
        <f t="shared" si="40"/>
        <v>194.52809733694494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41</v>
      </c>
      <c r="CH38" s="17">
        <f>IF(ISNA(VLOOKUP(A38,'Données projet'!$A$113:$I$133,5,0)),0%,VLOOKUP(A38,'Données projet'!$A$113:$I$133,5,0)*VLOOKUP('Données projet'!$B$12,Paramètres!$A$1:$I$88,7,0))</f>
        <v>0.13500000000000001</v>
      </c>
      <c r="CI38" s="17">
        <f>IF(ISNA(VLOOKUP(A38,'Données projet'!$A$113:$I$133,6,0)),0%,VLOOKUP(A38,'Données projet'!$A$113:$I$133,6,0)*VLOOKUP('Données projet'!$B$12,Paramètres!$A$1:$I$88,7,0))</f>
        <v>0.1764</v>
      </c>
      <c r="CJ38" s="17">
        <f>IF(ISNA(VLOOKUP(A38,'Données projet'!$A$113:$I$133,7,0)),0%,VLOOKUP(A38,'Données projet'!$A$113:$I$133,7,0))</f>
        <v>0.308</v>
      </c>
      <c r="CK38" s="23">
        <f>EXP(-LN(2)/35)*CK37+(1-EXP(-LN(2)/35))/(LN(2)/35)*CG38*CH38*VLOOKUP('Données projet'!$B$12,Paramètres!$A$1:$I$88,3,0)*0.475*44/12</f>
        <v>4.3908354879929981</v>
      </c>
      <c r="CL38" s="23">
        <f>EXP(-LN(2)/25)*CL37+(1-EXP(-LN(2)/25))/(LN(2)/25)*Calculateur!CG38*Calculateur!CI38*VLOOKUP('Données projet'!$B$12,Paramètres!$A$1:$I$88,3,0)*0.475*44/12</f>
        <v>5.7147682049660515</v>
      </c>
      <c r="CM38" s="23">
        <f>EXP(-LN(2)/2)*CM37+(1-EXP(-LN(2)/2))/(LN(2)/2)*CG38*CJ38*VLOOKUP('Données projet'!$B$12,Paramètres!$A$1:$I$88,3,0)*0.475*44/12</f>
        <v>8.5501020129921965</v>
      </c>
      <c r="CN38" s="24">
        <f t="shared" si="12"/>
        <v>18.655705705951249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135</v>
      </c>
      <c r="CR38" s="13">
        <f>VLOOKUP(A38,'Données projet'!$A$139:$I$159,9,0)</f>
        <v>7.2</v>
      </c>
      <c r="CS38" s="13">
        <f t="array" ref="CS38">INDEX(CR:CR,MIN(IF(ISNUMBER(CR38:CR234),ROW(CR38:CR234),"")))</f>
        <v>7.2</v>
      </c>
      <c r="CT38" s="13">
        <f>IF('Données projet'!$A$140&gt;35,CT37+CS38-DB37,IF(A38&lt;'Données projet'!$A$140,$CQ$205^A38,IF(A38='Données projet'!$A$140,'Données projet'!$B$140,CT37+CS38-DB37)))</f>
        <v>135</v>
      </c>
      <c r="CU38" s="18">
        <f>CT38*VLOOKUP('Données projet'!$B$13,Paramètres!$A$1:$I$88,3,0)*VLOOKUP('Données projet'!$B$13,Paramètres!$A$1:$I$88,5,0)</f>
        <v>117.93600000000002</v>
      </c>
      <c r="CV38" s="14">
        <f t="shared" si="41"/>
        <v>31.1931201812605</v>
      </c>
      <c r="CW38" s="22">
        <f t="shared" si="13"/>
        <v>259.73321764902875</v>
      </c>
      <c r="CX38" s="62">
        <f t="shared" si="14"/>
        <v>553.06655098236206</v>
      </c>
      <c r="CY38" s="62">
        <f ca="1">AVERAGE(OFFSET($CX$3,0,0,'Données projet'!$E$13+1,1))-AVERAGE(OFFSET($H$3,0,0,'Données projet'!$E$13+1,1))</f>
        <v>146.09202487550647</v>
      </c>
      <c r="CZ38" s="62">
        <f t="shared" si="42"/>
        <v>168.58814676269344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20</v>
      </c>
      <c r="DC38" s="17">
        <f>IF(ISNA(VLOOKUP(A38,'Données projet'!$A$139:$I$159,5,0)),0%,VLOOKUP(A38,'Données projet'!$A$139:$I$159,5,0)*VLOOKUP('Données projet'!$B$13,Paramètres!$A$1:$I$88,7,0))</f>
        <v>8.6000000000000007E-2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1.6610709485231749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1.6610709485231749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123</v>
      </c>
      <c r="DM38" s="13">
        <f>VLOOKUP(A38,'Données projet'!$A$165:$I$185,9,0)</f>
        <v>9.1999999999999993</v>
      </c>
      <c r="DN38" s="13">
        <f t="array" ref="DN38">INDEX(DM:DM,MIN(IF(ISNUMBER(DM38:DM234),ROW(DM38:DM234),"")))</f>
        <v>9.1999999999999993</v>
      </c>
      <c r="DO38" s="13">
        <f>IF('Données projet'!$A$166&gt;35,DO37+DN38-DW37,IF(A38&lt;'Données projet'!$A$166,$DL$205^A38,IF(A38='Données projet'!$A$166,'Données projet'!$B$166,DO37+DN38-DW37)))</f>
        <v>122.99999999999999</v>
      </c>
      <c r="DP38" s="18">
        <f>DO38*VLOOKUP('Données projet'!$B$14,Paramètres!$A$1:$I$88,3,0)*VLOOKUP('Données projet'!$B$14,Paramètres!$A$1:$I$88,5,0)</f>
        <v>90.183599999999984</v>
      </c>
      <c r="DQ38" s="14">
        <f t="shared" si="43"/>
        <v>24.609499639553768</v>
      </c>
      <c r="DR38" s="22">
        <f t="shared" si="16"/>
        <v>199.9313152055561</v>
      </c>
      <c r="DS38" s="62">
        <f t="shared" si="17"/>
        <v>493.26464853888945</v>
      </c>
      <c r="DT38" s="62">
        <f ca="1">AVERAGE(OFFSET($DS$3,0,0,'Données projet'!$E$14+1,1))-AVERAGE(OFFSET($H$3,0,0,'Données projet'!$E$14+1,1))</f>
        <v>116.35584360635318</v>
      </c>
      <c r="DU38" s="62">
        <f t="shared" si="44"/>
        <v>86.38226293640173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23</v>
      </c>
      <c r="DX38" s="17">
        <f>IF(ISNA(VLOOKUP(A38,'Données projet'!$A$165:$I$185,5,0)),0%,VLOOKUP(A38,'Données projet'!$A$165:$I$185,5,0)*VLOOKUP('Données projet'!$B$14,Paramètres!$A$1:$I$88,7,0))</f>
        <v>8.6000000000000007E-2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1.6032300851371</v>
      </c>
      <c r="EB38" s="23">
        <f>EXP(-LN(2)/25)*EB37+(1-EXP(-LN(2)/25))/(LN(2)/25)*Calculateur!DW38*Calculateur!DY38*VLOOKUP('Données projet'!$B$14,Paramètres!$A$1:$I$88,3,0)*0.475*44/12</f>
        <v>0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1.6032300851371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190</v>
      </c>
      <c r="O39" s="14">
        <f>N39*VLOOKUP('Données projet'!$B$9,Paramètres!$A$1:$I$88,3,0)*VLOOKUP('Données projet'!$B$9,Paramètres!$A$1:$I$88,5,0)</f>
        <v>88.919999999999987</v>
      </c>
      <c r="P39" s="14">
        <f t="shared" si="33"/>
        <v>24.30457227046648</v>
      </c>
      <c r="Q39" s="22">
        <f t="shared" si="53"/>
        <v>197.19946337106239</v>
      </c>
      <c r="R39" s="62">
        <f t="shared" si="0"/>
        <v>490.53279670439571</v>
      </c>
      <c r="S39" s="62">
        <f ca="1">AVERAGE(OFFSET($R$3,0,0,'Données projet'!$E$9+1,1))-AVERAGE(OFFSET($H$3,0,0,'Données projet'!$E$9+1,1))</f>
        <v>82.229723373996478</v>
      </c>
      <c r="T39" s="62">
        <f t="shared" si="34"/>
        <v>115.86489547584461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6.4509601668507921</v>
      </c>
      <c r="AB39" s="23">
        <f>EXP(-LN(2)/2)*AB38+(1-EXP(-LN(2)/2))/(LN(2)/2)*V39*Y39*VLOOKUP('Données projet'!$B$9,Paramètres!$A$1:$I$88,3,0)*0.475*44/12</f>
        <v>1.1657463735332498</v>
      </c>
      <c r="AC39" s="24">
        <f t="shared" si="3"/>
        <v>7.6167065403840422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projet'!$B$10,Paramètres!$A$1:$I$88,3,0)*VLOOKUP('Données projet'!$B$10,Paramètres!$A$1:$I$88,5,0)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262.78347246606825</v>
      </c>
      <c r="AO39" s="62">
        <f t="shared" si="36"/>
        <v>448.84541017639367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8.2769883182496979</v>
      </c>
      <c r="AV39" s="23">
        <f>EXP(-LN(2)/25)*AV38+(1-EXP(-LN(2)/25))/(LN(2)/25)*Calculateur!AQ39*Calculateur!AS39*VLOOKUP('Données projet'!$B$10,Paramètres!$A$1:$I$88,3,0)*0.475*44/12</f>
        <v>30.145471350865552</v>
      </c>
      <c r="AW39" s="23">
        <f>EXP(-LN(2)/2)*AW38+(1-EXP(-LN(2)/2))/(LN(2)/2)*AQ39*AT39*VLOOKUP('Données projet'!$B$10,Paramètres!$A$1:$I$88,3,0)*0.475*44/12</f>
        <v>11.723195702414957</v>
      </c>
      <c r="AX39" s="23">
        <f t="shared" si="6"/>
        <v>50.145655371530204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248</v>
      </c>
      <c r="BB39" s="13">
        <f>VLOOKUP(A39,'Données projet'!$A$87:$I$107,9,0)</f>
        <v>12.833333333333334</v>
      </c>
      <c r="BC39" s="13">
        <f t="array" ref="BC39">INDEX(BB:BB,MIN(IF(ISNUMBER(BB39:BB235),ROW(BB39:BB235),"")))</f>
        <v>12.833333333333334</v>
      </c>
      <c r="BD39" s="13">
        <f>IF('Données projet'!$A$88&gt;35,BD38+BC39-BL38,IF(A39&lt;'Données projet'!$A$88,$BA$205^A39,IF(A39='Données projet'!$A$88,'Données projet'!$B$88,BD38+BC39-BL38)))</f>
        <v>248</v>
      </c>
      <c r="BE39" s="14">
        <f>BD39*VLOOKUP('Données projet'!$B$11,Paramètres!$A$1:$I$88,3,0)*VLOOKUP('Données projet'!$B$11,Paramètres!$A$1:$I$88,5,0)</f>
        <v>154.75199999999998</v>
      </c>
      <c r="BF39" s="14">
        <f t="shared" si="37"/>
        <v>39.656526650076415</v>
      </c>
      <c r="BG39" s="22">
        <f t="shared" si="7"/>
        <v>338.5948505822164</v>
      </c>
      <c r="BH39" s="62">
        <f t="shared" si="8"/>
        <v>631.92818391554965</v>
      </c>
      <c r="BI39" s="62">
        <f ca="1">AVERAGE(OFFSET($BH$3,0,0,'Données projet'!$E$11+1,1))-AVERAGE(OFFSET($H$3,0,0,'Données projet'!$E$11+1,1))</f>
        <v>135.14998708332445</v>
      </c>
      <c r="BJ39" s="62">
        <f t="shared" si="38"/>
        <v>245.50083454484513</v>
      </c>
      <c r="BK39" s="16">
        <f>IF(ISNA(VLOOKUP(A39,'Données projet'!$A$87:$I$107,3,0)),0,VLOOKUP(A39,'Données projet'!$A$87:$I$107,3,0))</f>
        <v>5</v>
      </c>
      <c r="BL39" s="16">
        <f>IF(ISNA(VLOOKUP(A39,'Données projet'!$A$87:$I$107,4,0)),0,VLOOKUP(A39,'Données projet'!$A$87:$I$107,4,0))</f>
        <v>62</v>
      </c>
      <c r="BM39" s="17">
        <f>IF(ISNA(VLOOKUP(A39,'Données projet'!$A$87:$I$107,5,0)),0%,VLOOKUP(A39,'Données projet'!$A$87:$I$107,5,0)*VLOOKUP('Données projet'!$B$11,Paramètres!$A$1:$I$88,7,0))</f>
        <v>0.12</v>
      </c>
      <c r="BN39" s="17">
        <f>IF(ISNA(VLOOKUP(A39,'Données projet'!$A$87:$I$107,6,0)),0%,VLOOKUP(A39,'Données projet'!$A$87:$I$107,6,0)*VLOOKUP('Données projet'!$B$11,Paramètres!$A$1:$I$88,7,0))</f>
        <v>0.26880000000000004</v>
      </c>
      <c r="BO39" s="17">
        <f>IF(ISNA(VLOOKUP(A39,'Données projet'!$A$87:$I$107,7,0)),0%,VLOOKUP(A39,'Données projet'!$A$87:$I$107,7,0))</f>
        <v>0.35200000000000004</v>
      </c>
      <c r="BP39" s="23">
        <f>EXP(-LN(2)/35)*BP38+(1-EXP(-LN(2)/35))/(LN(2)/35)*BL39*BM39*VLOOKUP('Données projet'!$B$11,Paramètres!$A$1:$I$88,3,0)*0.475*44/12</f>
        <v>6.1586550782453919</v>
      </c>
      <c r="BQ39" s="23">
        <f>EXP(-LN(2)/25)*BQ38+(1-EXP(-LN(2)/25))/(LN(2)/25)*Calculateur!BL39*Calculateur!BN39*VLOOKUP('Données projet'!$B$11,Paramètres!$A$1:$I$88,3,0)*0.475*44/12</f>
        <v>40.050066413415784</v>
      </c>
      <c r="BR39" s="23">
        <f>EXP(-LN(2)/2)*BR38+(1-EXP(-LN(2)/2))/(LN(2)/2)*BL39*BO39*VLOOKUP('Données projet'!$B$11,Paramètres!$A$1:$I$88,3,0)*0.475*44/12</f>
        <v>17.676078143519327</v>
      </c>
      <c r="BS39" s="24">
        <f t="shared" si="9"/>
        <v>63.884799635180507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14.4</v>
      </c>
      <c r="BY39" s="13">
        <f>IF('Données projet'!$A$114&gt;35,BY38+BX39-CG38,IF(A39&lt;'Données projet'!$A$114,$BV$205^A39,IF(A39='Données projet'!$A$114,'Données projet'!$B$114,BY38+BX39-CG38)))</f>
        <v>206.40000000000003</v>
      </c>
      <c r="BZ39" s="14">
        <f>BY39*VLOOKUP('Données projet'!$B$12,Paramètres!$A$1:$I$88,3,0)*VLOOKUP('Données projet'!$B$12,Paramètres!$A$1:$I$88,5,0)</f>
        <v>123.42720000000003</v>
      </c>
      <c r="CA39" s="14">
        <f t="shared" si="39"/>
        <v>32.473022671122074</v>
      </c>
      <c r="CB39" s="22">
        <f t="shared" si="10"/>
        <v>271.5262211522043</v>
      </c>
      <c r="CC39" s="62">
        <f t="shared" si="11"/>
        <v>564.85955448553761</v>
      </c>
      <c r="CD39" s="62">
        <f ca="1">AVERAGE(OFFSET($CC$3,0,0,'Données projet'!$E$12+1,1))-AVERAGE(OFFSET($H$3,0,0,'Données projet'!$E$12+1,1))</f>
        <v>168.16583766359378</v>
      </c>
      <c r="CE39" s="62">
        <f t="shared" si="40"/>
        <v>194.52809733694494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4.3047338822186578</v>
      </c>
      <c r="CL39" s="23">
        <f>EXP(-LN(2)/25)*CL38+(1-EXP(-LN(2)/25))/(LN(2)/25)*Calculateur!CG39*Calculateur!CI39*VLOOKUP('Données projet'!$B$12,Paramètres!$A$1:$I$88,3,0)*0.475*44/12</f>
        <v>5.5584975678746567</v>
      </c>
      <c r="CM39" s="23">
        <f>EXP(-LN(2)/2)*CM38+(1-EXP(-LN(2)/2))/(LN(2)/2)*CG39*CJ39*VLOOKUP('Données projet'!$B$12,Paramètres!$A$1:$I$88,3,0)*0.475*44/12</f>
        <v>6.0458351132235331</v>
      </c>
      <c r="CN39" s="24">
        <f t="shared" si="12"/>
        <v>15.909066563316848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</v>
      </c>
      <c r="CT39" s="13">
        <f>IF('Données projet'!$A$140&gt;35,CT38+CS39-DB38,IF(A39&lt;'Données projet'!$A$140,$CQ$205^A39,IF(A39='Données projet'!$A$140,'Données projet'!$B$140,CT38+CS39-DB38)))</f>
        <v>122</v>
      </c>
      <c r="CU39" s="18">
        <f>CT39*VLOOKUP('Données projet'!$B$13,Paramètres!$A$1:$I$88,3,0)*VLOOKUP('Données projet'!$B$13,Paramètres!$A$1:$I$88,5,0)</f>
        <v>106.57920000000001</v>
      </c>
      <c r="CV39" s="14">
        <f t="shared" si="41"/>
        <v>28.523541515222938</v>
      </c>
      <c r="CW39" s="22">
        <f t="shared" si="13"/>
        <v>235.30394147234665</v>
      </c>
      <c r="CX39" s="62">
        <f t="shared" si="14"/>
        <v>528.63727480567991</v>
      </c>
      <c r="CY39" s="62">
        <f ca="1">AVERAGE(OFFSET($CX$3,0,0,'Données projet'!$E$13+1,1))-AVERAGE(OFFSET($H$3,0,0,'Données projet'!$E$13+1,1))</f>
        <v>146.09202487550647</v>
      </c>
      <c r="CZ39" s="62">
        <f t="shared" si="42"/>
        <v>168.58814676269344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1.6284983603758736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1.6284983603758736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</v>
      </c>
      <c r="DO39" s="13">
        <f>IF('Données projet'!$A$166&gt;35,DO38+DN39-DW38,IF(A39&lt;'Données projet'!$A$166,$DL$205^A39,IF(A39='Données projet'!$A$166,'Données projet'!$B$166,DO38+DN39-DW38)))</f>
        <v>110</v>
      </c>
      <c r="DP39" s="18">
        <f>DO39*VLOOKUP('Données projet'!$B$14,Paramètres!$A$1:$I$88,3,0)*VLOOKUP('Données projet'!$B$14,Paramètres!$A$1:$I$88,5,0)</f>
        <v>80.652000000000001</v>
      </c>
      <c r="DQ39" s="14">
        <f t="shared" si="43"/>
        <v>22.296526130116245</v>
      </c>
      <c r="DR39" s="22">
        <f t="shared" si="16"/>
        <v>179.3020163432858</v>
      </c>
      <c r="DS39" s="62">
        <f t="shared" si="17"/>
        <v>472.63534967661911</v>
      </c>
      <c r="DT39" s="62">
        <f ca="1">AVERAGE(OFFSET($DS$3,0,0,'Données projet'!$E$14+1,1))-AVERAGE(OFFSET($H$3,0,0,'Données projet'!$E$14+1,1))</f>
        <v>116.35584360635318</v>
      </c>
      <c r="DU39" s="62">
        <f t="shared" si="44"/>
        <v>86.38226293640173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1.5717917210413563</v>
      </c>
      <c r="EB39" s="23">
        <f>EXP(-LN(2)/25)*EB38+(1-EXP(-LN(2)/25))/(LN(2)/25)*Calculateur!DW39*Calculateur!DY39*VLOOKUP('Données projet'!$B$14,Paramètres!$A$1:$I$88,3,0)*0.475*44/12</f>
        <v>0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1.5717917210413563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200</v>
      </c>
      <c r="O40" s="14">
        <f>N40*VLOOKUP('Données projet'!$B$9,Paramètres!$A$1:$I$88,3,0)*VLOOKUP('Données projet'!$B$9,Paramètres!$A$1:$I$88,5,0)</f>
        <v>93.600000000000009</v>
      </c>
      <c r="P40" s="14">
        <f t="shared" si="33"/>
        <v>25.431466524572937</v>
      </c>
      <c r="Q40" s="22">
        <f t="shared" si="53"/>
        <v>207.31313753029789</v>
      </c>
      <c r="R40" s="62">
        <f t="shared" si="0"/>
        <v>500.64647086363118</v>
      </c>
      <c r="S40" s="62">
        <f ca="1">AVERAGE(OFFSET($R$3,0,0,'Données projet'!$E$9+1,1))-AVERAGE(OFFSET($H$3,0,0,'Données projet'!$E$9+1,1))</f>
        <v>82.229723373996478</v>
      </c>
      <c r="T40" s="62">
        <f t="shared" si="34"/>
        <v>115.86489547584461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6.2745583218470058</v>
      </c>
      <c r="AB40" s="23">
        <f>EXP(-LN(2)/2)*AB39+(1-EXP(-LN(2)/2))/(LN(2)/2)*V40*Y40*VLOOKUP('Données projet'!$B$9,Paramètres!$A$1:$I$88,3,0)*0.475*44/12</f>
        <v>0.824307165868987</v>
      </c>
      <c r="AC40" s="24">
        <f t="shared" si="3"/>
        <v>7.0988654877159929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projet'!$B$10,Paramètres!$A$1:$I$88,3,0)*VLOOKUP('Données projet'!$B$10,Paramètres!$A$1:$I$88,5,0)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262.78347246606825</v>
      </c>
      <c r="AO40" s="62">
        <f t="shared" si="36"/>
        <v>448.84541017639367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8.1146816257932013</v>
      </c>
      <c r="AV40" s="23">
        <f>EXP(-LN(2)/25)*AV39+(1-EXP(-LN(2)/25))/(LN(2)/25)*Calculateur!AQ40*Calculateur!AS40*VLOOKUP('Données projet'!$B$10,Paramètres!$A$1:$I$88,3,0)*0.475*44/12</f>
        <v>29.321141851494694</v>
      </c>
      <c r="AW40" s="23">
        <f>EXP(-LN(2)/2)*AW39+(1-EXP(-LN(2)/2))/(LN(2)/2)*AQ40*AT40*VLOOKUP('Données projet'!$B$10,Paramètres!$A$1:$I$88,3,0)*0.475*44/12</f>
        <v>8.289551178354607</v>
      </c>
      <c r="AX40" s="23">
        <f t="shared" si="6"/>
        <v>45.725374655642504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197.5</v>
      </c>
      <c r="BE40" s="14">
        <f>BD40*VLOOKUP('Données projet'!$B$11,Paramètres!$A$1:$I$88,3,0)*VLOOKUP('Données projet'!$B$11,Paramètres!$A$1:$I$88,5,0)</f>
        <v>123.24</v>
      </c>
      <c r="BF40" s="14">
        <f t="shared" si="37"/>
        <v>32.429500380369056</v>
      </c>
      <c r="BG40" s="22">
        <f t="shared" si="7"/>
        <v>271.12437982914275</v>
      </c>
      <c r="BH40" s="62">
        <f t="shared" si="8"/>
        <v>564.45771316247601</v>
      </c>
      <c r="BI40" s="62">
        <f ca="1">AVERAGE(OFFSET($BH$3,0,0,'Données projet'!$E$11+1,1))-AVERAGE(OFFSET($H$3,0,0,'Données projet'!$E$11+1,1))</f>
        <v>135.14998708332445</v>
      </c>
      <c r="BJ40" s="62">
        <f t="shared" si="38"/>
        <v>245.50083454484513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6.0378876085696831</v>
      </c>
      <c r="BQ40" s="23">
        <f>EXP(-LN(2)/25)*BQ39+(1-EXP(-LN(2)/25))/(LN(2)/25)*Calculateur!BL40*Calculateur!BN40*VLOOKUP('Données projet'!$B$11,Paramètres!$A$1:$I$88,3,0)*0.475*44/12</f>
        <v>38.954895241199473</v>
      </c>
      <c r="BR40" s="23">
        <f>EXP(-LN(2)/2)*BR39+(1-EXP(-LN(2)/2))/(LN(2)/2)*BL40*BO40*VLOOKUP('Données projet'!$B$11,Paramètres!$A$1:$I$88,3,0)*0.475*44/12</f>
        <v>12.498874720065837</v>
      </c>
      <c r="BS40" s="24">
        <f t="shared" si="9"/>
        <v>57.491657569834992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14.4</v>
      </c>
      <c r="BY40" s="13">
        <f>IF('Données projet'!$A$114&gt;35,BY39+BX40-CG39,IF(A40&lt;'Données projet'!$A$114,$BV$205^A40,IF(A40='Données projet'!$A$114,'Données projet'!$B$114,BY39+BX40-CG39)))</f>
        <v>220.80000000000004</v>
      </c>
      <c r="BZ40" s="14">
        <f>BY40*VLOOKUP('Données projet'!$B$12,Paramètres!$A$1:$I$88,3,0)*VLOOKUP('Données projet'!$B$12,Paramètres!$A$1:$I$88,5,0)</f>
        <v>132.03840000000005</v>
      </c>
      <c r="CA40" s="14">
        <f t="shared" si="39"/>
        <v>34.466946374534373</v>
      </c>
      <c r="CB40" s="22">
        <f t="shared" si="10"/>
        <v>289.99681160231415</v>
      </c>
      <c r="CC40" s="62">
        <f t="shared" si="11"/>
        <v>583.33014493564747</v>
      </c>
      <c r="CD40" s="62">
        <f ca="1">AVERAGE(OFFSET($CC$3,0,0,'Données projet'!$E$12+1,1))-AVERAGE(OFFSET($H$3,0,0,'Données projet'!$E$12+1,1))</f>
        <v>168.16583766359378</v>
      </c>
      <c r="CE40" s="62">
        <f t="shared" si="40"/>
        <v>194.52809733694494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4.2203206764167591</v>
      </c>
      <c r="CL40" s="23">
        <f>EXP(-LN(2)/25)*CL39+(1-EXP(-LN(2)/25))/(LN(2)/25)*Calculateur!CG40*Calculateur!CI40*VLOOKUP('Données projet'!$B$12,Paramètres!$A$1:$I$88,3,0)*0.475*44/12</f>
        <v>5.4065001595724409</v>
      </c>
      <c r="CM40" s="23">
        <f>EXP(-LN(2)/2)*CM39+(1-EXP(-LN(2)/2))/(LN(2)/2)*CG40*CJ40*VLOOKUP('Données projet'!$B$12,Paramètres!$A$1:$I$88,3,0)*0.475*44/12</f>
        <v>4.2750510064960991</v>
      </c>
      <c r="CN40" s="24">
        <f t="shared" si="12"/>
        <v>13.901871842485299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</v>
      </c>
      <c r="CT40" s="13">
        <f>IF('Données projet'!$A$140&gt;35,CT39+CS40-DB39,IF(A40&lt;'Données projet'!$A$140,$CQ$205^A40,IF(A40='Données projet'!$A$140,'Données projet'!$B$140,CT39+CS40-DB39)))</f>
        <v>129</v>
      </c>
      <c r="CU40" s="18">
        <f>CT40*VLOOKUP('Données projet'!$B$13,Paramètres!$A$1:$I$88,3,0)*VLOOKUP('Données projet'!$B$13,Paramètres!$A$1:$I$88,5,0)</f>
        <v>112.69440000000002</v>
      </c>
      <c r="CV40" s="14">
        <f t="shared" si="41"/>
        <v>29.964909381330632</v>
      </c>
      <c r="CW40" s="22">
        <f t="shared" si="13"/>
        <v>248.46496383915087</v>
      </c>
      <c r="CX40" s="62">
        <f t="shared" si="14"/>
        <v>541.79829717248413</v>
      </c>
      <c r="CY40" s="62">
        <f ca="1">AVERAGE(OFFSET($CX$3,0,0,'Données projet'!$E$13+1,1))-AVERAGE(OFFSET($H$3,0,0,'Données projet'!$E$13+1,1))</f>
        <v>146.09202487550647</v>
      </c>
      <c r="CZ40" s="62">
        <f t="shared" si="42"/>
        <v>168.58814676269344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1.5965645008148237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1.5965645008148237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</v>
      </c>
      <c r="DO40" s="13">
        <f>IF('Données projet'!$A$166&gt;35,DO39+DN40-DW39,IF(A40&lt;'Données projet'!$A$166,$DL$205^A40,IF(A40='Données projet'!$A$166,'Données projet'!$B$166,DO39+DN40-DW39)))</f>
        <v>120</v>
      </c>
      <c r="DP40" s="18">
        <f>DO40*VLOOKUP('Données projet'!$B$14,Paramètres!$A$1:$I$88,3,0)*VLOOKUP('Données projet'!$B$14,Paramètres!$A$1:$I$88,5,0)</f>
        <v>87.983999999999995</v>
      </c>
      <c r="DQ40" s="14">
        <f t="shared" si="43"/>
        <v>24.078375128721785</v>
      </c>
      <c r="DR40" s="22">
        <f t="shared" si="16"/>
        <v>195.17530334919044</v>
      </c>
      <c r="DS40" s="62">
        <f t="shared" si="17"/>
        <v>488.50863668252373</v>
      </c>
      <c r="DT40" s="62">
        <f ca="1">AVERAGE(OFFSET($DS$3,0,0,'Données projet'!$E$14+1,1))-AVERAGE(OFFSET($H$3,0,0,'Données projet'!$E$14+1,1))</f>
        <v>116.35584360635318</v>
      </c>
      <c r="DU40" s="62">
        <f t="shared" si="44"/>
        <v>86.38226293640173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1.5409698440900217</v>
      </c>
      <c r="EB40" s="23">
        <f>EXP(-LN(2)/25)*EB39+(1-EXP(-LN(2)/25))/(LN(2)/25)*Calculateur!DW40*Calculateur!DY40*VLOOKUP('Données projet'!$B$14,Paramètres!$A$1:$I$88,3,0)*0.475*44/12</f>
        <v>0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1.5409698440900217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210</v>
      </c>
      <c r="O41" s="14">
        <f>N41*VLOOKUP('Données projet'!$B$9,Paramètres!$A$1:$I$88,3,0)*VLOOKUP('Données projet'!$B$9,Paramètres!$A$1:$I$88,5,0)</f>
        <v>98.28</v>
      </c>
      <c r="P41" s="14">
        <f t="shared" si="33"/>
        <v>26.551818424463473</v>
      </c>
      <c r="Q41" s="22">
        <f t="shared" si="53"/>
        <v>217.41541708927389</v>
      </c>
      <c r="R41" s="62">
        <f t="shared" si="0"/>
        <v>510.7487504226072</v>
      </c>
      <c r="S41" s="62">
        <f ca="1">AVERAGE(OFFSET($R$3,0,0,'Données projet'!$E$9+1,1))-AVERAGE(OFFSET($H$3,0,0,'Données projet'!$E$9+1,1))</f>
        <v>82.229723373996478</v>
      </c>
      <c r="T41" s="62">
        <f t="shared" si="34"/>
        <v>115.86489547584461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6.1029801945714182</v>
      </c>
      <c r="AB41" s="23">
        <f>EXP(-LN(2)/2)*AB40+(1-EXP(-LN(2)/2))/(LN(2)/2)*V41*Y41*VLOOKUP('Données projet'!$B$9,Paramètres!$A$1:$I$88,3,0)*0.475*44/12</f>
        <v>0.58287318676662492</v>
      </c>
      <c r="AC41" s="24">
        <f t="shared" si="3"/>
        <v>6.6858533813380427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projet'!$B$10,Paramètres!$A$1:$I$88,3,0)*VLOOKUP('Données projet'!$B$10,Paramètres!$A$1:$I$88,5,0)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262.78347246606825</v>
      </c>
      <c r="AO41" s="62">
        <f t="shared" si="36"/>
        <v>448.84541017639367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7.9555576685784688</v>
      </c>
      <c r="AV41" s="23">
        <f>EXP(-LN(2)/25)*AV40+(1-EXP(-LN(2)/25))/(LN(2)/25)*Calculateur!AQ41*Calculateur!AS41*VLOOKUP('Données projet'!$B$10,Paramètres!$A$1:$I$88,3,0)*0.475*44/12</f>
        <v>28.519353685633735</v>
      </c>
      <c r="AW41" s="23">
        <f>EXP(-LN(2)/2)*AW40+(1-EXP(-LN(2)/2))/(LN(2)/2)*AQ41*AT41*VLOOKUP('Données projet'!$B$10,Paramètres!$A$1:$I$88,3,0)*0.475*44/12</f>
        <v>5.8615978512074784</v>
      </c>
      <c r="AX41" s="23">
        <f t="shared" si="6"/>
        <v>42.336509205419681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11.5</v>
      </c>
      <c r="BD41" s="13">
        <f>IF('Données projet'!$A$88&gt;35,BD40+BC41-BL40,IF(A41&lt;'Données projet'!$A$88,$BA$205^A41,IF(A41='Données projet'!$A$88,'Données projet'!$B$88,BD40+BC41-BL40)))</f>
        <v>209</v>
      </c>
      <c r="BE41" s="14">
        <f>BD41*VLOOKUP('Données projet'!$B$11,Paramètres!$A$1:$I$88,3,0)*VLOOKUP('Données projet'!$B$11,Paramètres!$A$1:$I$88,5,0)</f>
        <v>130.416</v>
      </c>
      <c r="BF41" s="14">
        <f t="shared" si="37"/>
        <v>34.092466837179941</v>
      </c>
      <c r="BG41" s="22">
        <f t="shared" si="7"/>
        <v>286.51891307475506</v>
      </c>
      <c r="BH41" s="62">
        <f t="shared" si="8"/>
        <v>579.85224640808838</v>
      </c>
      <c r="BI41" s="62">
        <f ca="1">AVERAGE(OFFSET($BH$3,0,0,'Données projet'!$E$11+1,1))-AVERAGE(OFFSET($H$3,0,0,'Données projet'!$E$11+1,1))</f>
        <v>135.14998708332445</v>
      </c>
      <c r="BJ41" s="62">
        <f t="shared" si="38"/>
        <v>245.50083454484513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5.9194883153134317</v>
      </c>
      <c r="BQ41" s="23">
        <f>EXP(-LN(2)/25)*BQ40+(1-EXP(-LN(2)/25))/(LN(2)/25)*Calculateur!BL41*Calculateur!BN41*VLOOKUP('Données projet'!$B$11,Paramètres!$A$1:$I$88,3,0)*0.475*44/12</f>
        <v>37.889671582279966</v>
      </c>
      <c r="BR41" s="23">
        <f>EXP(-LN(2)/2)*BR40+(1-EXP(-LN(2)/2))/(LN(2)/2)*BL41*BO41*VLOOKUP('Données projet'!$B$11,Paramètres!$A$1:$I$88,3,0)*0.475*44/12</f>
        <v>8.8380390717596651</v>
      </c>
      <c r="BS41" s="24">
        <f t="shared" si="9"/>
        <v>52.647198969353063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14.4</v>
      </c>
      <c r="BY41" s="13">
        <f>IF('Données projet'!$A$114&gt;35,BY40+BX41-CG40,IF(A41&lt;'Données projet'!$A$114,$BV$205^A41,IF(A41='Données projet'!$A$114,'Données projet'!$B$114,BY40+BX41-CG40)))</f>
        <v>235.20000000000005</v>
      </c>
      <c r="BZ41" s="14">
        <f>BY41*VLOOKUP('Données projet'!$B$12,Paramètres!$A$1:$I$88,3,0)*VLOOKUP('Données projet'!$B$12,Paramètres!$A$1:$I$88,5,0)</f>
        <v>140.64960000000002</v>
      </c>
      <c r="CA41" s="14">
        <f t="shared" si="39"/>
        <v>36.445779615258601</v>
      </c>
      <c r="CB41" s="22">
        <f t="shared" si="10"/>
        <v>308.44111949657542</v>
      </c>
      <c r="CC41" s="62">
        <f t="shared" si="11"/>
        <v>601.7744528299088</v>
      </c>
      <c r="CD41" s="62">
        <f ca="1">AVERAGE(OFFSET($CC$3,0,0,'Données projet'!$E$12+1,1))-AVERAGE(OFFSET($H$3,0,0,'Données projet'!$E$12+1,1))</f>
        <v>168.16583766359378</v>
      </c>
      <c r="CE41" s="62">
        <f t="shared" si="40"/>
        <v>194.52809733694494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4.1375627620936637</v>
      </c>
      <c r="CL41" s="23">
        <f>EXP(-LN(2)/25)*CL40+(1-EXP(-LN(2)/25))/(LN(2)/25)*Calculateur!CG41*Calculateur!CI41*VLOOKUP('Données projet'!$B$12,Paramètres!$A$1:$I$88,3,0)*0.475*44/12</f>
        <v>5.2586591283934458</v>
      </c>
      <c r="CM41" s="23">
        <f>EXP(-LN(2)/2)*CM40+(1-EXP(-LN(2)/2))/(LN(2)/2)*CG41*CJ41*VLOOKUP('Données projet'!$B$12,Paramètres!$A$1:$I$88,3,0)*0.475*44/12</f>
        <v>3.022917556611767</v>
      </c>
      <c r="CN41" s="24">
        <f t="shared" si="12"/>
        <v>12.419139447098875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</v>
      </c>
      <c r="CT41" s="13">
        <f>IF('Données projet'!$A$140&gt;35,CT40+CS41-DB40,IF(A41&lt;'Données projet'!$A$140,$CQ$205^A41,IF(A41='Données projet'!$A$140,'Données projet'!$B$140,CT40+CS41-DB40)))</f>
        <v>136</v>
      </c>
      <c r="CU41" s="18">
        <f>CT41*VLOOKUP('Données projet'!$B$13,Paramètres!$A$1:$I$88,3,0)*VLOOKUP('Données projet'!$B$13,Paramètres!$A$1:$I$88,5,0)</f>
        <v>118.80960000000002</v>
      </c>
      <c r="CV41" s="14">
        <f t="shared" si="41"/>
        <v>31.397197153337217</v>
      </c>
      <c r="CW41" s="22">
        <f t="shared" si="13"/>
        <v>261.61017170872896</v>
      </c>
      <c r="CX41" s="62">
        <f t="shared" si="14"/>
        <v>554.94350504206227</v>
      </c>
      <c r="CY41" s="62">
        <f ca="1">AVERAGE(OFFSET($CX$3,0,0,'Données projet'!$E$13+1,1))-AVERAGE(OFFSET($H$3,0,0,'Données projet'!$E$13+1,1))</f>
        <v>146.09202487550647</v>
      </c>
      <c r="CZ41" s="62">
        <f t="shared" si="42"/>
        <v>168.58814676269344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1.565256844762035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1.565256844762035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</v>
      </c>
      <c r="DO41" s="13">
        <f>IF('Données projet'!$A$166&gt;35,DO40+DN41-DW40,IF(A41&lt;'Données projet'!$A$166,$DL$205^A41,IF(A41='Données projet'!$A$166,'Données projet'!$B$166,DO40+DN41-DW40)))</f>
        <v>130</v>
      </c>
      <c r="DP41" s="18">
        <f>DO41*VLOOKUP('Données projet'!$B$14,Paramètres!$A$1:$I$88,3,0)*VLOOKUP('Données projet'!$B$14,Paramètres!$A$1:$I$88,5,0)</f>
        <v>95.315999999999988</v>
      </c>
      <c r="DQ41" s="14">
        <f t="shared" si="43"/>
        <v>25.843002723192381</v>
      </c>
      <c r="DR41" s="22">
        <f t="shared" si="16"/>
        <v>211.01859640956005</v>
      </c>
      <c r="DS41" s="62">
        <f t="shared" si="17"/>
        <v>504.35192974289339</v>
      </c>
      <c r="DT41" s="62">
        <f ca="1">AVERAGE(OFFSET($DS$3,0,0,'Données projet'!$E$14+1,1))-AVERAGE(OFFSET($H$3,0,0,'Données projet'!$E$14+1,1))</f>
        <v>116.35584360635318</v>
      </c>
      <c r="DU41" s="62">
        <f t="shared" si="44"/>
        <v>86.38226293640173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1.510752365346214</v>
      </c>
      <c r="EB41" s="23">
        <f>EXP(-LN(2)/25)*EB40+(1-EXP(-LN(2)/25))/(LN(2)/25)*Calculateur!DW41*Calculateur!DY41*VLOOKUP('Données projet'!$B$14,Paramètres!$A$1:$I$88,3,0)*0.475*44/12</f>
        <v>0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1.510752365346214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220</v>
      </c>
      <c r="O42" s="14">
        <f>N42*VLOOKUP('Données projet'!$B$9,Paramètres!$A$1:$I$88,3,0)*VLOOKUP('Données projet'!$B$9,Paramètres!$A$1:$I$88,5,0)</f>
        <v>102.96000000000001</v>
      </c>
      <c r="P42" s="14">
        <f t="shared" si="33"/>
        <v>27.665975080374633</v>
      </c>
      <c r="Q42" s="22">
        <f t="shared" si="53"/>
        <v>227.50690659831915</v>
      </c>
      <c r="R42" s="62">
        <f t="shared" si="0"/>
        <v>520.84023993165249</v>
      </c>
      <c r="S42" s="62">
        <f ca="1">AVERAGE(OFFSET($R$3,0,0,'Données projet'!$E$9+1,1))-AVERAGE(OFFSET($H$3,0,0,'Données projet'!$E$9+1,1))</f>
        <v>82.229723373996478</v>
      </c>
      <c r="T42" s="62">
        <f t="shared" si="34"/>
        <v>115.86489547584461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5.936093880209083</v>
      </c>
      <c r="AB42" s="23">
        <f>EXP(-LN(2)/2)*AB41+(1-EXP(-LN(2)/2))/(LN(2)/2)*V42*Y42*VLOOKUP('Données projet'!$B$9,Paramètres!$A$1:$I$88,3,0)*0.475*44/12</f>
        <v>0.4121535829344935</v>
      </c>
      <c r="AC42" s="24">
        <f t="shared" si="3"/>
        <v>6.3482474631435766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projet'!$B$10,Paramètres!$A$1:$I$88,3,0)*VLOOKUP('Données projet'!$B$10,Paramètres!$A$1:$I$88,5,0)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262.78347246606825</v>
      </c>
      <c r="AO42" s="62">
        <f t="shared" si="36"/>
        <v>448.84541017639367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7.7995540351086872</v>
      </c>
      <c r="AV42" s="23">
        <f>EXP(-LN(2)/25)*AV41+(1-EXP(-LN(2)/25))/(LN(2)/25)*Calculateur!AQ42*Calculateur!AS42*VLOOKUP('Données projet'!$B$10,Paramètres!$A$1:$I$88,3,0)*0.475*44/12</f>
        <v>27.739490459332451</v>
      </c>
      <c r="AW42" s="23">
        <f>EXP(-LN(2)/2)*AW41+(1-EXP(-LN(2)/2))/(LN(2)/2)*AQ42*AT42*VLOOKUP('Données projet'!$B$10,Paramètres!$A$1:$I$88,3,0)*0.475*44/12</f>
        <v>4.1447755891773035</v>
      </c>
      <c r="AX42" s="23">
        <f t="shared" si="6"/>
        <v>39.683820083618443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11.5</v>
      </c>
      <c r="BD42" s="13">
        <f>IF('Données projet'!$A$88&gt;35,BD41+BC42-BL41,IF(A42&lt;'Données projet'!$A$88,$BA$205^A42,IF(A42='Données projet'!$A$88,'Données projet'!$B$88,BD41+BC42-BL41)))</f>
        <v>220.5</v>
      </c>
      <c r="BE42" s="14">
        <f>BD42*VLOOKUP('Données projet'!$B$11,Paramètres!$A$1:$I$88,3,0)*VLOOKUP('Données projet'!$B$11,Paramètres!$A$1:$I$88,5,0)</f>
        <v>137.59199999999998</v>
      </c>
      <c r="BF42" s="14">
        <f t="shared" si="37"/>
        <v>35.744810729505772</v>
      </c>
      <c r="BG42" s="22">
        <f t="shared" si="7"/>
        <v>301.89494535388923</v>
      </c>
      <c r="BH42" s="62">
        <f t="shared" si="8"/>
        <v>595.22827868722254</v>
      </c>
      <c r="BI42" s="62">
        <f ca="1">AVERAGE(OFFSET($BH$3,0,0,'Données projet'!$E$11+1,1))-AVERAGE(OFFSET($H$3,0,0,'Données projet'!$E$11+1,1))</f>
        <v>135.14998708332445</v>
      </c>
      <c r="BJ42" s="62">
        <f t="shared" si="38"/>
        <v>245.50083454484513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5.8034107599814977</v>
      </c>
      <c r="BQ42" s="23">
        <f>EXP(-LN(2)/25)*BQ41+(1-EXP(-LN(2)/25))/(LN(2)/25)*Calculateur!BL42*Calculateur!BN42*VLOOKUP('Données projet'!$B$11,Paramètres!$A$1:$I$88,3,0)*0.475*44/12</f>
        <v>36.853576520331288</v>
      </c>
      <c r="BR42" s="23">
        <f>EXP(-LN(2)/2)*BR41+(1-EXP(-LN(2)/2))/(LN(2)/2)*BL42*BO42*VLOOKUP('Données projet'!$B$11,Paramètres!$A$1:$I$88,3,0)*0.475*44/12</f>
        <v>6.2494373600329194</v>
      </c>
      <c r="BS42" s="24">
        <f t="shared" si="9"/>
        <v>48.906424640345705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14.4</v>
      </c>
      <c r="BY42" s="13">
        <f>IF('Données projet'!$A$114&gt;35,BY41+BX42-CG41,IF(A42&lt;'Données projet'!$A$114,$BV$205^A42,IF(A42='Données projet'!$A$114,'Données projet'!$B$114,BY41+BX42-CG41)))</f>
        <v>249.60000000000005</v>
      </c>
      <c r="BZ42" s="14">
        <f>BY42*VLOOKUP('Données projet'!$B$12,Paramètres!$A$1:$I$88,3,0)*VLOOKUP('Données projet'!$B$12,Paramètres!$A$1:$I$88,5,0)</f>
        <v>149.26080000000005</v>
      </c>
      <c r="CA42" s="14">
        <f t="shared" si="39"/>
        <v>38.410551499792909</v>
      </c>
      <c r="CB42" s="22">
        <f t="shared" si="10"/>
        <v>326.86093719547273</v>
      </c>
      <c r="CC42" s="62">
        <f t="shared" si="11"/>
        <v>620.1942705288061</v>
      </c>
      <c r="CD42" s="62">
        <f ca="1">AVERAGE(OFFSET($CC$3,0,0,'Données projet'!$E$12+1,1))-AVERAGE(OFFSET($H$3,0,0,'Données projet'!$E$12+1,1))</f>
        <v>168.16583766359378</v>
      </c>
      <c r="CE42" s="62">
        <f t="shared" si="40"/>
        <v>194.52809733694494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4.0564276799931003</v>
      </c>
      <c r="CL42" s="23">
        <f>EXP(-LN(2)/25)*CL41+(1-EXP(-LN(2)/25))/(LN(2)/25)*Calculateur!CG42*Calculateur!CI42*VLOOKUP('Données projet'!$B$12,Paramètres!$A$1:$I$88,3,0)*0.475*44/12</f>
        <v>5.1148608179866626</v>
      </c>
      <c r="CM42" s="23">
        <f>EXP(-LN(2)/2)*CM41+(1-EXP(-LN(2)/2))/(LN(2)/2)*CG42*CJ42*VLOOKUP('Données projet'!$B$12,Paramètres!$A$1:$I$88,3,0)*0.475*44/12</f>
        <v>2.1375255032480496</v>
      </c>
      <c r="CN42" s="24">
        <f t="shared" si="12"/>
        <v>11.308814001227812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</v>
      </c>
      <c r="CT42" s="13">
        <f>IF('Données projet'!$A$140&gt;35,CT41+CS42-DB41,IF(A42&lt;'Données projet'!$A$140,$CQ$205^A42,IF(A42='Données projet'!$A$140,'Données projet'!$B$140,CT41+CS42-DB41)))</f>
        <v>143</v>
      </c>
      <c r="CU42" s="18">
        <f>CT42*VLOOKUP('Données projet'!$B$13,Paramètres!$A$1:$I$88,3,0)*VLOOKUP('Données projet'!$B$13,Paramètres!$A$1:$I$88,5,0)</f>
        <v>124.92480000000002</v>
      </c>
      <c r="CV42" s="14">
        <f t="shared" si="41"/>
        <v>32.820925500842712</v>
      </c>
      <c r="CW42" s="22">
        <f t="shared" si="13"/>
        <v>274.74047191396772</v>
      </c>
      <c r="CX42" s="62">
        <f t="shared" si="14"/>
        <v>568.07380524730104</v>
      </c>
      <c r="CY42" s="62">
        <f ca="1">AVERAGE(OFFSET($CX$3,0,0,'Données projet'!$E$13+1,1))-AVERAGE(OFFSET($H$3,0,0,'Données projet'!$E$13+1,1))</f>
        <v>146.09202487550647</v>
      </c>
      <c r="CZ42" s="62">
        <f t="shared" si="42"/>
        <v>168.58814676269344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1.5345631127486568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1.5345631127486568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</v>
      </c>
      <c r="DO42" s="13">
        <f>IF('Données projet'!$A$166&gt;35,DO41+DN42-DW41,IF(A42&lt;'Données projet'!$A$166,$DL$205^A42,IF(A42='Données projet'!$A$166,'Données projet'!$B$166,DO41+DN42-DW41)))</f>
        <v>140</v>
      </c>
      <c r="DP42" s="18">
        <f>DO42*VLOOKUP('Données projet'!$B$14,Paramètres!$A$1:$I$88,3,0)*VLOOKUP('Données projet'!$B$14,Paramètres!$A$1:$I$88,5,0)</f>
        <v>102.648</v>
      </c>
      <c r="DQ42" s="14">
        <f t="shared" si="43"/>
        <v>27.591884256813071</v>
      </c>
      <c r="DR42" s="22">
        <f t="shared" si="16"/>
        <v>226.83446508061607</v>
      </c>
      <c r="DS42" s="62">
        <f t="shared" si="17"/>
        <v>520.16779841394941</v>
      </c>
      <c r="DT42" s="62">
        <f ca="1">AVERAGE(OFFSET($DS$3,0,0,'Données projet'!$E$14+1,1))-AVERAGE(OFFSET($H$3,0,0,'Données projet'!$E$14+1,1))</f>
        <v>116.35584360635318</v>
      </c>
      <c r="DU42" s="62">
        <f t="shared" si="44"/>
        <v>86.38226293640173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1.4811274329297301</v>
      </c>
      <c r="EB42" s="23">
        <f>EXP(-LN(2)/25)*EB41+(1-EXP(-LN(2)/25))/(LN(2)/25)*Calculateur!DW42*Calculateur!DY42*VLOOKUP('Données projet'!$B$14,Paramètres!$A$1:$I$88,3,0)*0.475*44/12</f>
        <v>0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1.4811274329297301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230</v>
      </c>
      <c r="O43" s="14">
        <f>N43*VLOOKUP('Données projet'!$B$9,Paramètres!$A$1:$I$88,3,0)*VLOOKUP('Données projet'!$B$9,Paramètres!$A$1:$I$88,5,0)</f>
        <v>107.64</v>
      </c>
      <c r="P43" s="14">
        <f t="shared" si="33"/>
        <v>28.774250263353583</v>
      </c>
      <c r="Q43" s="22">
        <f t="shared" si="53"/>
        <v>237.58815254200749</v>
      </c>
      <c r="R43" s="62">
        <f t="shared" si="0"/>
        <v>530.92148587534075</v>
      </c>
      <c r="S43" s="62">
        <f ca="1">AVERAGE(OFFSET($R$3,0,0,'Données projet'!$E$9+1,1))-AVERAGE(OFFSET($H$3,0,0,'Données projet'!$E$9+1,1))</f>
        <v>82.229723373996478</v>
      </c>
      <c r="T43" s="62">
        <f t="shared" si="34"/>
        <v>115.86489547584461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40</v>
      </c>
      <c r="W43" s="17">
        <f>IF(ISNA(VLOOKUP(A43,'Données projet'!$A$35:$I$55,5,0)),0%,VLOOKUP(A43,'Données projet'!$A$35:$I$55,5,0)*VLOOKUP('Données projet'!$B$9,Paramètres!$A$1:$I$88,7,0))</f>
        <v>0.11000000000000001</v>
      </c>
      <c r="X43" s="17">
        <f>IF(ISNA(VLOOKUP(A43,'Données projet'!$A$35:$I$55,6,0)),0%,VLOOKUP(A43,'Données projet'!$A$35:$I$55,6,0)*VLOOKUP('Données projet'!$B$9,Paramètres!$A$1:$I$88,7,0))</f>
        <v>0.24640000000000006</v>
      </c>
      <c r="Y43" s="17">
        <f>IF(ISNA(VLOOKUP(A43,'Données projet'!$A$35:$I$55,7,0)),0%,VLOOKUP(A43,'Données projet'!$A$35:$I$55,7,0))</f>
        <v>0.35200000000000004</v>
      </c>
      <c r="Z43" s="23">
        <f>EXP(-LN(2)/35)*Z42+(1-EXP(-LN(2)/35))/(LN(2)/35)*V43*W43*VLOOKUP('Données projet'!$B$9,Paramètres!$A$1:$I$88,3,0)*0.475*44/12</f>
        <v>2.7316615266411008</v>
      </c>
      <c r="AA43" s="23">
        <f>EXP(-LN(2)/25)*AA42+(1-EXP(-LN(2)/25))/(LN(2)/25)*Calculateur!V43*Calculateur!X43*VLOOKUP('Données projet'!$B$9,Paramètres!$A$1:$I$88,3,0)*0.475*44/12</f>
        <v>11.86860037386916</v>
      </c>
      <c r="AB43" s="23">
        <f>EXP(-LN(2)/2)*AB42+(1-EXP(-LN(2)/2))/(LN(2)/2)*V43*Y43*VLOOKUP('Données projet'!$B$9,Paramètres!$A$1:$I$88,3,0)*0.475*44/12</f>
        <v>7.7522133839961072</v>
      </c>
      <c r="AC43" s="24">
        <f t="shared" si="3"/>
        <v>22.352475284506369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projet'!$B$10,Paramètres!$A$1:$I$88,3,0)*VLOOKUP('Données projet'!$B$10,Paramètres!$A$1:$I$88,5,0)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262.78347246606825</v>
      </c>
      <c r="AO43" s="62">
        <f t="shared" si="36"/>
        <v>448.84541017639367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projet'!$B$10,Paramètres!$A$1:$I$88,7,0))</f>
        <v>0.27500000000000002</v>
      </c>
      <c r="AS43" s="17">
        <f>IF(ISNA(VLOOKUP(A43,'Données projet'!$A$61:$I$81,6,0)),0%,VLOOKUP(A43,'Données projet'!$A$61:$I$81,6,0)*VLOOKUP('Données projet'!$B$10,Paramètres!$A$1:$I$88,7,0))</f>
        <v>0.15400000000000003</v>
      </c>
      <c r="AT43" s="17">
        <f>IF(ISNA(VLOOKUP(A43,'Données projet'!$A$61:$I$81,7,0)),0%,VLOOKUP(A43,'Données projet'!$A$61:$I$81,7,0))</f>
        <v>0.22</v>
      </c>
      <c r="AU43" s="23">
        <f>EXP(-LN(2)/35)*AU42+(1-EXP(-LN(2)/35))/(LN(2)/35)*AQ43*AR43*VLOOKUP('Données projet'!$B$10,Paramètres!$A$1:$I$88,3,0)*0.475*44/12</f>
        <v>22.329290243434347</v>
      </c>
      <c r="AV43" s="23">
        <f>EXP(-LN(2)/25)*AV42+(1-EXP(-LN(2)/25))/(LN(2)/25)*Calculateur!AQ43*Calculateur!AS43*VLOOKUP('Données projet'!$B$10,Paramètres!$A$1:$I$88,3,0)*0.475*44/12</f>
        <v>35.17087949640748</v>
      </c>
      <c r="AW43" s="23">
        <f>EXP(-LN(2)/2)*AW42+(1-EXP(-LN(2)/2))/(LN(2)/2)*AQ43*AT43*VLOOKUP('Données projet'!$B$10,Paramètres!$A$1:$I$88,3,0)*0.475*44/12</f>
        <v>12.956217737989682</v>
      </c>
      <c r="AX43" s="23">
        <f t="shared" si="6"/>
        <v>70.456387477831498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11.5</v>
      </c>
      <c r="BD43" s="13">
        <f>IF('Données projet'!$A$88&gt;35,BD42+BC43-BL42,IF(A43&lt;'Données projet'!$A$88,$BA$205^A43,IF(A43='Données projet'!$A$88,'Données projet'!$B$88,BD42+BC43-BL42)))</f>
        <v>232</v>
      </c>
      <c r="BE43" s="14">
        <f>BD43*VLOOKUP('Données projet'!$B$11,Paramètres!$A$1:$I$88,3,0)*VLOOKUP('Données projet'!$B$11,Paramètres!$A$1:$I$88,5,0)</f>
        <v>144.768</v>
      </c>
      <c r="BF43" s="14">
        <f t="shared" si="37"/>
        <v>37.387149255707826</v>
      </c>
      <c r="BG43" s="22">
        <f t="shared" si="7"/>
        <v>317.25355162035777</v>
      </c>
      <c r="BH43" s="62">
        <f t="shared" si="8"/>
        <v>610.58688495369108</v>
      </c>
      <c r="BI43" s="62">
        <f ca="1">AVERAGE(OFFSET($BH$3,0,0,'Données projet'!$E$11+1,1))-AVERAGE(OFFSET($H$3,0,0,'Données projet'!$E$11+1,1))</f>
        <v>135.14998708332445</v>
      </c>
      <c r="BJ43" s="62">
        <f t="shared" si="38"/>
        <v>245.50083454484513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5.689609414709305</v>
      </c>
      <c r="BQ43" s="23">
        <f>EXP(-LN(2)/25)*BQ42+(1-EXP(-LN(2)/25))/(LN(2)/25)*Calculateur!BL43*Calculateur!BN43*VLOOKUP('Données projet'!$B$11,Paramètres!$A$1:$I$88,3,0)*0.475*44/12</f>
        <v>35.845813532337466</v>
      </c>
      <c r="BR43" s="23">
        <f>EXP(-LN(2)/2)*BR42+(1-EXP(-LN(2)/2))/(LN(2)/2)*BL43*BO43*VLOOKUP('Données projet'!$B$11,Paramètres!$A$1:$I$88,3,0)*0.475*44/12</f>
        <v>4.4190195358798334</v>
      </c>
      <c r="BS43" s="24">
        <f t="shared" si="9"/>
        <v>45.954442482926602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264</v>
      </c>
      <c r="BW43" s="13">
        <f>VLOOKUP(A43,'Données projet'!$A$113:$I$133,9,0)</f>
        <v>14.4</v>
      </c>
      <c r="BX43" s="13">
        <f t="array" ref="BX43">INDEX(BW:BW,MIN(IF(ISNUMBER(BW43:BW239),ROW(BW43:BW239),"")))</f>
        <v>14.4</v>
      </c>
      <c r="BY43" s="13">
        <f>IF('Données projet'!$A$114&gt;35,BY42+BX43-CG42,IF(A43&lt;'Données projet'!$A$114,$BV$205^A43,IF(A43='Données projet'!$A$114,'Données projet'!$B$114,BY42+BX43-CG42)))</f>
        <v>264.00000000000006</v>
      </c>
      <c r="BZ43" s="14">
        <f>BY43*VLOOKUP('Données projet'!$B$12,Paramètres!$A$1:$I$88,3,0)*VLOOKUP('Données projet'!$B$12,Paramètres!$A$1:$I$88,5,0)</f>
        <v>157.87200000000004</v>
      </c>
      <c r="CA43" s="14">
        <f t="shared" si="39"/>
        <v>40.362165684361159</v>
      </c>
      <c r="CB43" s="22">
        <f t="shared" si="10"/>
        <v>345.25783856692902</v>
      </c>
      <c r="CC43" s="62">
        <f t="shared" si="11"/>
        <v>638.59117190026234</v>
      </c>
      <c r="CD43" s="62">
        <f ca="1">AVERAGE(OFFSET($CC$3,0,0,'Données projet'!$E$12+1,1))-AVERAGE(OFFSET($H$3,0,0,'Données projet'!$E$12+1,1))</f>
        <v>168.16583766359378</v>
      </c>
      <c r="CE43" s="62">
        <f t="shared" si="40"/>
        <v>194.52809733694494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53</v>
      </c>
      <c r="CH43" s="17">
        <f>IF(ISNA(VLOOKUP(A43,'Données projet'!$A$113:$I$133,5,0)),0%,VLOOKUP(A43,'Données projet'!$A$113:$I$133,5,0)*VLOOKUP('Données projet'!$B$12,Paramètres!$A$1:$I$88,7,0))</f>
        <v>0.13500000000000001</v>
      </c>
      <c r="CI43" s="17">
        <f>IF(ISNA(VLOOKUP(A43,'Données projet'!$A$113:$I$133,6,0)),0%,VLOOKUP(A43,'Données projet'!$A$113:$I$133,6,0)*VLOOKUP('Données projet'!$B$12,Paramètres!$A$1:$I$88,7,0))</f>
        <v>0.1764</v>
      </c>
      <c r="CJ43" s="17">
        <f>IF(ISNA(VLOOKUP(A43,'Données projet'!$A$113:$I$133,7,0)),0%,VLOOKUP(A43,'Données projet'!$A$113:$I$133,7,0))</f>
        <v>0.308</v>
      </c>
      <c r="CK43" s="23">
        <f>EXP(-LN(2)/35)*CK42+(1-EXP(-LN(2)/35))/(LN(2)/35)*CG43*CH43*VLOOKUP('Données projet'!$B$12,Paramètres!$A$1:$I$88,3,0)*0.475*44/12</f>
        <v>9.6528416772096222</v>
      </c>
      <c r="CL43" s="23">
        <f>EXP(-LN(2)/25)*CL42+(1-EXP(-LN(2)/25))/(LN(2)/25)*Calculateur!CG43*Calculateur!CI43*VLOOKUP('Données projet'!$B$12,Paramètres!$A$1:$I$88,3,0)*0.475*44/12</f>
        <v>12.362377969286339</v>
      </c>
      <c r="CM43" s="23">
        <f>EXP(-LN(2)/2)*CM42+(1-EXP(-LN(2)/2))/(LN(2)/2)*CG43*CJ43*VLOOKUP('Données projet'!$B$12,Paramètres!$A$1:$I$88,3,0)*0.475*44/12</f>
        <v>12.564029673149454</v>
      </c>
      <c r="CN43" s="24">
        <f t="shared" si="12"/>
        <v>34.579249319645413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150</v>
      </c>
      <c r="CR43" s="13">
        <f>VLOOKUP(A43,'Données projet'!$A$139:$I$159,9,0)</f>
        <v>7</v>
      </c>
      <c r="CS43" s="13">
        <f t="array" ref="CS43">INDEX(CR:CR,MIN(IF(ISNUMBER(CR43:CR239),ROW(CR43:CR239),"")))</f>
        <v>7</v>
      </c>
      <c r="CT43" s="13">
        <f>IF('Données projet'!$A$140&gt;35,CT42+CS43-DB42,IF(A43&lt;'Données projet'!$A$140,$CQ$205^A43,IF(A43='Données projet'!$A$140,'Données projet'!$B$140,CT42+CS43-DB42)))</f>
        <v>150</v>
      </c>
      <c r="CU43" s="18">
        <f>CT43*VLOOKUP('Données projet'!$B$13,Paramètres!$A$1:$I$88,3,0)*VLOOKUP('Données projet'!$B$13,Paramètres!$A$1:$I$88,5,0)</f>
        <v>131.04000000000002</v>
      </c>
      <c r="CV43" s="14">
        <f t="shared" si="41"/>
        <v>34.236561238949918</v>
      </c>
      <c r="CW43" s="22">
        <f t="shared" si="13"/>
        <v>287.85667749117118</v>
      </c>
      <c r="CX43" s="62">
        <f t="shared" si="14"/>
        <v>581.1900108245045</v>
      </c>
      <c r="CY43" s="62">
        <f ca="1">AVERAGE(OFFSET($CX$3,0,0,'Données projet'!$E$13+1,1))-AVERAGE(OFFSET($H$3,0,0,'Données projet'!$E$13+1,1))</f>
        <v>146.09202487550647</v>
      </c>
      <c r="CZ43" s="62">
        <f t="shared" si="42"/>
        <v>168.58814676269344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20</v>
      </c>
      <c r="DC43" s="17">
        <f>IF(ISNA(VLOOKUP(A43,'Données projet'!$A$139:$I$159,5,0)),0%,VLOOKUP(A43,'Données projet'!$A$139:$I$159,5,0)*VLOOKUP('Données projet'!$B$13,Paramètres!$A$1:$I$88,7,0))</f>
        <v>0.129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3.9960776888834952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3.9960776888834952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150</v>
      </c>
      <c r="DM43" s="13">
        <f>VLOOKUP(A43,'Données projet'!$A$165:$I$185,9,0)</f>
        <v>10</v>
      </c>
      <c r="DN43" s="13">
        <f t="array" ref="DN43">INDEX(DM:DM,MIN(IF(ISNUMBER(DM43:DM239),ROW(DM43:DM239),"")))</f>
        <v>10</v>
      </c>
      <c r="DO43" s="13">
        <f>IF('Données projet'!$A$166&gt;35,DO42+DN43-DW42,IF(A43&lt;'Données projet'!$A$166,$DL$205^A43,IF(A43='Données projet'!$A$166,'Données projet'!$B$166,DO42+DN43-DW42)))</f>
        <v>150</v>
      </c>
      <c r="DP43" s="18">
        <f>DO43*VLOOKUP('Données projet'!$B$14,Paramètres!$A$1:$I$88,3,0)*VLOOKUP('Données projet'!$B$14,Paramètres!$A$1:$I$88,5,0)</f>
        <v>109.98</v>
      </c>
      <c r="DQ43" s="14">
        <f t="shared" si="43"/>
        <v>29.326272366698234</v>
      </c>
      <c r="DR43" s="22">
        <f t="shared" si="16"/>
        <v>242.62509103866606</v>
      </c>
      <c r="DS43" s="62">
        <f t="shared" si="17"/>
        <v>535.9584243719994</v>
      </c>
      <c r="DT43" s="62">
        <f ca="1">AVERAGE(OFFSET($DS$3,0,0,'Données projet'!$E$14+1,1))-AVERAGE(OFFSET($H$3,0,0,'Données projet'!$E$14+1,1))</f>
        <v>116.35584360635318</v>
      </c>
      <c r="DU43" s="62">
        <f t="shared" si="44"/>
        <v>86.38226293640173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projet'!$B$14,Paramètres!$A$1:$I$88,7,0))</f>
        <v>8.6000000000000007E-2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3.4038417918832398</v>
      </c>
      <c r="EB43" s="23">
        <f>EXP(-LN(2)/25)*EB42+(1-EXP(-LN(2)/25))/(LN(2)/25)*Calculateur!DW43*Calculateur!DY43*VLOOKUP('Données projet'!$B$14,Paramètres!$A$1:$I$88,3,0)*0.475*44/12</f>
        <v>0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3.4038417918832398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</v>
      </c>
      <c r="N44" s="14">
        <f>IF('Données projet'!$A$36&gt;35,N43+M44-V43,IF(A44&lt;'Données projet'!$A$36,$K$205^A44,IF(A44='Données projet'!$A$36,'Données projet'!$B$36,N43+M44-V43)))</f>
        <v>200</v>
      </c>
      <c r="O44" s="14">
        <f>N44*VLOOKUP('Données projet'!$B$9,Paramètres!$A$1:$I$88,3,0)*VLOOKUP('Données projet'!$B$9,Paramètres!$A$1:$I$88,5,0)</f>
        <v>93.600000000000009</v>
      </c>
      <c r="P44" s="14">
        <f t="shared" si="33"/>
        <v>25.431466524572937</v>
      </c>
      <c r="Q44" s="22">
        <f t="shared" si="53"/>
        <v>207.31313753029789</v>
      </c>
      <c r="R44" s="62">
        <f t="shared" si="0"/>
        <v>500.64647086363118</v>
      </c>
      <c r="S44" s="62">
        <f ca="1">AVERAGE(OFFSET($R$3,0,0,'Données projet'!$E$9+1,1))-AVERAGE(OFFSET($H$3,0,0,'Données projet'!$E$9+1,1))</f>
        <v>82.229723373996478</v>
      </c>
      <c r="T44" s="62">
        <f t="shared" si="34"/>
        <v>115.86489547584461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2.6780953102526817</v>
      </c>
      <c r="AA44" s="23">
        <f>EXP(-LN(2)/25)*AA43+(1-EXP(-LN(2)/25))/(LN(2)/25)*Calculateur!V44*Calculateur!X44*VLOOKUP('Données projet'!$B$9,Paramètres!$A$1:$I$88,3,0)*0.475*44/12</f>
        <v>11.544052872503141</v>
      </c>
      <c r="AB44" s="23">
        <f>EXP(-LN(2)/2)*AB43+(1-EXP(-LN(2)/2))/(LN(2)/2)*V44*Y44*VLOOKUP('Données projet'!$B$9,Paramètres!$A$1:$I$88,3,0)*0.475*44/12</f>
        <v>5.4816426530287607</v>
      </c>
      <c r="AC44" s="24">
        <f t="shared" si="3"/>
        <v>19.703790835784581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projet'!$B$10,Paramètres!$A$1:$I$88,3,0)*VLOOKUP('Données projet'!$B$10,Paramètres!$A$1:$I$88,5,0)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262.78347246606825</v>
      </c>
      <c r="AO44" s="62">
        <f t="shared" si="36"/>
        <v>448.84541017639367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21.891426481282831</v>
      </c>
      <c r="AV44" s="23">
        <f>EXP(-LN(2)/25)*AV43+(1-EXP(-LN(2)/25))/(LN(2)/25)*Calculateur!AQ44*Calculateur!AS44*VLOOKUP('Données projet'!$B$10,Paramètres!$A$1:$I$88,3,0)*0.475*44/12</f>
        <v>34.209129947022049</v>
      </c>
      <c r="AW44" s="23">
        <f>EXP(-LN(2)/2)*AW43+(1-EXP(-LN(2)/2))/(LN(2)/2)*AQ44*AT44*VLOOKUP('Données projet'!$B$10,Paramètres!$A$1:$I$88,3,0)*0.475*44/12</f>
        <v>9.1614294210619374</v>
      </c>
      <c r="AX44" s="23">
        <f t="shared" si="6"/>
        <v>65.261985849366823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243.5</v>
      </c>
      <c r="BE44" s="14">
        <f>BD44*VLOOKUP('Données projet'!$B$11,Paramètres!$A$1:$I$88,3,0)*VLOOKUP('Données projet'!$B$11,Paramètres!$A$1:$I$88,5,0)</f>
        <v>151.94399999999999</v>
      </c>
      <c r="BF44" s="14">
        <f t="shared" si="37"/>
        <v>39.02003496976517</v>
      </c>
      <c r="BG44" s="22">
        <f t="shared" si="7"/>
        <v>332.59569423900763</v>
      </c>
      <c r="BH44" s="62">
        <f t="shared" si="8"/>
        <v>625.92902757234094</v>
      </c>
      <c r="BI44" s="62">
        <f ca="1">AVERAGE(OFFSET($BH$3,0,0,'Données projet'!$E$11+1,1))-AVERAGE(OFFSET($H$3,0,0,'Données projet'!$E$11+1,1))</f>
        <v>135.14998708332445</v>
      </c>
      <c r="BJ44" s="62">
        <f t="shared" si="38"/>
        <v>245.50083454484513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5.5780396444059326</v>
      </c>
      <c r="BQ44" s="23">
        <f>EXP(-LN(2)/25)*BQ43+(1-EXP(-LN(2)/25))/(LN(2)/25)*Calculateur!BL44*Calculateur!BN44*VLOOKUP('Données projet'!$B$11,Paramètres!$A$1:$I$88,3,0)*0.475*44/12</f>
        <v>34.865607876246294</v>
      </c>
      <c r="BR44" s="23">
        <f>EXP(-LN(2)/2)*BR43+(1-EXP(-LN(2)/2))/(LN(2)/2)*BL44*BO44*VLOOKUP('Données projet'!$B$11,Paramètres!$A$1:$I$88,3,0)*0.475*44/12</f>
        <v>3.1247186800164606</v>
      </c>
      <c r="BS44" s="24">
        <f t="shared" si="9"/>
        <v>43.568366200668692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21.4</v>
      </c>
      <c r="BY44" s="13">
        <f>IF('Données projet'!$A$114&gt;35,BY43+BX44-CG43,IF(A44&lt;'Données projet'!$A$114,$BV$205^A44,IF(A44='Données projet'!$A$114,'Données projet'!$B$114,BY43+BX44-CG43)))</f>
        <v>232.40000000000003</v>
      </c>
      <c r="BZ44" s="14">
        <f>BY44*VLOOKUP('Données projet'!$B$12,Paramètres!$A$1:$I$88,3,0)*VLOOKUP('Données projet'!$B$12,Paramètres!$A$1:$I$88,5,0)</f>
        <v>138.97520000000003</v>
      </c>
      <c r="CA44" s="14">
        <f t="shared" si="39"/>
        <v>36.062137915716328</v>
      </c>
      <c r="CB44" s="22">
        <f t="shared" si="10"/>
        <v>304.85669686987262</v>
      </c>
      <c r="CC44" s="62">
        <f t="shared" si="11"/>
        <v>598.19003020320588</v>
      </c>
      <c r="CD44" s="62">
        <f ca="1">AVERAGE(OFFSET($CC$3,0,0,'Données projet'!$E$12+1,1))-AVERAGE(OFFSET($H$3,0,0,'Données projet'!$E$12+1,1))</f>
        <v>168.16583766359378</v>
      </c>
      <c r="CE44" s="62">
        <f t="shared" si="40"/>
        <v>194.52809733694494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9.4635553395716077</v>
      </c>
      <c r="CL44" s="23">
        <f>EXP(-LN(2)/25)*CL43+(1-EXP(-LN(2)/25))/(LN(2)/25)*Calculateur!CG44*Calculateur!CI44*VLOOKUP('Données projet'!$B$12,Paramètres!$A$1:$I$88,3,0)*0.475*44/12</f>
        <v>12.024328093607002</v>
      </c>
      <c r="CM44" s="23">
        <f>EXP(-LN(2)/2)*CM43+(1-EXP(-LN(2)/2))/(LN(2)/2)*CG44*CJ44*VLOOKUP('Données projet'!$B$12,Paramètres!$A$1:$I$88,3,0)*0.475*44/12</f>
        <v>8.8841105809129814</v>
      </c>
      <c r="CN44" s="24">
        <f t="shared" si="12"/>
        <v>30.371994014091591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6.4</v>
      </c>
      <c r="CT44" s="13">
        <f>IF('Données projet'!$A$140&gt;35,CT43+CS44-DB43,IF(A44&lt;'Données projet'!$A$140,$CQ$205^A44,IF(A44='Données projet'!$A$140,'Données projet'!$B$140,CT43+CS44-DB43)))</f>
        <v>136.4</v>
      </c>
      <c r="CU44" s="18">
        <f>CT44*VLOOKUP('Données projet'!$B$13,Paramètres!$A$1:$I$88,3,0)*VLOOKUP('Données projet'!$B$13,Paramètres!$A$1:$I$88,5,0)</f>
        <v>119.15904000000003</v>
      </c>
      <c r="CV44" s="14">
        <f t="shared" si="41"/>
        <v>31.478778976043767</v>
      </c>
      <c r="CW44" s="22">
        <f t="shared" si="13"/>
        <v>262.36086804994295</v>
      </c>
      <c r="CX44" s="62">
        <f t="shared" si="14"/>
        <v>555.69420138327632</v>
      </c>
      <c r="CY44" s="62">
        <f ca="1">AVERAGE(OFFSET($CX$3,0,0,'Données projet'!$E$13+1,1))-AVERAGE(OFFSET($H$3,0,0,'Données projet'!$E$13+1,1))</f>
        <v>146.09202487550647</v>
      </c>
      <c r="CZ44" s="62">
        <f t="shared" si="42"/>
        <v>168.58814676269344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3.9177170427712102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3.9177170427712102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10.4</v>
      </c>
      <c r="DO44" s="13">
        <f>IF('Données projet'!$A$166&gt;35,DO43+DN44-DW43,IF(A44&lt;'Données projet'!$A$166,$DL$205^A44,IF(A44='Données projet'!$A$166,'Données projet'!$B$166,DO43+DN44-DW43)))</f>
        <v>132.4</v>
      </c>
      <c r="DP44" s="18">
        <f>DO44*VLOOKUP('Données projet'!$B$14,Paramètres!$A$1:$I$88,3,0)*VLOOKUP('Données projet'!$B$14,Paramètres!$A$1:$I$88,5,0)</f>
        <v>97.075680000000006</v>
      </c>
      <c r="DQ44" s="14">
        <f t="shared" si="43"/>
        <v>26.264119811347012</v>
      </c>
      <c r="DR44" s="22">
        <f t="shared" si="16"/>
        <v>214.81681800476272</v>
      </c>
      <c r="DS44" s="62">
        <f t="shared" si="17"/>
        <v>508.15015133809607</v>
      </c>
      <c r="DT44" s="62">
        <f ca="1">AVERAGE(OFFSET($DS$3,0,0,'Données projet'!$E$14+1,1))-AVERAGE(OFFSET($H$3,0,0,'Données projet'!$E$14+1,1))</f>
        <v>116.35584360635318</v>
      </c>
      <c r="DU44" s="62">
        <f t="shared" si="44"/>
        <v>86.38226293640173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3.3370945304829007</v>
      </c>
      <c r="EB44" s="23">
        <f>EXP(-LN(2)/25)*EB43+(1-EXP(-LN(2)/25))/(LN(2)/25)*Calculateur!DW44*Calculateur!DY44*VLOOKUP('Données projet'!$B$14,Paramètres!$A$1:$I$88,3,0)*0.475*44/12</f>
        <v>0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3.3370945304829007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</v>
      </c>
      <c r="N45" s="14">
        <f>IF('Données projet'!$A$36&gt;35,N44+M45-V44,IF(A45&lt;'Données projet'!$A$36,$K$205^A45,IF(A45='Données projet'!$A$36,'Données projet'!$B$36,N44+M45-V44)))</f>
        <v>210</v>
      </c>
      <c r="O45" s="14">
        <f>N45*VLOOKUP('Données projet'!$B$9,Paramètres!$A$1:$I$88,3,0)*VLOOKUP('Données projet'!$B$9,Paramètres!$A$1:$I$88,5,0)</f>
        <v>98.28</v>
      </c>
      <c r="P45" s="14">
        <f t="shared" si="33"/>
        <v>26.551818424463473</v>
      </c>
      <c r="Q45" s="22">
        <f t="shared" si="53"/>
        <v>217.41541708927389</v>
      </c>
      <c r="R45" s="62">
        <f t="shared" si="0"/>
        <v>510.7487504226072</v>
      </c>
      <c r="S45" s="62">
        <f ca="1">AVERAGE(OFFSET($R$3,0,0,'Données projet'!$E$9+1,1))-AVERAGE(OFFSET($H$3,0,0,'Données projet'!$E$9+1,1))</f>
        <v>82.229723373996478</v>
      </c>
      <c r="T45" s="62">
        <f t="shared" si="34"/>
        <v>115.86489547584461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2.6255794946954736</v>
      </c>
      <c r="AA45" s="23">
        <f>EXP(-LN(2)/25)*AA44+(1-EXP(-LN(2)/25))/(LN(2)/25)*Calculateur!V45*Calculateur!X45*VLOOKUP('Données projet'!$B$9,Paramètres!$A$1:$I$88,3,0)*0.475*44/12</f>
        <v>11.228380139629186</v>
      </c>
      <c r="AB45" s="23">
        <f>EXP(-LN(2)/2)*AB44+(1-EXP(-LN(2)/2))/(LN(2)/2)*V45*Y45*VLOOKUP('Données projet'!$B$9,Paramètres!$A$1:$I$88,3,0)*0.475*44/12</f>
        <v>3.876106691998054</v>
      </c>
      <c r="AC45" s="24">
        <f t="shared" si="3"/>
        <v>17.730066326322714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projet'!$B$10,Paramètres!$A$1:$I$88,3,0)*VLOOKUP('Données projet'!$B$10,Paramètres!$A$1:$I$88,5,0)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262.78347246606825</v>
      </c>
      <c r="AO45" s="62">
        <f t="shared" si="36"/>
        <v>448.84541017639367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21.462148960436583</v>
      </c>
      <c r="AV45" s="23">
        <f>EXP(-LN(2)/25)*AV44+(1-EXP(-LN(2)/25))/(LN(2)/25)*Calculateur!AQ45*Calculateur!AS45*VLOOKUP('Données projet'!$B$10,Paramètres!$A$1:$I$88,3,0)*0.475*44/12</f>
        <v>33.27367948964077</v>
      </c>
      <c r="AW45" s="23">
        <f>EXP(-LN(2)/2)*AW44+(1-EXP(-LN(2)/2))/(LN(2)/2)*AQ45*AT45*VLOOKUP('Données projet'!$B$10,Paramètres!$A$1:$I$88,3,0)*0.475*44/12</f>
        <v>6.478108868994843</v>
      </c>
      <c r="AX45" s="23">
        <f t="shared" si="6"/>
        <v>61.213937319072194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255</v>
      </c>
      <c r="BB45" s="13">
        <f>VLOOKUP(A45,'Données projet'!$A$87:$I$107,9,0)</f>
        <v>11.5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255</v>
      </c>
      <c r="BE45" s="14">
        <f>BD45*VLOOKUP('Données projet'!$B$11,Paramètres!$A$1:$I$88,3,0)*VLOOKUP('Données projet'!$B$11,Paramètres!$A$1:$I$88,5,0)</f>
        <v>159.12</v>
      </c>
      <c r="BF45" s="14">
        <f t="shared" si="37"/>
        <v>40.643965284387697</v>
      </c>
      <c r="BG45" s="22">
        <f t="shared" si="7"/>
        <v>347.92223953697521</v>
      </c>
      <c r="BH45" s="62">
        <f t="shared" si="8"/>
        <v>641.25557287030847</v>
      </c>
      <c r="BI45" s="62">
        <f ca="1">AVERAGE(OFFSET($BH$3,0,0,'Données projet'!$E$11+1,1))-AVERAGE(OFFSET($H$3,0,0,'Données projet'!$E$11+1,1))</f>
        <v>135.14998708332445</v>
      </c>
      <c r="BJ45" s="62">
        <f t="shared" si="38"/>
        <v>245.50083454484513</v>
      </c>
      <c r="BK45" s="16">
        <f>IF(ISNA(VLOOKUP(A45,'Données projet'!$A$87:$I$107,3,0)),0,VLOOKUP(A45,'Données projet'!$A$87:$I$107,3,0))</f>
        <v>6</v>
      </c>
      <c r="BL45" s="16">
        <f>IF(ISNA(VLOOKUP(A45,'Données projet'!$A$87:$I$107,4,0)),0,VLOOKUP(A45,'Données projet'!$A$87:$I$107,4,0))</f>
        <v>67</v>
      </c>
      <c r="BM45" s="17">
        <f>IF(ISNA(VLOOKUP(A45,'Données projet'!$A$87:$I$107,5,0)),0%,VLOOKUP(A45,'Données projet'!$A$87:$I$107,5,0)*VLOOKUP('Données projet'!$B$11,Paramètres!$A$1:$I$88,7,0))</f>
        <v>0.3</v>
      </c>
      <c r="BN45" s="17">
        <f>IF(ISNA(VLOOKUP(A45,'Données projet'!$A$87:$I$107,6,0)),0%,VLOOKUP(A45,'Données projet'!$A$87:$I$107,6,0)*VLOOKUP('Données projet'!$B$11,Paramètres!$A$1:$I$88,7,0))</f>
        <v>0.16800000000000001</v>
      </c>
      <c r="BO45" s="17">
        <f>IF(ISNA(VLOOKUP(A45,'Données projet'!$A$87:$I$107,7,0)),0%,VLOOKUP(A45,'Données projet'!$A$87:$I$107,7,0))</f>
        <v>0.22</v>
      </c>
      <c r="BP45" s="23">
        <f>EXP(-LN(2)/35)*BP44+(1-EXP(-LN(2)/35))/(LN(2)/35)*BL45*BM45*VLOOKUP('Données projet'!$B$11,Paramètres!$A$1:$I$88,3,0)*0.475*44/12</f>
        <v>22.106959715152257</v>
      </c>
      <c r="BQ45" s="23">
        <f>EXP(-LN(2)/25)*BQ44+(1-EXP(-LN(2)/25))/(LN(2)/25)*Calculateur!BL45*Calculateur!BN45*VLOOKUP('Données projet'!$B$11,Paramètres!$A$1:$I$88,3,0)*0.475*44/12</f>
        <v>43.192968782405437</v>
      </c>
      <c r="BR45" s="23">
        <f>EXP(-LN(2)/2)*BR44+(1-EXP(-LN(2)/2))/(LN(2)/2)*BL45*BO45*VLOOKUP('Données projet'!$B$11,Paramètres!$A$1:$I$88,3,0)*0.475*44/12</f>
        <v>12.623510704836944</v>
      </c>
      <c r="BS45" s="24">
        <f t="shared" si="9"/>
        <v>77.923439202394633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21.4</v>
      </c>
      <c r="BY45" s="13">
        <f>IF('Données projet'!$A$114&gt;35,BY44+BX45-CG44,IF(A45&lt;'Données projet'!$A$114,$BV$205^A45,IF(A45='Données projet'!$A$114,'Données projet'!$B$114,BY44+BX45-CG44)))</f>
        <v>253.80000000000004</v>
      </c>
      <c r="BZ45" s="14">
        <f>BY45*VLOOKUP('Données projet'!$B$12,Paramètres!$A$1:$I$88,3,0)*VLOOKUP('Données projet'!$B$12,Paramètres!$A$1:$I$88,5,0)</f>
        <v>151.77240000000003</v>
      </c>
      <c r="CA45" s="14">
        <f t="shared" si="39"/>
        <v>38.981094100085443</v>
      </c>
      <c r="CB45" s="22">
        <f t="shared" si="10"/>
        <v>332.22900222431548</v>
      </c>
      <c r="CC45" s="62">
        <f t="shared" si="11"/>
        <v>625.56233555764879</v>
      </c>
      <c r="CD45" s="62">
        <f ca="1">AVERAGE(OFFSET($CC$3,0,0,'Données projet'!$E$12+1,1))-AVERAGE(OFFSET($H$3,0,0,'Données projet'!$E$12+1,1))</f>
        <v>168.16583766359378</v>
      </c>
      <c r="CE45" s="62">
        <f t="shared" si="40"/>
        <v>194.52809733694494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9.2779807915614079</v>
      </c>
      <c r="CL45" s="23">
        <f>EXP(-LN(2)/25)*CL44+(1-EXP(-LN(2)/25))/(LN(2)/25)*Calculateur!CG45*Calculateur!CI45*VLOOKUP('Données projet'!$B$12,Paramètres!$A$1:$I$88,3,0)*0.475*44/12</f>
        <v>11.695522209555385</v>
      </c>
      <c r="CM45" s="23">
        <f>EXP(-LN(2)/2)*CM44+(1-EXP(-LN(2)/2))/(LN(2)/2)*CG45*CJ45*VLOOKUP('Données projet'!$B$12,Paramètres!$A$1:$I$88,3,0)*0.475*44/12</f>
        <v>6.2820148365747279</v>
      </c>
      <c r="CN45" s="24">
        <f t="shared" si="12"/>
        <v>27.255517837691521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6.4</v>
      </c>
      <c r="CT45" s="13">
        <f>IF('Données projet'!$A$140&gt;35,CT44+CS45-DB44,IF(A45&lt;'Données projet'!$A$140,$CQ$205^A45,IF(A45='Données projet'!$A$140,'Données projet'!$B$140,CT44+CS45-DB44)))</f>
        <v>142.80000000000001</v>
      </c>
      <c r="CU45" s="18">
        <f>CT45*VLOOKUP('Données projet'!$B$13,Paramètres!$A$1:$I$88,3,0)*VLOOKUP('Données projet'!$B$13,Paramètres!$A$1:$I$88,5,0)</f>
        <v>124.75008000000003</v>
      </c>
      <c r="CV45" s="14">
        <f t="shared" si="41"/>
        <v>32.780361960132396</v>
      </c>
      <c r="CW45" s="22">
        <f t="shared" si="13"/>
        <v>274.36551974723062</v>
      </c>
      <c r="CX45" s="62">
        <f t="shared" si="14"/>
        <v>567.69885308056394</v>
      </c>
      <c r="CY45" s="62">
        <f ca="1">AVERAGE(OFFSET($CX$3,0,0,'Données projet'!$E$13+1,1))-AVERAGE(OFFSET($H$3,0,0,'Données projet'!$E$13+1,1))</f>
        <v>146.09202487550647</v>
      </c>
      <c r="CZ45" s="62">
        <f t="shared" si="42"/>
        <v>168.58814676269344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3.8408930011339124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3.8408930011339124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10.4</v>
      </c>
      <c r="DO45" s="13">
        <f>IF('Données projet'!$A$166&gt;35,DO44+DN45-DW44,IF(A45&lt;'Données projet'!$A$166,$DL$205^A45,IF(A45='Données projet'!$A$166,'Données projet'!$B$166,DO44+DN45-DW44)))</f>
        <v>142.80000000000001</v>
      </c>
      <c r="DP45" s="18">
        <f>DO45*VLOOKUP('Données projet'!$B$14,Paramètres!$A$1:$I$88,3,0)*VLOOKUP('Données projet'!$B$14,Paramètres!$A$1:$I$88,5,0)</f>
        <v>104.70096000000001</v>
      </c>
      <c r="DQ45" s="14">
        <f t="shared" si="43"/>
        <v>28.07892464469024</v>
      </c>
      <c r="DR45" s="22">
        <f t="shared" si="16"/>
        <v>231.25829908950217</v>
      </c>
      <c r="DS45" s="62">
        <f t="shared" si="17"/>
        <v>524.59163242283546</v>
      </c>
      <c r="DT45" s="62">
        <f ca="1">AVERAGE(OFFSET($DS$3,0,0,'Données projet'!$E$14+1,1))-AVERAGE(OFFSET($H$3,0,0,'Données projet'!$E$14+1,1))</f>
        <v>116.35584360635318</v>
      </c>
      <c r="DU45" s="62">
        <f t="shared" si="44"/>
        <v>86.38226293640173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3.2716561421668131</v>
      </c>
      <c r="EB45" s="23">
        <f>EXP(-LN(2)/25)*EB44+(1-EXP(-LN(2)/25))/(LN(2)/25)*Calculateur!DW45*Calculateur!DY45*VLOOKUP('Données projet'!$B$14,Paramètres!$A$1:$I$88,3,0)*0.475*44/12</f>
        <v>0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3.2716561421668131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</v>
      </c>
      <c r="N46" s="14">
        <f>IF('Données projet'!$A$36&gt;35,N45+M46-V45,IF(A46&lt;'Données projet'!$A$36,$K$205^A46,IF(A46='Données projet'!$A$36,'Données projet'!$B$36,N45+M46-V45)))</f>
        <v>220</v>
      </c>
      <c r="O46" s="14">
        <f>N46*VLOOKUP('Données projet'!$B$9,Paramètres!$A$1:$I$88,3,0)*VLOOKUP('Données projet'!$B$9,Paramètres!$A$1:$I$88,5,0)</f>
        <v>102.96000000000001</v>
      </c>
      <c r="P46" s="14">
        <f t="shared" si="33"/>
        <v>27.665975080374633</v>
      </c>
      <c r="Q46" s="22">
        <f t="shared" si="53"/>
        <v>227.50690659831915</v>
      </c>
      <c r="R46" s="62">
        <f t="shared" si="0"/>
        <v>520.84023993165249</v>
      </c>
      <c r="S46" s="62">
        <f ca="1">AVERAGE(OFFSET($R$3,0,0,'Données projet'!$E$9+1,1))-AVERAGE(OFFSET($H$3,0,0,'Données projet'!$E$9+1,1))</f>
        <v>82.229723373996478</v>
      </c>
      <c r="T46" s="62">
        <f t="shared" si="34"/>
        <v>115.86489547584461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2.5740934822498573</v>
      </c>
      <c r="AA46" s="23">
        <f>EXP(-LN(2)/25)*AA45+(1-EXP(-LN(2)/25))/(LN(2)/25)*Calculateur!V46*Calculateur!X46*VLOOKUP('Données projet'!$B$9,Paramètres!$A$1:$I$88,3,0)*0.475*44/12</f>
        <v>10.921339494236177</v>
      </c>
      <c r="AB46" s="23">
        <f>EXP(-LN(2)/2)*AB45+(1-EXP(-LN(2)/2))/(LN(2)/2)*V46*Y46*VLOOKUP('Données projet'!$B$9,Paramètres!$A$1:$I$88,3,0)*0.475*44/12</f>
        <v>2.7408213265143808</v>
      </c>
      <c r="AC46" s="24">
        <f t="shared" si="3"/>
        <v>16.236254303000415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projet'!$B$10,Paramètres!$A$1:$I$88,3,0)*VLOOKUP('Données projet'!$B$10,Paramètres!$A$1:$I$88,5,0)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262.78347246606825</v>
      </c>
      <c r="AO46" s="62">
        <f t="shared" si="36"/>
        <v>448.84541017639367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21.041289309940694</v>
      </c>
      <c r="AV46" s="23">
        <f>EXP(-LN(2)/25)*AV45+(1-EXP(-LN(2)/25))/(LN(2)/25)*Calculateur!AQ46*Calculateur!AS46*VLOOKUP('Données projet'!$B$10,Paramètres!$A$1:$I$88,3,0)*0.475*44/12</f>
        <v>32.363808974209789</v>
      </c>
      <c r="AW46" s="23">
        <f>EXP(-LN(2)/2)*AW45+(1-EXP(-LN(2)/2))/(LN(2)/2)*AQ46*AT46*VLOOKUP('Données projet'!$B$10,Paramètres!$A$1:$I$88,3,0)*0.475*44/12</f>
        <v>4.5807147105309696</v>
      </c>
      <c r="AX46" s="23">
        <f t="shared" si="6"/>
        <v>57.985812994681453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</v>
      </c>
      <c r="BD46" s="13">
        <f>IF('Données projet'!$A$88&gt;35,BD45+BC46-BL45,IF(A46&lt;'Données projet'!$A$88,$BA$205^A46,IF(A46='Données projet'!$A$88,'Données projet'!$B$88,BD45+BC46-BL45)))</f>
        <v>196</v>
      </c>
      <c r="BE46" s="14">
        <f>BD46*VLOOKUP('Données projet'!$B$11,Paramètres!$A$1:$I$88,3,0)*VLOOKUP('Données projet'!$B$11,Paramètres!$A$1:$I$88,5,0)</f>
        <v>122.304</v>
      </c>
      <c r="BF46" s="14">
        <f t="shared" si="37"/>
        <v>32.211773226559373</v>
      </c>
      <c r="BG46" s="22">
        <f t="shared" si="7"/>
        <v>269.11497170292421</v>
      </c>
      <c r="BH46" s="62">
        <f t="shared" si="8"/>
        <v>562.44830503625758</v>
      </c>
      <c r="BI46" s="62">
        <f ca="1">AVERAGE(OFFSET($BH$3,0,0,'Données projet'!$E$11+1,1))-AVERAGE(OFFSET($H$3,0,0,'Données projet'!$E$11+1,1))</f>
        <v>135.14998708332445</v>
      </c>
      <c r="BJ46" s="62">
        <f t="shared" si="38"/>
        <v>245.50083454484513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21.673455719052122</v>
      </c>
      <c r="BQ46" s="23">
        <f>EXP(-LN(2)/25)*BQ45+(1-EXP(-LN(2)/25))/(LN(2)/25)*Calculateur!BL46*Calculateur!BN46*VLOOKUP('Données projet'!$B$11,Paramètres!$A$1:$I$88,3,0)*0.475*44/12</f>
        <v>42.011854779631051</v>
      </c>
      <c r="BR46" s="23">
        <f>EXP(-LN(2)/2)*BR45+(1-EXP(-LN(2)/2))/(LN(2)/2)*BL46*BO46*VLOOKUP('Données projet'!$B$11,Paramètres!$A$1:$I$88,3,0)*0.475*44/12</f>
        <v>8.9261700217711777</v>
      </c>
      <c r="BS46" s="24">
        <f t="shared" si="9"/>
        <v>72.61148052045435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21.4</v>
      </c>
      <c r="BY46" s="13">
        <f>IF('Données projet'!$A$114&gt;35,BY45+BX46-CG45,IF(A46&lt;'Données projet'!$A$114,$BV$205^A46,IF(A46='Données projet'!$A$114,'Données projet'!$B$114,BY45+BX46-CG45)))</f>
        <v>275.20000000000005</v>
      </c>
      <c r="BZ46" s="14">
        <f>BY46*VLOOKUP('Données projet'!$B$12,Paramètres!$A$1:$I$88,3,0)*VLOOKUP('Données projet'!$B$12,Paramètres!$A$1:$I$88,5,0)</f>
        <v>164.56960000000004</v>
      </c>
      <c r="CA46" s="14">
        <f t="shared" si="39"/>
        <v>41.871506181639091</v>
      </c>
      <c r="CB46" s="22">
        <f t="shared" si="10"/>
        <v>359.55159326635476</v>
      </c>
      <c r="CC46" s="62">
        <f t="shared" si="11"/>
        <v>652.88492659968801</v>
      </c>
      <c r="CD46" s="62">
        <f ca="1">AVERAGE(OFFSET($CC$3,0,0,'Données projet'!$E$12+1,1))-AVERAGE(OFFSET($H$3,0,0,'Données projet'!$E$12+1,1))</f>
        <v>168.16583766359378</v>
      </c>
      <c r="CE46" s="62">
        <f t="shared" si="40"/>
        <v>194.52809733694494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9.0960452472483908</v>
      </c>
      <c r="CL46" s="23">
        <f>EXP(-LN(2)/25)*CL45+(1-EXP(-LN(2)/25))/(LN(2)/25)*Calculateur!CG46*Calculateur!CI46*VLOOKUP('Données projet'!$B$12,Paramètres!$A$1:$I$88,3,0)*0.475*44/12</f>
        <v>11.375707539694311</v>
      </c>
      <c r="CM46" s="23">
        <f>EXP(-LN(2)/2)*CM45+(1-EXP(-LN(2)/2))/(LN(2)/2)*CG46*CJ46*VLOOKUP('Données projet'!$B$12,Paramètres!$A$1:$I$88,3,0)*0.475*44/12</f>
        <v>4.4420552904564916</v>
      </c>
      <c r="CN46" s="24">
        <f t="shared" si="12"/>
        <v>24.913808077399192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6.4</v>
      </c>
      <c r="CT46" s="13">
        <f>IF('Données projet'!$A$140&gt;35,CT45+CS46-DB45,IF(A46&lt;'Données projet'!$A$140,$CQ$205^A46,IF(A46='Données projet'!$A$140,'Données projet'!$B$140,CT45+CS46-DB45)))</f>
        <v>149.20000000000002</v>
      </c>
      <c r="CU46" s="18">
        <f>CT46*VLOOKUP('Données projet'!$B$13,Paramètres!$A$1:$I$88,3,0)*VLOOKUP('Données projet'!$B$13,Paramètres!$A$1:$I$88,5,0)</f>
        <v>130.34112000000005</v>
      </c>
      <c r="CV46" s="14">
        <f t="shared" si="41"/>
        <v>34.075170122989917</v>
      </c>
      <c r="CW46" s="22">
        <f t="shared" si="13"/>
        <v>286.35837196420749</v>
      </c>
      <c r="CX46" s="62">
        <f t="shared" si="14"/>
        <v>579.69170529754081</v>
      </c>
      <c r="CY46" s="62">
        <f ca="1">AVERAGE(OFFSET($CX$3,0,0,'Données projet'!$E$13+1,1))-AVERAGE(OFFSET($H$3,0,0,'Données projet'!$E$13+1,1))</f>
        <v>146.09202487550647</v>
      </c>
      <c r="CZ46" s="62">
        <f t="shared" si="42"/>
        <v>168.58814676269344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3.7655754320950834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3.7655754320950834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10.4</v>
      </c>
      <c r="DO46" s="13">
        <f>IF('Données projet'!$A$166&gt;35,DO45+DN46-DW45,IF(A46&lt;'Données projet'!$A$166,$DL$205^A46,IF(A46='Données projet'!$A$166,'Données projet'!$B$166,DO45+DN46-DW45)))</f>
        <v>153.20000000000002</v>
      </c>
      <c r="DP46" s="18">
        <f>DO46*VLOOKUP('Données projet'!$B$14,Paramètres!$A$1:$I$88,3,0)*VLOOKUP('Données projet'!$B$14,Paramètres!$A$1:$I$88,5,0)</f>
        <v>112.32624000000001</v>
      </c>
      <c r="DQ46" s="14">
        <f t="shared" si="43"/>
        <v>29.878395537574331</v>
      </c>
      <c r="DR46" s="22">
        <f t="shared" si="16"/>
        <v>247.67307356127534</v>
      </c>
      <c r="DS46" s="62">
        <f t="shared" si="17"/>
        <v>541.00640689460863</v>
      </c>
      <c r="DT46" s="62">
        <f ca="1">AVERAGE(OFFSET($DS$3,0,0,'Données projet'!$E$14+1,1))-AVERAGE(OFFSET($H$3,0,0,'Données projet'!$E$14+1,1))</f>
        <v>116.35584360635318</v>
      </c>
      <c r="DU46" s="62">
        <f t="shared" si="44"/>
        <v>86.38226293640173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3.2075009607321281</v>
      </c>
      <c r="EB46" s="23">
        <f>EXP(-LN(2)/25)*EB45+(1-EXP(-LN(2)/25))/(LN(2)/25)*Calculateur!DW46*Calculateur!DY46*VLOOKUP('Données projet'!$B$14,Paramètres!$A$1:$I$88,3,0)*0.475*44/12</f>
        <v>0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3.2075009607321281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</v>
      </c>
      <c r="N47" s="14">
        <f>IF('Données projet'!$A$36&gt;35,N46+M47-V46,IF(A47&lt;'Données projet'!$A$36,$K$205^A47,IF(A47='Données projet'!$A$36,'Données projet'!$B$36,N46+M47-V46)))</f>
        <v>230</v>
      </c>
      <c r="O47" s="14">
        <f>N47*VLOOKUP('Données projet'!$B$9,Paramètres!$A$1:$I$88,3,0)*VLOOKUP('Données projet'!$B$9,Paramètres!$A$1:$I$88,5,0)</f>
        <v>107.64</v>
      </c>
      <c r="P47" s="14">
        <f t="shared" si="33"/>
        <v>28.774250263353583</v>
      </c>
      <c r="Q47" s="22">
        <f t="shared" si="53"/>
        <v>237.58815254200749</v>
      </c>
      <c r="R47" s="62">
        <f t="shared" si="0"/>
        <v>530.92148587534075</v>
      </c>
      <c r="S47" s="62">
        <f ca="1">AVERAGE(OFFSET($R$3,0,0,'Données projet'!$E$9+1,1))-AVERAGE(OFFSET($H$3,0,0,'Données projet'!$E$9+1,1))</f>
        <v>82.229723373996478</v>
      </c>
      <c r="T47" s="62">
        <f t="shared" si="34"/>
        <v>115.86489547584461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2.523617079104933</v>
      </c>
      <c r="AA47" s="23">
        <f>EXP(-LN(2)/25)*AA46+(1-EXP(-LN(2)/25))/(LN(2)/25)*Calculateur!V47*Calculateur!X47*VLOOKUP('Données projet'!$B$9,Paramètres!$A$1:$I$88,3,0)*0.475*44/12</f>
        <v>10.622694891438005</v>
      </c>
      <c r="AB47" s="23">
        <f>EXP(-LN(2)/2)*AB46+(1-EXP(-LN(2)/2))/(LN(2)/2)*V47*Y47*VLOOKUP('Données projet'!$B$9,Paramètres!$A$1:$I$88,3,0)*0.475*44/12</f>
        <v>1.9380533459990272</v>
      </c>
      <c r="AC47" s="24">
        <f t="shared" si="3"/>
        <v>15.084365316541966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projet'!$B$10,Paramètres!$A$1:$I$88,3,0)*VLOOKUP('Données projet'!$B$10,Paramètres!$A$1:$I$88,5,0)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262.78347246606825</v>
      </c>
      <c r="AO47" s="62">
        <f t="shared" si="36"/>
        <v>448.84541017639367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20.628682460491991</v>
      </c>
      <c r="AV47" s="23">
        <f>EXP(-LN(2)/25)*AV46+(1-EXP(-LN(2)/25))/(LN(2)/25)*Calculateur!AQ47*Calculateur!AS47*VLOOKUP('Données projet'!$B$10,Paramètres!$A$1:$I$88,3,0)*0.475*44/12</f>
        <v>31.478818915871276</v>
      </c>
      <c r="AW47" s="23">
        <f>EXP(-LN(2)/2)*AW46+(1-EXP(-LN(2)/2))/(LN(2)/2)*AQ47*AT47*VLOOKUP('Données projet'!$B$10,Paramètres!$A$1:$I$88,3,0)*0.475*44/12</f>
        <v>3.2390544344974219</v>
      </c>
      <c r="AX47" s="23">
        <f t="shared" si="6"/>
        <v>55.346555810860686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</v>
      </c>
      <c r="BD47" s="13">
        <f>IF('Données projet'!$A$88&gt;35,BD46+BC47-BL46,IF(A47&lt;'Données projet'!$A$88,$BA$205^A47,IF(A47='Données projet'!$A$88,'Données projet'!$B$88,BD46+BC47-BL46)))</f>
        <v>204</v>
      </c>
      <c r="BE47" s="14">
        <f>BD47*VLOOKUP('Données projet'!$B$11,Paramètres!$A$1:$I$88,3,0)*VLOOKUP('Données projet'!$B$11,Paramètres!$A$1:$I$88,5,0)</f>
        <v>127.29600000000001</v>
      </c>
      <c r="BF47" s="14">
        <f t="shared" si="37"/>
        <v>33.370782027774453</v>
      </c>
      <c r="BG47" s="22">
        <f t="shared" si="7"/>
        <v>279.82797869837384</v>
      </c>
      <c r="BH47" s="62">
        <f t="shared" si="8"/>
        <v>573.16131203170721</v>
      </c>
      <c r="BI47" s="62">
        <f ca="1">AVERAGE(OFFSET($BH$3,0,0,'Données projet'!$E$11+1,1))-AVERAGE(OFFSET($H$3,0,0,'Données projet'!$E$11+1,1))</f>
        <v>135.14998708332445</v>
      </c>
      <c r="BJ47" s="62">
        <f t="shared" si="38"/>
        <v>245.50083454484513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21.24845247190418</v>
      </c>
      <c r="BQ47" s="23">
        <f>EXP(-LN(2)/25)*BQ46+(1-EXP(-LN(2)/25))/(LN(2)/25)*Calculateur!BL47*Calculateur!BN47*VLOOKUP('Données projet'!$B$11,Paramètres!$A$1:$I$88,3,0)*0.475*44/12</f>
        <v>40.863038401374617</v>
      </c>
      <c r="BR47" s="23">
        <f>EXP(-LN(2)/2)*BR46+(1-EXP(-LN(2)/2))/(LN(2)/2)*BL47*BO47*VLOOKUP('Données projet'!$B$11,Paramètres!$A$1:$I$88,3,0)*0.475*44/12</f>
        <v>6.3117553524184729</v>
      </c>
      <c r="BS47" s="24">
        <f t="shared" si="9"/>
        <v>68.42324622569727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21.4</v>
      </c>
      <c r="BY47" s="13">
        <f>IF('Données projet'!$A$114&gt;35,BY46+BX47-CG46,IF(A47&lt;'Données projet'!$A$114,$BV$205^A47,IF(A47='Données projet'!$A$114,'Données projet'!$B$114,BY46+BX47-CG46)))</f>
        <v>296.60000000000002</v>
      </c>
      <c r="BZ47" s="14">
        <f>BY47*VLOOKUP('Données projet'!$B$12,Paramètres!$A$1:$I$88,3,0)*VLOOKUP('Données projet'!$B$12,Paramètres!$A$1:$I$88,5,0)</f>
        <v>177.36680000000001</v>
      </c>
      <c r="CA47" s="14">
        <f t="shared" si="39"/>
        <v>44.735846160189553</v>
      </c>
      <c r="CB47" s="22">
        <f t="shared" si="10"/>
        <v>386.82877539566351</v>
      </c>
      <c r="CC47" s="62">
        <f t="shared" si="11"/>
        <v>680.16210872899683</v>
      </c>
      <c r="CD47" s="62">
        <f ca="1">AVERAGE(OFFSET($CC$3,0,0,'Données projet'!$E$12+1,1))-AVERAGE(OFFSET($H$3,0,0,'Données projet'!$E$12+1,1))</f>
        <v>168.16583766359378</v>
      </c>
      <c r="CE47" s="62">
        <f t="shared" si="40"/>
        <v>194.52809733694494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8.9176773479896276</v>
      </c>
      <c r="CL47" s="23">
        <f>EXP(-LN(2)/25)*CL46+(1-EXP(-LN(2)/25))/(LN(2)/25)*Calculateur!CG47*Calculateur!CI47*VLOOKUP('Données projet'!$B$12,Paramètres!$A$1:$I$88,3,0)*0.475*44/12</f>
        <v>11.06463821879891</v>
      </c>
      <c r="CM47" s="23">
        <f>EXP(-LN(2)/2)*CM46+(1-EXP(-LN(2)/2))/(LN(2)/2)*CG47*CJ47*VLOOKUP('Données projet'!$B$12,Paramètres!$A$1:$I$88,3,0)*0.475*44/12</f>
        <v>3.1410074182873644</v>
      </c>
      <c r="CN47" s="24">
        <f t="shared" si="12"/>
        <v>23.123322985075902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6.4</v>
      </c>
      <c r="CT47" s="13">
        <f>IF('Données projet'!$A$140&gt;35,CT46+CS47-DB46,IF(A47&lt;'Données projet'!$A$140,$CQ$205^A47,IF(A47='Données projet'!$A$140,'Données projet'!$B$140,CT46+CS47-DB46)))</f>
        <v>155.60000000000002</v>
      </c>
      <c r="CU47" s="18">
        <f>CT47*VLOOKUP('Données projet'!$B$13,Paramètres!$A$1:$I$88,3,0)*VLOOKUP('Données projet'!$B$13,Paramètres!$A$1:$I$88,5,0)</f>
        <v>135.93216000000004</v>
      </c>
      <c r="CV47" s="14">
        <f t="shared" si="41"/>
        <v>35.36352729450968</v>
      </c>
      <c r="CW47" s="22">
        <f t="shared" si="13"/>
        <v>298.33998870460442</v>
      </c>
      <c r="CX47" s="62">
        <f t="shared" si="14"/>
        <v>591.67332203793774</v>
      </c>
      <c r="CY47" s="62">
        <f ca="1">AVERAGE(OFFSET($CX$3,0,0,'Données projet'!$E$13+1,1))-AVERAGE(OFFSET($H$3,0,0,'Données projet'!$E$13+1,1))</f>
        <v>146.09202487550647</v>
      </c>
      <c r="CZ47" s="62">
        <f t="shared" si="42"/>
        <v>168.58814676269344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3.6917347946459249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3.6917347946459249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10.4</v>
      </c>
      <c r="DO47" s="13">
        <f>IF('Données projet'!$A$166&gt;35,DO46+DN47-DW46,IF(A47&lt;'Données projet'!$A$166,$DL$205^A47,IF(A47='Données projet'!$A$166,'Données projet'!$B$166,DO46+DN47-DW46)))</f>
        <v>163.60000000000002</v>
      </c>
      <c r="DP47" s="18">
        <f>DO47*VLOOKUP('Données projet'!$B$14,Paramètres!$A$1:$I$88,3,0)*VLOOKUP('Données projet'!$B$14,Paramètres!$A$1:$I$88,5,0)</f>
        <v>119.95152000000002</v>
      </c>
      <c r="DQ47" s="14">
        <f t="shared" si="43"/>
        <v>31.663691864351986</v>
      </c>
      <c r="DR47" s="22">
        <f t="shared" si="16"/>
        <v>264.06316066374637</v>
      </c>
      <c r="DS47" s="62">
        <f t="shared" si="17"/>
        <v>557.39649399707969</v>
      </c>
      <c r="DT47" s="62">
        <f ca="1">AVERAGE(OFFSET($DS$3,0,0,'Données projet'!$E$14+1,1))-AVERAGE(OFFSET($H$3,0,0,'Données projet'!$E$14+1,1))</f>
        <v>116.35584360635318</v>
      </c>
      <c r="DU47" s="62">
        <f t="shared" si="44"/>
        <v>86.38226293640173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3.1446038232745805</v>
      </c>
      <c r="EB47" s="23">
        <f>EXP(-LN(2)/25)*EB46+(1-EXP(-LN(2)/25))/(LN(2)/25)*Calculateur!DW47*Calculateur!DY47*VLOOKUP('Données projet'!$B$14,Paramètres!$A$1:$I$88,3,0)*0.475*44/12</f>
        <v>0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3.1446038232745805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</v>
      </c>
      <c r="N48" s="14">
        <f>IF('Données projet'!$A$36&gt;35,N47+M48-V47,IF(A48&lt;'Données projet'!$A$36,$K$205^A48,IF(A48='Données projet'!$A$36,'Données projet'!$B$36,N47+M48-V47)))</f>
        <v>240</v>
      </c>
      <c r="O48" s="14">
        <f>N48*VLOOKUP('Données projet'!$B$9,Paramètres!$A$1:$I$88,3,0)*VLOOKUP('Données projet'!$B$9,Paramètres!$A$1:$I$88,5,0)</f>
        <v>112.32</v>
      </c>
      <c r="P48" s="14">
        <f t="shared" si="33"/>
        <v>29.87692891707237</v>
      </c>
      <c r="Q48" s="22">
        <f t="shared" si="53"/>
        <v>247.65965119723435</v>
      </c>
      <c r="R48" s="62">
        <f t="shared" si="0"/>
        <v>540.9929845305677</v>
      </c>
      <c r="S48" s="62">
        <f ca="1">AVERAGE(OFFSET($R$3,0,0,'Données projet'!$E$9+1,1))-AVERAGE(OFFSET($H$3,0,0,'Données projet'!$E$9+1,1))</f>
        <v>82.229723373996478</v>
      </c>
      <c r="T48" s="62">
        <f t="shared" si="34"/>
        <v>115.86489547584461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2.4741304874381149</v>
      </c>
      <c r="AA48" s="23">
        <f>EXP(-LN(2)/25)*AA47+(1-EXP(-LN(2)/25))/(LN(2)/25)*Calculateur!V48*Calculateur!X48*VLOOKUP('Données projet'!$B$9,Paramètres!$A$1:$I$88,3,0)*0.475*44/12</f>
        <v>10.332216741008388</v>
      </c>
      <c r="AB48" s="23">
        <f>EXP(-LN(2)/2)*AB47+(1-EXP(-LN(2)/2))/(LN(2)/2)*V48*Y48*VLOOKUP('Données projet'!$B$9,Paramètres!$A$1:$I$88,3,0)*0.475*44/12</f>
        <v>1.3704106632571906</v>
      </c>
      <c r="AC48" s="24">
        <f t="shared" si="3"/>
        <v>14.176757891703694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projet'!$B$10,Paramètres!$A$1:$I$88,3,0)*VLOOKUP('Données projet'!$B$10,Paramètres!$A$1:$I$88,5,0)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262.78347246606825</v>
      </c>
      <c r="AO48" s="62">
        <f t="shared" si="36"/>
        <v>448.84541017639367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606</v>
      </c>
      <c r="AR48" s="17">
        <f>IF(ISNA(VLOOKUP(A48,'Données projet'!$A$61:$I$81,5,0)),0%,VLOOKUP(A48,'Données projet'!$A$61:$I$81,5,0)*VLOOKUP('Données projet'!$B$10,Paramètres!$A$1:$I$88,7,0))</f>
        <v>0.44000000000000006</v>
      </c>
      <c r="AS48" s="17">
        <f>IF(ISNA(VLOOKUP(A48,'Données projet'!$A$61:$I$81,6,0)),0%,VLOOKUP(A48,'Données projet'!$A$61:$I$81,6,0)*VLOOKUP('Données projet'!$B$10,Paramètres!$A$1:$I$88,7,0))</f>
        <v>6.0500000000000005E-2</v>
      </c>
      <c r="AT48" s="17">
        <f>IF(ISNA(VLOOKUP(A48,'Données projet'!$A$61:$I$81,7,0)),0%,VLOOKUP(A48,'Données projet'!$A$61:$I$81,7,0))</f>
        <v>0.09</v>
      </c>
      <c r="AU48" s="23">
        <f>EXP(-LN(2)/35)*AU47+(1-EXP(-LN(2)/35))/(LN(2)/35)*AQ48*AR48*VLOOKUP('Données projet'!$B$10,Paramètres!$A$1:$I$88,3,0)*0.475*44/12</f>
        <v>217.95093341640074</v>
      </c>
      <c r="AV48" s="23">
        <f>EXP(-LN(2)/25)*AV47+(1-EXP(-LN(2)/25))/(LN(2)/25)*Calculateur!AQ48*Calculateur!AS48*VLOOKUP('Données projet'!$B$10,Paramètres!$A$1:$I$88,3,0)*0.475*44/12</f>
        <v>57.69841212439897</v>
      </c>
      <c r="AW48" s="23">
        <f>EXP(-LN(2)/2)*AW47+(1-EXP(-LN(2)/2))/(LN(2)/2)*AQ48*AT48*VLOOKUP('Données projet'!$B$10,Paramètres!$A$1:$I$88,3,0)*0.475*44/12</f>
        <v>36.809697129730715</v>
      </c>
      <c r="AX48" s="23">
        <f t="shared" si="6"/>
        <v>312.45904267053038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8</v>
      </c>
      <c r="BD48" s="13">
        <f>IF('Données projet'!$A$88&gt;35,BD47+BC48-BL47,IF(A48&lt;'Données projet'!$A$88,$BA$205^A48,IF(A48='Données projet'!$A$88,'Données projet'!$B$88,BD47+BC48-BL47)))</f>
        <v>212</v>
      </c>
      <c r="BE48" s="14">
        <f>BD48*VLOOKUP('Données projet'!$B$11,Paramètres!$A$1:$I$88,3,0)*VLOOKUP('Données projet'!$B$11,Paramètres!$A$1:$I$88,5,0)</f>
        <v>132.28799999999998</v>
      </c>
      <c r="BF48" s="14">
        <f t="shared" si="37"/>
        <v>34.524510921880655</v>
      </c>
      <c r="BG48" s="22">
        <f t="shared" si="7"/>
        <v>290.53178985560879</v>
      </c>
      <c r="BH48" s="62">
        <f t="shared" si="8"/>
        <v>583.86512318894211</v>
      </c>
      <c r="BI48" s="62">
        <f ca="1">AVERAGE(OFFSET($BH$3,0,0,'Données projet'!$E$11+1,1))-AVERAGE(OFFSET($H$3,0,0,'Données projet'!$E$11+1,1))</f>
        <v>135.14998708332445</v>
      </c>
      <c r="BJ48" s="62">
        <f t="shared" si="38"/>
        <v>245.50083454484513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20.831783279206427</v>
      </c>
      <c r="BQ48" s="23">
        <f>EXP(-LN(2)/25)*BQ47+(1-EXP(-LN(2)/25))/(LN(2)/25)*Calculateur!BL48*Calculateur!BN48*VLOOKUP('Données projet'!$B$11,Paramètres!$A$1:$I$88,3,0)*0.475*44/12</f>
        <v>39.745636467395229</v>
      </c>
      <c r="BR48" s="23">
        <f>EXP(-LN(2)/2)*BR47+(1-EXP(-LN(2)/2))/(LN(2)/2)*BL48*BO48*VLOOKUP('Données projet'!$B$11,Paramètres!$A$1:$I$88,3,0)*0.475*44/12</f>
        <v>4.4630850108855897</v>
      </c>
      <c r="BS48" s="24">
        <f t="shared" si="9"/>
        <v>65.040504757487241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318</v>
      </c>
      <c r="BW48" s="13">
        <f>VLOOKUP(A48,'Données projet'!$A$113:$I$133,9,0)</f>
        <v>21.4</v>
      </c>
      <c r="BX48" s="13">
        <f t="array" ref="BX48">INDEX(BW:BW,MIN(IF(ISNUMBER(BW48:BW244),ROW(BW48:BW244),"")))</f>
        <v>21.4</v>
      </c>
      <c r="BY48" s="13">
        <f>IF('Données projet'!$A$114&gt;35,BY47+BX48-CG47,IF(A48&lt;'Données projet'!$A$114,$BV$205^A48,IF(A48='Données projet'!$A$114,'Données projet'!$B$114,BY47+BX48-CG47)))</f>
        <v>318</v>
      </c>
      <c r="BZ48" s="14">
        <f>BY48*VLOOKUP('Données projet'!$B$12,Paramètres!$A$1:$I$88,3,0)*VLOOKUP('Données projet'!$B$12,Paramètres!$A$1:$I$88,5,0)</f>
        <v>190.16400000000002</v>
      </c>
      <c r="CA48" s="14">
        <f t="shared" si="39"/>
        <v>47.576209101852911</v>
      </c>
      <c r="CB48" s="22">
        <f t="shared" si="10"/>
        <v>414.06419751906054</v>
      </c>
      <c r="CC48" s="62">
        <f t="shared" si="11"/>
        <v>707.39753085239386</v>
      </c>
      <c r="CD48" s="62">
        <f ca="1">AVERAGE(OFFSET($CC$3,0,0,'Données projet'!$E$12+1,1))-AVERAGE(OFFSET($H$3,0,0,'Données projet'!$E$12+1,1))</f>
        <v>168.16583766359378</v>
      </c>
      <c r="CE48" s="62">
        <f t="shared" si="40"/>
        <v>194.52809733694494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53</v>
      </c>
      <c r="CH48" s="17">
        <f>IF(ISNA(VLOOKUP(A48,'Données projet'!$A$113:$I$133,5,0)),0%,VLOOKUP(A48,'Données projet'!$A$113:$I$133,5,0)*VLOOKUP('Données projet'!$B$12,Paramètres!$A$1:$I$88,7,0))</f>
        <v>0.22500000000000001</v>
      </c>
      <c r="CI48" s="17">
        <f>IF(ISNA(VLOOKUP(A48,'Données projet'!$A$113:$I$133,6,0)),0%,VLOOKUP(A48,'Données projet'!$A$113:$I$133,6,0)*VLOOKUP('Données projet'!$B$12,Paramètres!$A$1:$I$88,7,0))</f>
        <v>0.12600000000000003</v>
      </c>
      <c r="CJ48" s="17">
        <f>IF(ISNA(VLOOKUP(A48,'Données projet'!$A$113:$I$133,7,0)),0%,VLOOKUP(A48,'Données projet'!$A$113:$I$133,7,0))</f>
        <v>0.22</v>
      </c>
      <c r="CK48" s="23">
        <f>EXP(-LN(2)/35)*CK47+(1-EXP(-LN(2)/35))/(LN(2)/35)*CG48*CH48*VLOOKUP('Données projet'!$B$12,Paramètres!$A$1:$I$88,3,0)*0.475*44/12</f>
        <v>18.202737250849331</v>
      </c>
      <c r="CL48" s="23">
        <f>EXP(-LN(2)/25)*CL47+(1-EXP(-LN(2)/25))/(LN(2)/25)*Calculateur!CG48*Calculateur!CI48*VLOOKUP('Données projet'!$B$12,Paramètres!$A$1:$I$88,3,0)*0.475*44/12</f>
        <v>16.03877745437493</v>
      </c>
      <c r="CM48" s="23">
        <f>EXP(-LN(2)/2)*CM47+(1-EXP(-LN(2)/2))/(LN(2)/2)*CG48*CJ48*VLOOKUP('Données projet'!$B$12,Paramètres!$A$1:$I$88,3,0)*0.475*44/12</f>
        <v>10.115721141545084</v>
      </c>
      <c r="CN48" s="24">
        <f t="shared" si="12"/>
        <v>44.357235846769342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162</v>
      </c>
      <c r="CR48" s="13">
        <f>VLOOKUP(A48,'Données projet'!$A$139:$I$159,9,0)</f>
        <v>6.4</v>
      </c>
      <c r="CS48" s="13">
        <f t="array" ref="CS48">INDEX(CR:CR,MIN(IF(ISNUMBER(CR48:CR244),ROW(CR48:CR244),"")))</f>
        <v>6.4</v>
      </c>
      <c r="CT48" s="13">
        <f>IF('Données projet'!$A$140&gt;35,CT47+CS48-DB47,IF(A48&lt;'Données projet'!$A$140,$CQ$205^A48,IF(A48='Données projet'!$A$140,'Données projet'!$B$140,CT47+CS48-DB47)))</f>
        <v>162.00000000000003</v>
      </c>
      <c r="CU48" s="18">
        <f>CT48*VLOOKUP('Données projet'!$B$13,Paramètres!$A$1:$I$88,3,0)*VLOOKUP('Données projet'!$B$13,Paramètres!$A$1:$I$88,5,0)</f>
        <v>141.52320000000006</v>
      </c>
      <c r="CV48" s="14">
        <f t="shared" si="41"/>
        <v>36.645729158274158</v>
      </c>
      <c r="CW48" s="22">
        <f t="shared" si="13"/>
        <v>310.31088495066086</v>
      </c>
      <c r="CX48" s="62">
        <f t="shared" si="14"/>
        <v>603.64421828399418</v>
      </c>
      <c r="CY48" s="62">
        <f ca="1">AVERAGE(OFFSET($CX$3,0,0,'Données projet'!$E$13+1,1))-AVERAGE(OFFSET($H$3,0,0,'Données projet'!$E$13+1,1))</f>
        <v>146.09202487550647</v>
      </c>
      <c r="CZ48" s="62">
        <f t="shared" si="42"/>
        <v>168.58814676269344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19</v>
      </c>
      <c r="DC48" s="17">
        <f>IF(ISNA(VLOOKUP(A48,'Données projet'!$A$139:$I$159,5,0)),0%,VLOOKUP(A48,'Données projet'!$A$139:$I$159,5,0)*VLOOKUP('Données projet'!$B$13,Paramètres!$A$1:$I$88,7,0))</f>
        <v>0.17200000000000001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6.7753769292528343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6.7753769292528343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174</v>
      </c>
      <c r="DM48" s="13">
        <f>VLOOKUP(A48,'Données projet'!$A$165:$I$185,9,0)</f>
        <v>10.4</v>
      </c>
      <c r="DN48" s="13">
        <f t="array" ref="DN48">INDEX(DM:DM,MIN(IF(ISNUMBER(DM48:DM244),ROW(DM48:DM244),"")))</f>
        <v>10.4</v>
      </c>
      <c r="DO48" s="13">
        <f>IF('Données projet'!$A$166&gt;35,DO47+DN48-DW47,IF(A48&lt;'Données projet'!$A$166,$DL$205^A48,IF(A48='Données projet'!$A$166,'Données projet'!$B$166,DO47+DN48-DW47)))</f>
        <v>174.00000000000003</v>
      </c>
      <c r="DP48" s="18">
        <f>DO48*VLOOKUP('Données projet'!$B$14,Paramètres!$A$1:$I$88,3,0)*VLOOKUP('Données projet'!$B$14,Paramètres!$A$1:$I$88,5,0)</f>
        <v>127.57680000000003</v>
      </c>
      <c r="DQ48" s="14">
        <f t="shared" si="43"/>
        <v>33.435817264319823</v>
      </c>
      <c r="DR48" s="22">
        <f t="shared" si="16"/>
        <v>280.43030840202374</v>
      </c>
      <c r="DS48" s="62">
        <f t="shared" si="17"/>
        <v>573.76364173535706</v>
      </c>
      <c r="DT48" s="62">
        <f ca="1">AVERAGE(OFFSET($DS$3,0,0,'Données projet'!$E$14+1,1))-AVERAGE(OFFSET($H$3,0,0,'Données projet'!$E$14+1,1))</f>
        <v>116.35584360635318</v>
      </c>
      <c r="DU48" s="62">
        <f t="shared" si="44"/>
        <v>86.38226293640173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31</v>
      </c>
      <c r="DX48" s="17">
        <f>IF(ISNA(VLOOKUP(A48,'Données projet'!$A$165:$I$185,5,0)),0%,VLOOKUP(A48,'Données projet'!$A$165:$I$185,5,0)*VLOOKUP('Données projet'!$B$14,Paramètres!$A$1:$I$88,7,0))</f>
        <v>0.129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6.3242530585310721</v>
      </c>
      <c r="EB48" s="23">
        <f>EXP(-LN(2)/25)*EB47+(1-EXP(-LN(2)/25))/(LN(2)/25)*Calculateur!DW48*Calculateur!DY48*VLOOKUP('Données projet'!$B$14,Paramètres!$A$1:$I$88,3,0)*0.475*44/12</f>
        <v>0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6.3242530585310721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</v>
      </c>
      <c r="N49" s="14">
        <f>IF('Données projet'!$A$36&gt;35,N48+M49-V48,IF(A49&lt;'Données projet'!$A$36,$K$205^A49,IF(A49='Données projet'!$A$36,'Données projet'!$B$36,N48+M49-V48)))</f>
        <v>250</v>
      </c>
      <c r="O49" s="14">
        <f>N49*VLOOKUP('Données projet'!$B$9,Paramètres!$A$1:$I$88,3,0)*VLOOKUP('Données projet'!$B$9,Paramètres!$A$1:$I$88,5,0)</f>
        <v>117</v>
      </c>
      <c r="P49" s="14">
        <f t="shared" si="33"/>
        <v>30.974270896484146</v>
      </c>
      <c r="Q49" s="22">
        <f t="shared" si="53"/>
        <v>257.72185514470988</v>
      </c>
      <c r="R49" s="62">
        <f t="shared" si="0"/>
        <v>551.05518847804319</v>
      </c>
      <c r="S49" s="62">
        <f ca="1">AVERAGE(OFFSET($R$3,0,0,'Données projet'!$E$9+1,1))-AVERAGE(OFFSET($H$3,0,0,'Données projet'!$E$9+1,1))</f>
        <v>82.229723373996478</v>
      </c>
      <c r="T49" s="62">
        <f t="shared" si="34"/>
        <v>115.86489547584461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2.4256142976500423</v>
      </c>
      <c r="AA49" s="23">
        <f>EXP(-LN(2)/25)*AA48+(1-EXP(-LN(2)/25))/(LN(2)/25)*Calculateur!V49*Calculateur!X49*VLOOKUP('Données projet'!$B$9,Paramètres!$A$1:$I$88,3,0)*0.475*44/12</f>
        <v>10.04968173087785</v>
      </c>
      <c r="AB49" s="23">
        <f>EXP(-LN(2)/2)*AB48+(1-EXP(-LN(2)/2))/(LN(2)/2)*V49*Y49*VLOOKUP('Données projet'!$B$9,Paramètres!$A$1:$I$88,3,0)*0.475*44/12</f>
        <v>0.96902667299951384</v>
      </c>
      <c r="AC49" s="24">
        <f t="shared" si="3"/>
        <v>13.444322701527406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projet'!$B$10,Paramètres!$A$1:$I$88,3,0)*VLOOKUP('Données projet'!$B$10,Paramètres!$A$1:$I$88,5,0)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262.78347246606825</v>
      </c>
      <c r="AO49" s="62">
        <f t="shared" si="36"/>
        <v>448.84541017639367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213.67704854904807</v>
      </c>
      <c r="AV49" s="23">
        <f>EXP(-LN(2)/25)*AV48+(1-EXP(-LN(2)/25))/(LN(2)/25)*Calculateur!AQ49*Calculateur!AS49*VLOOKUP('Données projet'!$B$10,Paramètres!$A$1:$I$88,3,0)*0.475*44/12</f>
        <v>56.120646010629656</v>
      </c>
      <c r="AW49" s="23">
        <f>EXP(-LN(2)/2)*AW48+(1-EXP(-LN(2)/2))/(LN(2)/2)*AQ49*AT49*VLOOKUP('Données projet'!$B$10,Paramètres!$A$1:$I$88,3,0)*0.475*44/12</f>
        <v>26.028386453855585</v>
      </c>
      <c r="AX49" s="23">
        <f t="shared" si="6"/>
        <v>295.82608101353333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</v>
      </c>
      <c r="BD49" s="13">
        <f>IF('Données projet'!$A$88&gt;35,BD48+BC49-BL48,IF(A49&lt;'Données projet'!$A$88,$BA$205^A49,IF(A49='Données projet'!$A$88,'Données projet'!$B$88,BD48+BC49-BL48)))</f>
        <v>220</v>
      </c>
      <c r="BE49" s="14">
        <f>BD49*VLOOKUP('Données projet'!$B$11,Paramètres!$A$1:$I$88,3,0)*VLOOKUP('Données projet'!$B$11,Paramètres!$A$1:$I$88,5,0)</f>
        <v>137.28</v>
      </c>
      <c r="BF49" s="14">
        <f t="shared" si="37"/>
        <v>35.673181961873446</v>
      </c>
      <c r="BG49" s="22">
        <f t="shared" si="7"/>
        <v>301.22679191692959</v>
      </c>
      <c r="BH49" s="62">
        <f t="shared" si="8"/>
        <v>594.5601252502629</v>
      </c>
      <c r="BI49" s="62">
        <f ca="1">AVERAGE(OFFSET($BH$3,0,0,'Données projet'!$E$11+1,1))-AVERAGE(OFFSET($H$3,0,0,'Données projet'!$E$11+1,1))</f>
        <v>135.14998708332445</v>
      </c>
      <c r="BJ49" s="62">
        <f t="shared" si="38"/>
        <v>245.50083454484513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20.423284715234363</v>
      </c>
      <c r="BQ49" s="23">
        <f>EXP(-LN(2)/25)*BQ48+(1-EXP(-LN(2)/25))/(LN(2)/25)*Calculateur!BL49*Calculateur!BN49*VLOOKUP('Données projet'!$B$11,Paramètres!$A$1:$I$88,3,0)*0.475*44/12</f>
        <v>38.658789948062122</v>
      </c>
      <c r="BR49" s="23">
        <f>EXP(-LN(2)/2)*BR48+(1-EXP(-LN(2)/2))/(LN(2)/2)*BL49*BO49*VLOOKUP('Données projet'!$B$11,Paramètres!$A$1:$I$88,3,0)*0.475*44/12</f>
        <v>3.1558776762092369</v>
      </c>
      <c r="BS49" s="24">
        <f t="shared" si="9"/>
        <v>62.237952339505718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282.39999999999998</v>
      </c>
      <c r="BZ49" s="14">
        <f>BY49*VLOOKUP('Données projet'!$B$12,Paramètres!$A$1:$I$88,3,0)*VLOOKUP('Données projet'!$B$12,Paramètres!$A$1:$I$88,5,0)</f>
        <v>168.87520000000001</v>
      </c>
      <c r="CA49" s="14">
        <f t="shared" si="39"/>
        <v>42.83800855467392</v>
      </c>
      <c r="CB49" s="22">
        <f t="shared" si="10"/>
        <v>368.73383823272383</v>
      </c>
      <c r="CC49" s="62">
        <f t="shared" si="11"/>
        <v>662.06717156605714</v>
      </c>
      <c r="CD49" s="62">
        <f ca="1">AVERAGE(OFFSET($CC$3,0,0,'Données projet'!$E$12+1,1))-AVERAGE(OFFSET($H$3,0,0,'Données projet'!$E$12+1,1))</f>
        <v>168.16583766359378</v>
      </c>
      <c r="CE49" s="62">
        <f t="shared" si="40"/>
        <v>194.52809733694494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17.845792675933613</v>
      </c>
      <c r="CL49" s="23">
        <f>EXP(-LN(2)/25)*CL48+(1-EXP(-LN(2)/25))/(LN(2)/25)*Calculateur!CG49*Calculateur!CI49*VLOOKUP('Données projet'!$B$12,Paramètres!$A$1:$I$88,3,0)*0.475*44/12</f>
        <v>15.600196241442399</v>
      </c>
      <c r="CM49" s="23">
        <f>EXP(-LN(2)/2)*CM48+(1-EXP(-LN(2)/2))/(LN(2)/2)*CG49*CJ49*VLOOKUP('Données projet'!$B$12,Paramètres!$A$1:$I$88,3,0)*0.475*44/12</f>
        <v>7.1528950157786531</v>
      </c>
      <c r="CN49" s="24">
        <f t="shared" si="12"/>
        <v>40.598883933154667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</v>
      </c>
      <c r="CT49" s="13">
        <f>IF('Données projet'!$A$140&gt;35,CT48+CS49-DB48,IF(A49&lt;'Données projet'!$A$140,$CQ$205^A49,IF(A49='Données projet'!$A$140,'Données projet'!$B$140,CT48+CS49-DB48)))</f>
        <v>149.00000000000003</v>
      </c>
      <c r="CU49" s="18">
        <f>CT49*VLOOKUP('Données projet'!$B$13,Paramètres!$A$1:$I$88,3,0)*VLOOKUP('Données projet'!$B$13,Paramètres!$A$1:$I$88,5,0)</f>
        <v>130.16640000000004</v>
      </c>
      <c r="CV49" s="14">
        <f t="shared" si="41"/>
        <v>34.034806623706302</v>
      </c>
      <c r="CW49" s="22">
        <f t="shared" si="13"/>
        <v>285.98376820295522</v>
      </c>
      <c r="CX49" s="62">
        <f t="shared" si="14"/>
        <v>579.31710153628853</v>
      </c>
      <c r="CY49" s="62">
        <f ca="1">AVERAGE(OFFSET($CX$3,0,0,'Données projet'!$E$13+1,1))-AVERAGE(OFFSET($H$3,0,0,'Données projet'!$E$13+1,1))</f>
        <v>146.09202487550647</v>
      </c>
      <c r="CZ49" s="62">
        <f t="shared" si="42"/>
        <v>168.58814676269344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6.6425159202420554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6.6425159202420554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10.8</v>
      </c>
      <c r="DO49" s="13">
        <f>IF('Données projet'!$A$166&gt;35,DO48+DN49-DW48,IF(A49&lt;'Données projet'!$A$166,$DL$205^A49,IF(A49='Données projet'!$A$166,'Données projet'!$B$166,DO48+DN49-DW48)))</f>
        <v>153.80000000000004</v>
      </c>
      <c r="DP49" s="18">
        <f>DO49*VLOOKUP('Données projet'!$B$14,Paramètres!$A$1:$I$88,3,0)*VLOOKUP('Données projet'!$B$14,Paramètres!$A$1:$I$88,5,0)</f>
        <v>112.76616000000003</v>
      </c>
      <c r="DQ49" s="14">
        <f t="shared" si="43"/>
        <v>29.981768415034431</v>
      </c>
      <c r="DR49" s="22">
        <f t="shared" si="16"/>
        <v>248.61930865618501</v>
      </c>
      <c r="DS49" s="62">
        <f t="shared" si="17"/>
        <v>541.95264198951827</v>
      </c>
      <c r="DT49" s="62">
        <f ca="1">AVERAGE(OFFSET($DS$3,0,0,'Données projet'!$E$14+1,1))-AVERAGE(OFFSET($H$3,0,0,'Données projet'!$E$14+1,1))</f>
        <v>116.35584360635318</v>
      </c>
      <c r="DU49" s="62">
        <f t="shared" si="44"/>
        <v>86.38226293640173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6.2002383134667554</v>
      </c>
      <c r="EB49" s="23">
        <f>EXP(-LN(2)/25)*EB48+(1-EXP(-LN(2)/25))/(LN(2)/25)*Calculateur!DW49*Calculateur!DY49*VLOOKUP('Données projet'!$B$14,Paramètres!$A$1:$I$88,3,0)*0.475*44/12</f>
        <v>0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6.2002383134667554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</v>
      </c>
      <c r="N50" s="14">
        <f>IF('Données projet'!$A$36&gt;35,N49+M50-V49,IF(A50&lt;'Données projet'!$A$36,$K$205^A50,IF(A50='Données projet'!$A$36,'Données projet'!$B$36,N49+M50-V49)))</f>
        <v>260</v>
      </c>
      <c r="O50" s="14">
        <f>N50*VLOOKUP('Données projet'!$B$9,Paramètres!$A$1:$I$88,3,0)*VLOOKUP('Données projet'!$B$9,Paramètres!$A$1:$I$88,5,0)</f>
        <v>121.67999999999999</v>
      </c>
      <c r="P50" s="14">
        <f t="shared" si="33"/>
        <v>32.066514091456256</v>
      </c>
      <c r="Q50" s="22">
        <f t="shared" si="53"/>
        <v>267.77517870928631</v>
      </c>
      <c r="R50" s="62">
        <f t="shared" si="0"/>
        <v>561.10851204261962</v>
      </c>
      <c r="S50" s="62">
        <f ca="1">AVERAGE(OFFSET($R$3,0,0,'Données projet'!$E$9+1,1))-AVERAGE(OFFSET($H$3,0,0,'Données projet'!$E$9+1,1))</f>
        <v>82.229723373996478</v>
      </c>
      <c r="T50" s="62">
        <f t="shared" si="34"/>
        <v>115.86489547584461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2.37804948075176</v>
      </c>
      <c r="AA50" s="23">
        <f>EXP(-LN(2)/25)*AA49+(1-EXP(-LN(2)/25))/(LN(2)/25)*Calculateur!V50*Calculateur!X50*VLOOKUP('Données projet'!$B$9,Paramètres!$A$1:$I$88,3,0)*0.475*44/12</f>
        <v>9.7748726554572016</v>
      </c>
      <c r="AB50" s="23">
        <f>EXP(-LN(2)/2)*AB49+(1-EXP(-LN(2)/2))/(LN(2)/2)*V50*Y50*VLOOKUP('Données projet'!$B$9,Paramètres!$A$1:$I$88,3,0)*0.475*44/12</f>
        <v>0.68520533162859543</v>
      </c>
      <c r="AC50" s="24">
        <f t="shared" si="3"/>
        <v>12.838127467837555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projet'!$B$10,Paramètres!$A$1:$I$88,3,0)*VLOOKUP('Données projet'!$B$10,Paramètres!$A$1:$I$88,5,0)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262.78347246606825</v>
      </c>
      <c r="AO50" s="62">
        <f t="shared" si="36"/>
        <v>448.84541017639367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209.48697195713183</v>
      </c>
      <c r="AV50" s="23">
        <f>EXP(-LN(2)/25)*AV49+(1-EXP(-LN(2)/25))/(LN(2)/25)*Calculateur!AQ50*Calculateur!AS50*VLOOKUP('Données projet'!$B$10,Paramètres!$A$1:$I$88,3,0)*0.475*44/12</f>
        <v>54.586023994212482</v>
      </c>
      <c r="AW50" s="23">
        <f>EXP(-LN(2)/2)*AW49+(1-EXP(-LN(2)/2))/(LN(2)/2)*AQ50*AT50*VLOOKUP('Données projet'!$B$10,Paramètres!$A$1:$I$88,3,0)*0.475*44/12</f>
        <v>18.404848564865361</v>
      </c>
      <c r="AX50" s="23">
        <f t="shared" si="6"/>
        <v>282.47784451620964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</v>
      </c>
      <c r="BD50" s="13">
        <f>IF('Données projet'!$A$88&gt;35,BD49+BC50-BL49,IF(A50&lt;'Données projet'!$A$88,$BA$205^A50,IF(A50='Données projet'!$A$88,'Données projet'!$B$88,BD49+BC50-BL49)))</f>
        <v>228</v>
      </c>
      <c r="BE50" s="14">
        <f>BD50*VLOOKUP('Données projet'!$B$11,Paramètres!$A$1:$I$88,3,0)*VLOOKUP('Données projet'!$B$11,Paramètres!$A$1:$I$88,5,0)</f>
        <v>142.27199999999999</v>
      </c>
      <c r="BF50" s="14">
        <f t="shared" si="37"/>
        <v>36.817000136193229</v>
      </c>
      <c r="BG50" s="22">
        <f t="shared" si="7"/>
        <v>311.91334190386982</v>
      </c>
      <c r="BH50" s="62">
        <f t="shared" si="8"/>
        <v>605.24667523720314</v>
      </c>
      <c r="BI50" s="62">
        <f ca="1">AVERAGE(OFFSET($BH$3,0,0,'Données projet'!$E$11+1,1))-AVERAGE(OFFSET($H$3,0,0,'Données projet'!$E$11+1,1))</f>
        <v>135.14998708332445</v>
      </c>
      <c r="BJ50" s="62">
        <f t="shared" si="38"/>
        <v>245.50083454484513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20.022796558942268</v>
      </c>
      <c r="BQ50" s="23">
        <f>EXP(-LN(2)/25)*BQ49+(1-EXP(-LN(2)/25))/(LN(2)/25)*Calculateur!BL50*Calculateur!BN50*VLOOKUP('Données projet'!$B$11,Paramètres!$A$1:$I$88,3,0)*0.475*44/12</f>
        <v>37.601663303954957</v>
      </c>
      <c r="BR50" s="23">
        <f>EXP(-LN(2)/2)*BR49+(1-EXP(-LN(2)/2))/(LN(2)/2)*BL50*BO50*VLOOKUP('Données projet'!$B$11,Paramètres!$A$1:$I$88,3,0)*0.475*44/12</f>
        <v>2.2315425054427949</v>
      </c>
      <c r="BS50" s="24">
        <f t="shared" si="9"/>
        <v>59.856002368340022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299.79999999999995</v>
      </c>
      <c r="BZ50" s="14">
        <f>BY50*VLOOKUP('Données projet'!$B$12,Paramètres!$A$1:$I$88,3,0)*VLOOKUP('Données projet'!$B$12,Paramètres!$A$1:$I$88,5,0)</f>
        <v>179.28039999999999</v>
      </c>
      <c r="CA50" s="14">
        <f t="shared" si="39"/>
        <v>45.162051118824294</v>
      </c>
      <c r="CB50" s="22">
        <f t="shared" si="10"/>
        <v>390.90393569861902</v>
      </c>
      <c r="CC50" s="62">
        <f t="shared" si="11"/>
        <v>684.23726903195234</v>
      </c>
      <c r="CD50" s="62">
        <f ca="1">AVERAGE(OFFSET($CC$3,0,0,'Données projet'!$E$12+1,1))-AVERAGE(OFFSET($H$3,0,0,'Données projet'!$E$12+1,1))</f>
        <v>168.16583766359378</v>
      </c>
      <c r="CE50" s="62">
        <f t="shared" si="40"/>
        <v>194.52809733694494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17.495847566417297</v>
      </c>
      <c r="CL50" s="23">
        <f>EXP(-LN(2)/25)*CL49+(1-EXP(-LN(2)/25))/(LN(2)/25)*Calculateur!CG50*Calculateur!CI50*VLOOKUP('Données projet'!$B$12,Paramètres!$A$1:$I$88,3,0)*0.475*44/12</f>
        <v>15.173608054841491</v>
      </c>
      <c r="CM50" s="23">
        <f>EXP(-LN(2)/2)*CM49+(1-EXP(-LN(2)/2))/(LN(2)/2)*CG50*CJ50*VLOOKUP('Données projet'!$B$12,Paramètres!$A$1:$I$88,3,0)*0.475*44/12</f>
        <v>5.0578605707725428</v>
      </c>
      <c r="CN50" s="24">
        <f t="shared" si="12"/>
        <v>37.727316192031331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</v>
      </c>
      <c r="CT50" s="13">
        <f>IF('Données projet'!$A$140&gt;35,CT49+CS50-DB49,IF(A50&lt;'Données projet'!$A$140,$CQ$205^A50,IF(A50='Données projet'!$A$140,'Données projet'!$B$140,CT49+CS50-DB49)))</f>
        <v>155.00000000000003</v>
      </c>
      <c r="CU50" s="18">
        <f>CT50*VLOOKUP('Données projet'!$B$13,Paramètres!$A$1:$I$88,3,0)*VLOOKUP('Données projet'!$B$13,Paramètres!$A$1:$I$88,5,0)</f>
        <v>135.40800000000004</v>
      </c>
      <c r="CV50" s="14">
        <f t="shared" si="41"/>
        <v>35.243009677478732</v>
      </c>
      <c r="CW50" s="22">
        <f t="shared" si="13"/>
        <v>297.21717518827558</v>
      </c>
      <c r="CX50" s="62">
        <f t="shared" si="14"/>
        <v>590.55050852160889</v>
      </c>
      <c r="CY50" s="62">
        <f ca="1">AVERAGE(OFFSET($CX$3,0,0,'Données projet'!$E$13+1,1))-AVERAGE(OFFSET($H$3,0,0,'Données projet'!$E$13+1,1))</f>
        <v>146.09202487550647</v>
      </c>
      <c r="CZ50" s="62">
        <f t="shared" si="42"/>
        <v>168.58814676269344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6.5122602345807641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6.5122602345807641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10.8</v>
      </c>
      <c r="DO50" s="13">
        <f>IF('Données projet'!$A$166&gt;35,DO49+DN50-DW49,IF(A50&lt;'Données projet'!$A$166,$DL$205^A50,IF(A50='Données projet'!$A$166,'Données projet'!$B$166,DO49+DN50-DW49)))</f>
        <v>164.60000000000005</v>
      </c>
      <c r="DP50" s="18">
        <f>DO50*VLOOKUP('Données projet'!$B$14,Paramètres!$A$1:$I$88,3,0)*VLOOKUP('Données projet'!$B$14,Paramètres!$A$1:$I$88,5,0)</f>
        <v>120.68472000000004</v>
      </c>
      <c r="DQ50" s="14">
        <f t="shared" si="43"/>
        <v>31.834646067474406</v>
      </c>
      <c r="DR50" s="22">
        <f t="shared" si="16"/>
        <v>265.63789590085133</v>
      </c>
      <c r="DS50" s="62">
        <f t="shared" si="17"/>
        <v>558.97122923418465</v>
      </c>
      <c r="DT50" s="62">
        <f ca="1">AVERAGE(OFFSET($DS$3,0,0,'Données projet'!$E$14+1,1))-AVERAGE(OFFSET($H$3,0,0,'Données projet'!$E$14+1,1))</f>
        <v>116.35584360635318</v>
      </c>
      <c r="DU50" s="62">
        <f t="shared" si="44"/>
        <v>86.38226293640173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6.0786554219116242</v>
      </c>
      <c r="EB50" s="23">
        <f>EXP(-LN(2)/25)*EB49+(1-EXP(-LN(2)/25))/(LN(2)/25)*Calculateur!DW50*Calculateur!DY50*VLOOKUP('Données projet'!$B$14,Paramètres!$A$1:$I$88,3,0)*0.475*44/12</f>
        <v>0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6.0786554219116242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10</v>
      </c>
      <c r="N51" s="14">
        <f>IF('Données projet'!$A$36&gt;35,N50+M51-V50,IF(A51&lt;'Données projet'!$A$36,$K$205^A51,IF(A51='Données projet'!$A$36,'Données projet'!$B$36,N50+M51-V50)))</f>
        <v>270</v>
      </c>
      <c r="O51" s="14">
        <f>N51*VLOOKUP('Données projet'!$B$9,Paramètres!$A$1:$I$88,3,0)*VLOOKUP('Données projet'!$B$9,Paramètres!$A$1:$I$88,5,0)</f>
        <v>126.36000000000001</v>
      </c>
      <c r="P51" s="14">
        <f t="shared" si="33"/>
        <v>33.153877056327453</v>
      </c>
      <c r="Q51" s="22">
        <f t="shared" si="53"/>
        <v>277.82000253977031</v>
      </c>
      <c r="R51" s="62">
        <f t="shared" si="0"/>
        <v>571.15333587310363</v>
      </c>
      <c r="S51" s="62">
        <f ca="1">AVERAGE(OFFSET($R$3,0,0,'Données projet'!$E$9+1,1))-AVERAGE(OFFSET($H$3,0,0,'Données projet'!$E$9+1,1))</f>
        <v>82.229723373996478</v>
      </c>
      <c r="T51" s="62">
        <f t="shared" si="34"/>
        <v>115.86489547584461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2.3314173809011796</v>
      </c>
      <c r="AA51" s="23">
        <f>EXP(-LN(2)/25)*AA50+(1-EXP(-LN(2)/25))/(LN(2)/25)*Calculateur!V51*Calculateur!X51*VLOOKUP('Données projet'!$B$9,Paramètres!$A$1:$I$88,3,0)*0.475*44/12</f>
        <v>9.5075782486555127</v>
      </c>
      <c r="AB51" s="23">
        <f>EXP(-LN(2)/2)*AB50+(1-EXP(-LN(2)/2))/(LN(2)/2)*V51*Y51*VLOOKUP('Données projet'!$B$9,Paramètres!$A$1:$I$88,3,0)*0.475*44/12</f>
        <v>0.48451333649975697</v>
      </c>
      <c r="AC51" s="24">
        <f t="shared" si="3"/>
        <v>12.323508966056449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projet'!$B$10,Paramètres!$A$1:$I$88,3,0)*VLOOKUP('Données projet'!$B$10,Paramètres!$A$1:$I$88,5,0)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262.78347246606825</v>
      </c>
      <c r="AO51" s="62">
        <f t="shared" si="36"/>
        <v>448.84541017639367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205.37906021148868</v>
      </c>
      <c r="AV51" s="23">
        <f>EXP(-LN(2)/25)*AV50+(1-EXP(-LN(2)/25))/(LN(2)/25)*Calculateur!AQ51*Calculateur!AS51*VLOOKUP('Données projet'!$B$10,Paramètres!$A$1:$I$88,3,0)*0.475*44/12</f>
        <v>53.093366297536498</v>
      </c>
      <c r="AW51" s="23">
        <f>EXP(-LN(2)/2)*AW50+(1-EXP(-LN(2)/2))/(LN(2)/2)*AQ51*AT51*VLOOKUP('Données projet'!$B$10,Paramètres!$A$1:$I$88,3,0)*0.475*44/12</f>
        <v>13.014193226927794</v>
      </c>
      <c r="AX51" s="23">
        <f t="shared" si="6"/>
        <v>271.48661973595296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</v>
      </c>
      <c r="BD51" s="13">
        <f>IF('Données projet'!$A$88&gt;35,BD50+BC51-BL50,IF(A51&lt;'Données projet'!$A$88,$BA$205^A51,IF(A51='Données projet'!$A$88,'Données projet'!$B$88,BD50+BC51-BL50)))</f>
        <v>236</v>
      </c>
      <c r="BE51" s="14">
        <f>BD51*VLOOKUP('Données projet'!$B$11,Paramètres!$A$1:$I$88,3,0)*VLOOKUP('Données projet'!$B$11,Paramètres!$A$1:$I$88,5,0)</f>
        <v>147.26400000000001</v>
      </c>
      <c r="BF51" s="14">
        <f t="shared" si="37"/>
        <v>37.956155232452218</v>
      </c>
      <c r="BG51" s="22">
        <f t="shared" si="7"/>
        <v>322.59177036318761</v>
      </c>
      <c r="BH51" s="62">
        <f t="shared" si="8"/>
        <v>615.92510369652086</v>
      </c>
      <c r="BI51" s="62">
        <f ca="1">AVERAGE(OFFSET($BH$3,0,0,'Données projet'!$E$11+1,1))-AVERAGE(OFFSET($H$3,0,0,'Données projet'!$E$11+1,1))</f>
        <v>135.14998708332445</v>
      </c>
      <c r="BJ51" s="62">
        <f t="shared" si="38"/>
        <v>245.50083454484513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19.630161731121408</v>
      </c>
      <c r="BQ51" s="23">
        <f>EXP(-LN(2)/25)*BQ50+(1-EXP(-LN(2)/25))/(LN(2)/25)*Calculateur!BL51*Calculateur!BN51*VLOOKUP('Données projet'!$B$11,Paramètres!$A$1:$I$88,3,0)*0.475*44/12</f>
        <v>36.573443843522774</v>
      </c>
      <c r="BR51" s="23">
        <f>EXP(-LN(2)/2)*BR50+(1-EXP(-LN(2)/2))/(LN(2)/2)*BL51*BO51*VLOOKUP('Données projet'!$B$11,Paramètres!$A$1:$I$88,3,0)*0.475*44/12</f>
        <v>1.5779388381046184</v>
      </c>
      <c r="BS51" s="24">
        <f t="shared" si="9"/>
        <v>57.781544412748808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317.19999999999993</v>
      </c>
      <c r="BZ51" s="14">
        <f>BY51*VLOOKUP('Données projet'!$B$12,Paramètres!$A$1:$I$88,3,0)*VLOOKUP('Données projet'!$B$12,Paramètres!$A$1:$I$88,5,0)</f>
        <v>189.68559999999997</v>
      </c>
      <c r="CA51" s="14">
        <f t="shared" si="39"/>
        <v>47.470436776872702</v>
      </c>
      <c r="CB51" s="22">
        <f t="shared" si="10"/>
        <v>413.04676405305321</v>
      </c>
      <c r="CC51" s="62">
        <f t="shared" si="11"/>
        <v>706.38009738638652</v>
      </c>
      <c r="CD51" s="62">
        <f ca="1">AVERAGE(OFFSET($CC$3,0,0,'Données projet'!$E$12+1,1))-AVERAGE(OFFSET($H$3,0,0,'Données projet'!$E$12+1,1))</f>
        <v>168.16583766359378</v>
      </c>
      <c r="CE51" s="62">
        <f t="shared" si="40"/>
        <v>194.52809733694494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17.152764667053155</v>
      </c>
      <c r="CL51" s="23">
        <f>EXP(-LN(2)/25)*CL50+(1-EXP(-LN(2)/25))/(LN(2)/25)*Calculateur!CG51*Calculateur!CI51*VLOOKUP('Données projet'!$B$12,Paramètres!$A$1:$I$88,3,0)*0.475*44/12</f>
        <v>14.758684944636483</v>
      </c>
      <c r="CM51" s="23">
        <f>EXP(-LN(2)/2)*CM50+(1-EXP(-LN(2)/2))/(LN(2)/2)*CG51*CJ51*VLOOKUP('Données projet'!$B$12,Paramètres!$A$1:$I$88,3,0)*0.475*44/12</f>
        <v>3.576447507889327</v>
      </c>
      <c r="CN51" s="24">
        <f t="shared" si="12"/>
        <v>35.487897119578967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</v>
      </c>
      <c r="CT51" s="13">
        <f>IF('Données projet'!$A$140&gt;35,CT50+CS51-DB50,IF(A51&lt;'Données projet'!$A$140,$CQ$205^A51,IF(A51='Données projet'!$A$140,'Données projet'!$B$140,CT50+CS51-DB50)))</f>
        <v>161.00000000000003</v>
      </c>
      <c r="CU51" s="18">
        <f>CT51*VLOOKUP('Données projet'!$B$13,Paramètres!$A$1:$I$88,3,0)*VLOOKUP('Données projet'!$B$13,Paramètres!$A$1:$I$88,5,0)</f>
        <v>140.64960000000005</v>
      </c>
      <c r="CV51" s="14">
        <f t="shared" si="41"/>
        <v>36.445779615258637</v>
      </c>
      <c r="CW51" s="22">
        <f t="shared" si="13"/>
        <v>308.44111949657554</v>
      </c>
      <c r="CX51" s="62">
        <f t="shared" si="14"/>
        <v>601.7744528299088</v>
      </c>
      <c r="CY51" s="62">
        <f ca="1">AVERAGE(OFFSET($CX$3,0,0,'Données projet'!$E$13+1,1))-AVERAGE(OFFSET($H$3,0,0,'Données projet'!$E$13+1,1))</f>
        <v>146.09202487550647</v>
      </c>
      <c r="CZ51" s="62">
        <f t="shared" si="42"/>
        <v>168.58814676269344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6.3845587834671678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6.3845587834671678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10.8</v>
      </c>
      <c r="DO51" s="13">
        <f>IF('Données projet'!$A$166&gt;35,DO50+DN51-DW50,IF(A51&lt;'Données projet'!$A$166,$DL$205^A51,IF(A51='Données projet'!$A$166,'Données projet'!$B$166,DO50+DN51-DW50)))</f>
        <v>175.40000000000006</v>
      </c>
      <c r="DP51" s="18">
        <f>DO51*VLOOKUP('Données projet'!$B$14,Paramètres!$A$1:$I$88,3,0)*VLOOKUP('Données projet'!$B$14,Paramètres!$A$1:$I$88,5,0)</f>
        <v>128.60328000000004</v>
      </c>
      <c r="DQ51" s="14">
        <f t="shared" si="43"/>
        <v>33.673415727367804</v>
      </c>
      <c r="DR51" s="22">
        <f t="shared" si="16"/>
        <v>282.63191172516565</v>
      </c>
      <c r="DS51" s="62">
        <f t="shared" si="17"/>
        <v>575.96524505849902</v>
      </c>
      <c r="DT51" s="62">
        <f ca="1">AVERAGE(OFFSET($DS$3,0,0,'Données projet'!$E$14+1,1))-AVERAGE(OFFSET($H$3,0,0,'Données projet'!$E$14+1,1))</f>
        <v>116.35584360635318</v>
      </c>
      <c r="DU51" s="62">
        <f t="shared" si="44"/>
        <v>86.38226293640173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5.9594566967016478</v>
      </c>
      <c r="EB51" s="23">
        <f>EXP(-LN(2)/25)*EB50+(1-EXP(-LN(2)/25))/(LN(2)/25)*Calculateur!DW51*Calculateur!DY51*VLOOKUP('Données projet'!$B$14,Paramètres!$A$1:$I$88,3,0)*0.475*44/12</f>
        <v>0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5.9594566967016478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10</v>
      </c>
      <c r="N52" s="14">
        <f>IF('Données projet'!$A$36&gt;35,N51+M52-V51,IF(A52&lt;'Données projet'!$A$36,$K$205^A52,IF(A52='Données projet'!$A$36,'Données projet'!$B$36,N51+M52-V51)))</f>
        <v>280</v>
      </c>
      <c r="O52" s="14">
        <f>N52*VLOOKUP('Données projet'!$B$9,Paramètres!$A$1:$I$88,3,0)*VLOOKUP('Données projet'!$B$9,Paramètres!$A$1:$I$88,5,0)</f>
        <v>131.04</v>
      </c>
      <c r="P52" s="14">
        <f t="shared" si="33"/>
        <v>34.236561238949918</v>
      </c>
      <c r="Q52" s="22">
        <f t="shared" si="53"/>
        <v>287.85667749117107</v>
      </c>
      <c r="R52" s="62">
        <f t="shared" si="0"/>
        <v>581.19001082450438</v>
      </c>
      <c r="S52" s="62">
        <f ca="1">AVERAGE(OFFSET($R$3,0,0,'Données projet'!$E$9+1,1))-AVERAGE(OFFSET($H$3,0,0,'Données projet'!$E$9+1,1))</f>
        <v>82.229723373996478</v>
      </c>
      <c r="T52" s="62">
        <f t="shared" si="34"/>
        <v>115.86489547584461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2.2856997080858967</v>
      </c>
      <c r="AA52" s="23">
        <f>EXP(-LN(2)/25)*AA51+(1-EXP(-LN(2)/25))/(LN(2)/25)*Calculateur!V52*Calculateur!X52*VLOOKUP('Données projet'!$B$9,Paramètres!$A$1:$I$88,3,0)*0.475*44/12</f>
        <v>9.2475930214642172</v>
      </c>
      <c r="AB52" s="23">
        <f>EXP(-LN(2)/2)*AB51+(1-EXP(-LN(2)/2))/(LN(2)/2)*V52*Y52*VLOOKUP('Données projet'!$B$9,Paramètres!$A$1:$I$88,3,0)*0.475*44/12</f>
        <v>0.34260266581429777</v>
      </c>
      <c r="AC52" s="24">
        <f t="shared" si="3"/>
        <v>11.875895395364411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projet'!$B$10,Paramètres!$A$1:$I$88,3,0)*VLOOKUP('Données projet'!$B$10,Paramètres!$A$1:$I$88,5,0)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262.78347246606825</v>
      </c>
      <c r="AO52" s="62">
        <f t="shared" si="36"/>
        <v>448.84541017639367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201.35170210959885</v>
      </c>
      <c r="AV52" s="23">
        <f>EXP(-LN(2)/25)*AV51+(1-EXP(-LN(2)/25))/(LN(2)/25)*Calculateur!AQ52*Calculateur!AS52*VLOOKUP('Données projet'!$B$10,Paramètres!$A$1:$I$88,3,0)*0.475*44/12</f>
        <v>51.641525404071572</v>
      </c>
      <c r="AW52" s="23">
        <f>EXP(-LN(2)/2)*AW51+(1-EXP(-LN(2)/2))/(LN(2)/2)*AQ52*AT52*VLOOKUP('Données projet'!$B$10,Paramètres!$A$1:$I$88,3,0)*0.475*44/12</f>
        <v>9.2024242824326823</v>
      </c>
      <c r="AX52" s="23">
        <f t="shared" si="6"/>
        <v>262.19565179610311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</v>
      </c>
      <c r="BD52" s="13">
        <f>IF('Données projet'!$A$88&gt;35,BD51+BC52-BL51,IF(A52&lt;'Données projet'!$A$88,$BA$205^A52,IF(A52='Données projet'!$A$88,'Données projet'!$B$88,BD51+BC52-BL51)))</f>
        <v>244</v>
      </c>
      <c r="BE52" s="14">
        <f>BD52*VLOOKUP('Données projet'!$B$11,Paramètres!$A$1:$I$88,3,0)*VLOOKUP('Données projet'!$B$11,Paramètres!$A$1:$I$88,5,0)</f>
        <v>152.256</v>
      </c>
      <c r="BF52" s="14">
        <f t="shared" si="37"/>
        <v>39.090823441353066</v>
      </c>
      <c r="BG52" s="22">
        <f t="shared" si="7"/>
        <v>333.26238416035659</v>
      </c>
      <c r="BH52" s="62">
        <f t="shared" si="8"/>
        <v>626.5957174936899</v>
      </c>
      <c r="BI52" s="62">
        <f ca="1">AVERAGE(OFFSET($BH$3,0,0,'Données projet'!$E$11+1,1))-AVERAGE(OFFSET($H$3,0,0,'Données projet'!$E$11+1,1))</f>
        <v>135.14998708332445</v>
      </c>
      <c r="BJ52" s="62">
        <f t="shared" si="38"/>
        <v>245.50083454484513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19.245226232790515</v>
      </c>
      <c r="BQ52" s="23">
        <f>EXP(-LN(2)/25)*BQ51+(1-EXP(-LN(2)/25))/(LN(2)/25)*Calculateur!BL52*Calculateur!BN52*VLOOKUP('Données projet'!$B$11,Paramètres!$A$1:$I$88,3,0)*0.475*44/12</f>
        <v>35.573341098307822</v>
      </c>
      <c r="BR52" s="23">
        <f>EXP(-LN(2)/2)*BR51+(1-EXP(-LN(2)/2))/(LN(2)/2)*BL52*BO52*VLOOKUP('Données projet'!$B$11,Paramètres!$A$1:$I$88,3,0)*0.475*44/12</f>
        <v>1.1157712527213974</v>
      </c>
      <c r="BS52" s="24">
        <f t="shared" si="9"/>
        <v>55.934338583819731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334.59999999999991</v>
      </c>
      <c r="BZ52" s="14">
        <f>BY52*VLOOKUP('Données projet'!$B$12,Paramètres!$A$1:$I$88,3,0)*VLOOKUP('Données projet'!$B$12,Paramètres!$A$1:$I$88,5,0)</f>
        <v>200.09079999999997</v>
      </c>
      <c r="CA52" s="14">
        <f t="shared" si="39"/>
        <v>49.764122289960234</v>
      </c>
      <c r="CB52" s="22">
        <f t="shared" si="10"/>
        <v>435.16398965501395</v>
      </c>
      <c r="CC52" s="62">
        <f t="shared" si="11"/>
        <v>728.49732298834726</v>
      </c>
      <c r="CD52" s="62">
        <f ca="1">AVERAGE(OFFSET($CC$3,0,0,'Données projet'!$E$12+1,1))-AVERAGE(OFFSET($H$3,0,0,'Données projet'!$E$12+1,1))</f>
        <v>168.16583766359378</v>
      </c>
      <c r="CE52" s="62">
        <f t="shared" si="40"/>
        <v>194.52809733694494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16.816409414085637</v>
      </c>
      <c r="CL52" s="23">
        <f>EXP(-LN(2)/25)*CL51+(1-EXP(-LN(2)/25))/(LN(2)/25)*Calculateur!CG52*Calculateur!CI52*VLOOKUP('Données projet'!$B$12,Paramètres!$A$1:$I$88,3,0)*0.475*44/12</f>
        <v>14.355107928699889</v>
      </c>
      <c r="CM52" s="23">
        <f>EXP(-LN(2)/2)*CM51+(1-EXP(-LN(2)/2))/(LN(2)/2)*CG52*CJ52*VLOOKUP('Données projet'!$B$12,Paramètres!$A$1:$I$88,3,0)*0.475*44/12</f>
        <v>2.5289302853862718</v>
      </c>
      <c r="CN52" s="24">
        <f t="shared" si="12"/>
        <v>33.700447628171801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</v>
      </c>
      <c r="CT52" s="13">
        <f>IF('Données projet'!$A$140&gt;35,CT51+CS52-DB51,IF(A52&lt;'Données projet'!$A$140,$CQ$205^A52,IF(A52='Données projet'!$A$140,'Données projet'!$B$140,CT51+CS52-DB51)))</f>
        <v>167.00000000000003</v>
      </c>
      <c r="CU52" s="18">
        <f>CT52*VLOOKUP('Données projet'!$B$13,Paramètres!$A$1:$I$88,3,0)*VLOOKUP('Données projet'!$B$13,Paramètres!$A$1:$I$88,5,0)</f>
        <v>145.89120000000005</v>
      </c>
      <c r="CV52" s="14">
        <f t="shared" si="41"/>
        <v>37.643342098399685</v>
      </c>
      <c r="CW52" s="22">
        <f t="shared" si="13"/>
        <v>319.65599415471291</v>
      </c>
      <c r="CX52" s="62">
        <f t="shared" si="14"/>
        <v>612.98932748804623</v>
      </c>
      <c r="CY52" s="62">
        <f ca="1">AVERAGE(OFFSET($CX$3,0,0,'Données projet'!$E$13+1,1))-AVERAGE(OFFSET($H$3,0,0,'Données projet'!$E$13+1,1))</f>
        <v>146.09202487550647</v>
      </c>
      <c r="CZ52" s="62">
        <f t="shared" si="42"/>
        <v>168.58814676269344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6.2593614799197148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6.2593614799197148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10.8</v>
      </c>
      <c r="DO52" s="13">
        <f>IF('Données projet'!$A$166&gt;35,DO51+DN52-DW51,IF(A52&lt;'Données projet'!$A$166,$DL$205^A52,IF(A52='Données projet'!$A$166,'Données projet'!$B$166,DO51+DN52-DW51)))</f>
        <v>186.20000000000007</v>
      </c>
      <c r="DP52" s="18">
        <f>DO52*VLOOKUP('Données projet'!$B$14,Paramètres!$A$1:$I$88,3,0)*VLOOKUP('Données projet'!$B$14,Paramètres!$A$1:$I$88,5,0)</f>
        <v>136.52184000000005</v>
      </c>
      <c r="DQ52" s="14">
        <f t="shared" si="43"/>
        <v>35.499044980927081</v>
      </c>
      <c r="DR52" s="22">
        <f t="shared" si="16"/>
        <v>299.60304134178136</v>
      </c>
      <c r="DS52" s="62">
        <f t="shared" si="17"/>
        <v>592.93637467511462</v>
      </c>
      <c r="DT52" s="62">
        <f ca="1">AVERAGE(OFFSET($DS$3,0,0,'Données projet'!$E$14+1,1))-AVERAGE(OFFSET($H$3,0,0,'Données projet'!$E$14+1,1))</f>
        <v>116.35584360635318</v>
      </c>
      <c r="DU52" s="62">
        <f t="shared" si="44"/>
        <v>86.38226293640173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5.8425953857889956</v>
      </c>
      <c r="EB52" s="23">
        <f>EXP(-LN(2)/25)*EB51+(1-EXP(-LN(2)/25))/(LN(2)/25)*Calculateur!DW52*Calculateur!DY52*VLOOKUP('Données projet'!$B$14,Paramètres!$A$1:$I$88,3,0)*0.475*44/12</f>
        <v>0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5.8425953857889956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290</v>
      </c>
      <c r="L53" s="13">
        <f>VLOOKUP(A53,'Données projet'!$A$35:$I$55,9,0)</f>
        <v>10</v>
      </c>
      <c r="M53" s="13">
        <f t="array" ref="M53">INDEX(L:L,MIN(IF(ISNUMBER(L53:L249),ROW(L53:L249),"")))</f>
        <v>10</v>
      </c>
      <c r="N53" s="14">
        <f>IF('Données projet'!$A$36&gt;35,N52+M53-V52,IF(A53&lt;'Données projet'!$A$36,$K$205^A53,IF(A53='Données projet'!$A$36,'Données projet'!$B$36,N52+M53-V52)))</f>
        <v>290</v>
      </c>
      <c r="O53" s="14">
        <f>N53*VLOOKUP('Données projet'!$B$9,Paramètres!$A$1:$I$88,3,0)*VLOOKUP('Données projet'!$B$9,Paramètres!$A$1:$I$88,5,0)</f>
        <v>135.72</v>
      </c>
      <c r="P53" s="14">
        <f t="shared" si="33"/>
        <v>35.314752882348131</v>
      </c>
      <c r="Q53" s="22">
        <f t="shared" si="53"/>
        <v>297.88552793675632</v>
      </c>
      <c r="R53" s="62">
        <f t="shared" si="0"/>
        <v>591.21886127008963</v>
      </c>
      <c r="S53" s="62">
        <f ca="1">AVERAGE(OFFSET($R$3,0,0,'Données projet'!$E$9+1,1))-AVERAGE(OFFSET($H$3,0,0,'Données projet'!$E$9+1,1))</f>
        <v>82.229723373996478</v>
      </c>
      <c r="T53" s="62">
        <f t="shared" si="34"/>
        <v>115.86489547584461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40</v>
      </c>
      <c r="W53" s="17">
        <f>IF(ISNA(VLOOKUP(A53,'Données projet'!$A$35:$I$55,5,0)),0%,VLOOKUP(A53,'Données projet'!$A$35:$I$55,5,0)*VLOOKUP('Données projet'!$B$9,Paramètres!$A$1:$I$88,7,0))</f>
        <v>0.33</v>
      </c>
      <c r="X53" s="17">
        <f>IF(ISNA(VLOOKUP(A53,'Données projet'!$A$35:$I$55,6,0)),0%,VLOOKUP(A53,'Données projet'!$A$35:$I$55,6,0)*VLOOKUP('Données projet'!$B$9,Paramètres!$A$1:$I$88,7,0))</f>
        <v>0.12320000000000003</v>
      </c>
      <c r="Y53" s="17">
        <f>IF(ISNA(VLOOKUP(A53,'Données projet'!$A$35:$I$55,7,0)),0%,VLOOKUP(A53,'Données projet'!$A$35:$I$55,7,0))</f>
        <v>0.17600000000000002</v>
      </c>
      <c r="Z53" s="23">
        <f>EXP(-LN(2)/35)*Z52+(1-EXP(-LN(2)/35))/(LN(2)/35)*V53*W53*VLOOKUP('Données projet'!$B$9,Paramètres!$A$1:$I$88,3,0)*0.475*44/12</f>
        <v>10.435863110872797</v>
      </c>
      <c r="AA53" s="23">
        <f>EXP(-LN(2)/25)*AA52+(1-EXP(-LN(2)/25))/(LN(2)/25)*Calculateur!V53*Calculateur!X53*VLOOKUP('Données projet'!$B$9,Paramètres!$A$1:$I$88,3,0)*0.475*44/12</f>
        <v>12.0421317504725</v>
      </c>
      <c r="AB53" s="23">
        <f>EXP(-LN(2)/2)*AB52+(1-EXP(-LN(2)/2))/(LN(2)/2)*V53*Y53*VLOOKUP('Données projet'!$B$9,Paramètres!$A$1:$I$88,3,0)*0.475*44/12</f>
        <v>3.9726450635562758</v>
      </c>
      <c r="AC53" s="24">
        <f t="shared" si="3"/>
        <v>26.450639924901569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projet'!$B$10,Paramètres!$A$1:$I$88,3,0)*VLOOKUP('Données projet'!$B$10,Paramètres!$A$1:$I$88,5,0)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262.78347246606825</v>
      </c>
      <c r="AO53" s="62">
        <f t="shared" si="36"/>
        <v>448.84541017639367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197.40331804364118</v>
      </c>
      <c r="AV53" s="23">
        <f>EXP(-LN(2)/25)*AV52+(1-EXP(-LN(2)/25))/(LN(2)/25)*Calculateur!AQ53*Calculateur!AS53*VLOOKUP('Données projet'!$B$10,Paramètres!$A$1:$I$88,3,0)*0.475*44/12</f>
        <v>50.229385176187442</v>
      </c>
      <c r="AW53" s="23">
        <f>EXP(-LN(2)/2)*AW52+(1-EXP(-LN(2)/2))/(LN(2)/2)*AQ53*AT53*VLOOKUP('Données projet'!$B$10,Paramètres!$A$1:$I$88,3,0)*0.475*44/12</f>
        <v>6.507096613463899</v>
      </c>
      <c r="AX53" s="23">
        <f t="shared" si="6"/>
        <v>254.1397998332925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252</v>
      </c>
      <c r="BB53" s="13">
        <f>VLOOKUP(A53,'Données projet'!$A$87:$I$107,9,0)</f>
        <v>8</v>
      </c>
      <c r="BC53" s="13">
        <f t="array" ref="BC53">INDEX(BB:BB,MIN(IF(ISNUMBER(BB53:BB249),ROW(BB53:BB249),"")))</f>
        <v>8</v>
      </c>
      <c r="BD53" s="13">
        <f>IF('Données projet'!$A$88&gt;35,BD52+BC53-BL52,IF(A53&lt;'Données projet'!$A$88,$BA$205^A53,IF(A53='Données projet'!$A$88,'Données projet'!$B$88,BD52+BC53-BL52)))</f>
        <v>252</v>
      </c>
      <c r="BE53" s="14">
        <f>BD53*VLOOKUP('Données projet'!$B$11,Paramètres!$A$1:$I$88,3,0)*VLOOKUP('Données projet'!$B$11,Paramètres!$A$1:$I$88,5,0)</f>
        <v>157.24799999999999</v>
      </c>
      <c r="BF53" s="14">
        <f t="shared" si="37"/>
        <v>40.22116874434861</v>
      </c>
      <c r="BG53" s="22">
        <f t="shared" si="7"/>
        <v>343.92546889640715</v>
      </c>
      <c r="BH53" s="62">
        <f t="shared" si="8"/>
        <v>637.25880222974047</v>
      </c>
      <c r="BI53" s="62">
        <f ca="1">AVERAGE(OFFSET($BH$3,0,0,'Données projet'!$E$11+1,1))-AVERAGE(OFFSET($H$3,0,0,'Données projet'!$E$11+1,1))</f>
        <v>135.14998708332445</v>
      </c>
      <c r="BJ53" s="62">
        <f t="shared" si="38"/>
        <v>245.50083454484513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252</v>
      </c>
      <c r="BM53" s="17">
        <f>IF(ISNA(VLOOKUP(A53,'Données projet'!$A$87:$I$107,5,0)),0%,VLOOKUP(A53,'Données projet'!$A$87:$I$107,5,0)*VLOOKUP('Données projet'!$B$11,Paramètres!$A$1:$I$88,7,0))</f>
        <v>0.48</v>
      </c>
      <c r="BN53" s="17">
        <f>IF(ISNA(VLOOKUP(A53,'Données projet'!$A$87:$I$107,6,0)),0%,VLOOKUP(A53,'Données projet'!$A$87:$I$107,6,0)*VLOOKUP('Données projet'!$B$11,Paramètres!$A$1:$I$88,7,0))</f>
        <v>6.6000000000000003E-2</v>
      </c>
      <c r="BO53" s="17">
        <f>IF(ISNA(VLOOKUP(A53,'Données projet'!$A$87:$I$107,7,0)),0%,VLOOKUP(A53,'Données projet'!$A$87:$I$107,7,0))</f>
        <v>0.09</v>
      </c>
      <c r="BP53" s="23">
        <f>EXP(-LN(2)/35)*BP52+(1-EXP(-LN(2)/35))/(LN(2)/35)*BL53*BM53*VLOOKUP('Données projet'!$B$11,Paramètres!$A$1:$I$88,3,0)*0.475*44/12</f>
        <v>118.99565067949369</v>
      </c>
      <c r="BQ53" s="23">
        <f>EXP(-LN(2)/25)*BQ52+(1-EXP(-LN(2)/25))/(LN(2)/25)*Calculateur!BL53*Calculateur!BN53*VLOOKUP('Données projet'!$B$11,Paramètres!$A$1:$I$88,3,0)*0.475*44/12</f>
        <v>48.313952124458901</v>
      </c>
      <c r="BR53" s="23">
        <f>EXP(-LN(2)/2)*BR52+(1-EXP(-LN(2)/2))/(LN(2)/2)*BL53*BO53*VLOOKUP('Données projet'!$B$11,Paramètres!$A$1:$I$88,3,0)*0.475*44/12</f>
        <v>16.812683207982062</v>
      </c>
      <c r="BS53" s="24">
        <f t="shared" si="9"/>
        <v>184.12228601193465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352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351.99999999999989</v>
      </c>
      <c r="BZ53" s="14">
        <f>BY53*VLOOKUP('Données projet'!$B$12,Paramètres!$A$1:$I$88,3,0)*VLOOKUP('Données projet'!$B$12,Paramètres!$A$1:$I$88,5,0)</f>
        <v>210.49599999999995</v>
      </c>
      <c r="CA53" s="14">
        <f t="shared" si="39"/>
        <v>52.043959291168463</v>
      </c>
      <c r="CB53" s="22">
        <f t="shared" si="10"/>
        <v>457.25709576545165</v>
      </c>
      <c r="CC53" s="62">
        <f t="shared" si="11"/>
        <v>750.59042909878497</v>
      </c>
      <c r="CD53" s="62">
        <f ca="1">AVERAGE(OFFSET($CC$3,0,0,'Données projet'!$E$12+1,1))-AVERAGE(OFFSET($H$3,0,0,'Données projet'!$E$12+1,1))</f>
        <v>168.16583766359378</v>
      </c>
      <c r="CE53" s="62">
        <f t="shared" si="40"/>
        <v>194.52809733694494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78</v>
      </c>
      <c r="CH53" s="17">
        <f>IF(ISNA(VLOOKUP(A53,'Données projet'!$A$113:$I$133,5,0)),0%,VLOOKUP(A53,'Données projet'!$A$113:$I$133,5,0)*VLOOKUP('Données projet'!$B$12,Paramètres!$A$1:$I$88,7,0))</f>
        <v>0.22500000000000001</v>
      </c>
      <c r="CI53" s="17">
        <f>IF(ISNA(VLOOKUP(A53,'Données projet'!$A$113:$I$133,6,0)),0%,VLOOKUP(A53,'Données projet'!$A$113:$I$133,6,0)*VLOOKUP('Données projet'!$B$12,Paramètres!$A$1:$I$88,7,0))</f>
        <v>0.12600000000000003</v>
      </c>
      <c r="CJ53" s="17">
        <f>IF(ISNA(VLOOKUP(A53,'Données projet'!$A$113:$I$133,7,0)),0%,VLOOKUP(A53,'Données projet'!$A$113:$I$133,7,0))</f>
        <v>0.22</v>
      </c>
      <c r="CK53" s="23">
        <f>EXP(-LN(2)/35)*CK52+(1-EXP(-LN(2)/35))/(LN(2)/35)*CG53*CH53*VLOOKUP('Données projet'!$B$12,Paramètres!$A$1:$I$88,3,0)*0.475*44/12</f>
        <v>30.408811185864799</v>
      </c>
      <c r="CL53" s="23">
        <f>EXP(-LN(2)/25)*CL52+(1-EXP(-LN(2)/25))/(LN(2)/25)*Calculateur!CG53*Calculateur!CI53*VLOOKUP('Données projet'!$B$12,Paramètres!$A$1:$I$88,3,0)*0.475*44/12</f>
        <v>21.728279639252989</v>
      </c>
      <c r="CM53" s="23">
        <f>EXP(-LN(2)/2)*CM52+(1-EXP(-LN(2)/2))/(LN(2)/2)*CG53*CJ53*VLOOKUP('Données projet'!$B$12,Paramètres!$A$1:$I$88,3,0)*0.475*44/12</f>
        <v>13.40682927682605</v>
      </c>
      <c r="CN53" s="24">
        <f t="shared" si="12"/>
        <v>65.54392010194384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173</v>
      </c>
      <c r="CR53" s="13">
        <f>VLOOKUP(A53,'Données projet'!$A$139:$I$159,9,0)</f>
        <v>6</v>
      </c>
      <c r="CS53" s="13">
        <f t="array" ref="CS53">INDEX(CR:CR,MIN(IF(ISNUMBER(CR53:CR249),ROW(CR53:CR249),"")))</f>
        <v>6</v>
      </c>
      <c r="CT53" s="13">
        <f>IF('Données projet'!$A$140&gt;35,CT52+CS53-DB52,IF(A53&lt;'Données projet'!$A$140,$CQ$205^A53,IF(A53='Données projet'!$A$140,'Données projet'!$B$140,CT52+CS53-DB52)))</f>
        <v>173.00000000000003</v>
      </c>
      <c r="CU53" s="18">
        <f>CT53*VLOOKUP('Données projet'!$B$13,Paramètres!$A$1:$I$88,3,0)*VLOOKUP('Données projet'!$B$13,Paramètres!$A$1:$I$88,5,0)</f>
        <v>151.13280000000003</v>
      </c>
      <c r="CV53" s="14">
        <f t="shared" si="41"/>
        <v>38.835905653934425</v>
      </c>
      <c r="CW53" s="22">
        <f t="shared" si="13"/>
        <v>330.86216234726913</v>
      </c>
      <c r="CX53" s="62">
        <f t="shared" si="14"/>
        <v>624.19549568060245</v>
      </c>
      <c r="CY53" s="62">
        <f ca="1">AVERAGE(OFFSET($CX$3,0,0,'Données projet'!$E$13+1,1))-AVERAGE(OFFSET($H$3,0,0,'Données projet'!$E$13+1,1))</f>
        <v>146.09202487550647</v>
      </c>
      <c r="CZ53" s="62">
        <f t="shared" si="42"/>
        <v>168.58814676269344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18</v>
      </c>
      <c r="DC53" s="17">
        <f>IF(ISNA(VLOOKUP(A53,'Données projet'!$A$139:$I$159,5,0)),0%,VLOOKUP(A53,'Données projet'!$A$139:$I$159,5,0)*VLOOKUP('Données projet'!$B$13,Paramètres!$A$1:$I$88,7,0))</f>
        <v>0.215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9.8740288533091558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9.8740288533091558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197</v>
      </c>
      <c r="DM53" s="13">
        <f>VLOOKUP(A53,'Données projet'!$A$165:$I$185,9,0)</f>
        <v>10.8</v>
      </c>
      <c r="DN53" s="13">
        <f t="array" ref="DN53">INDEX(DM:DM,MIN(IF(ISNUMBER(DM53:DM249),ROW(DM53:DM249),"")))</f>
        <v>10.8</v>
      </c>
      <c r="DO53" s="13">
        <f>IF('Données projet'!$A$166&gt;35,DO52+DN53-DW52,IF(A53&lt;'Données projet'!$A$166,$DL$205^A53,IF(A53='Données projet'!$A$166,'Données projet'!$B$166,DO52+DN53-DW52)))</f>
        <v>197.00000000000009</v>
      </c>
      <c r="DP53" s="18">
        <f>DO53*VLOOKUP('Données projet'!$B$14,Paramètres!$A$1:$I$88,3,0)*VLOOKUP('Données projet'!$B$14,Paramètres!$A$1:$I$88,5,0)</f>
        <v>144.44040000000007</v>
      </c>
      <c r="DQ53" s="14">
        <f t="shared" si="43"/>
        <v>37.312382829927117</v>
      </c>
      <c r="DR53" s="22">
        <f t="shared" si="16"/>
        <v>316.55276342878983</v>
      </c>
      <c r="DS53" s="62">
        <f t="shared" si="17"/>
        <v>609.88609676212309</v>
      </c>
      <c r="DT53" s="62">
        <f ca="1">AVERAGE(OFFSET($DS$3,0,0,'Données projet'!$E$14+1,1))-AVERAGE(OFFSET($H$3,0,0,'Données projet'!$E$14+1,1))</f>
        <v>116.35584360635318</v>
      </c>
      <c r="DU53" s="62">
        <f t="shared" si="44"/>
        <v>86.38226293640173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33</v>
      </c>
      <c r="DX53" s="17">
        <f>IF(ISNA(VLOOKUP(A53,'Données projet'!$A$165:$I$185,5,0)),0%,VLOOKUP(A53,'Données projet'!$A$165:$I$185,5,0)*VLOOKUP('Données projet'!$B$14,Paramètres!$A$1:$I$88,7,0))</f>
        <v>0.17200000000000001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10.328598941689702</v>
      </c>
      <c r="EB53" s="23">
        <f>EXP(-LN(2)/25)*EB52+(1-EXP(-LN(2)/25))/(LN(2)/25)*Calculateur!DW53*Calculateur!DY53*VLOOKUP('Données projet'!$B$14,Paramètres!$A$1:$I$88,3,0)*0.475*44/12</f>
        <v>0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10.328598941689702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</v>
      </c>
      <c r="N54" s="14">
        <f>IF('Données projet'!$A$36&gt;35,N53+M54-V53,IF(A54&lt;'Données projet'!$A$36,$K$205^A54,IF(A54='Données projet'!$A$36,'Données projet'!$B$36,N53+M54-V53)))</f>
        <v>260</v>
      </c>
      <c r="O54" s="14">
        <f>N54*VLOOKUP('Données projet'!$B$9,Paramètres!$A$1:$I$88,3,0)*VLOOKUP('Données projet'!$B$9,Paramètres!$A$1:$I$88,5,0)</f>
        <v>121.67999999999999</v>
      </c>
      <c r="P54" s="14">
        <f t="shared" si="33"/>
        <v>32.066514091456256</v>
      </c>
      <c r="Q54" s="22">
        <f t="shared" si="53"/>
        <v>267.77517870928631</v>
      </c>
      <c r="R54" s="62">
        <f t="shared" si="0"/>
        <v>561.10851204261962</v>
      </c>
      <c r="S54" s="62">
        <f ca="1">AVERAGE(OFFSET($R$3,0,0,'Données projet'!$E$9+1,1))-AVERAGE(OFFSET($H$3,0,0,'Données projet'!$E$9+1,1))</f>
        <v>82.229723373996478</v>
      </c>
      <c r="T54" s="62">
        <f t="shared" si="34"/>
        <v>115.86489547584461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10.231222200516562</v>
      </c>
      <c r="AA54" s="23">
        <f>EXP(-LN(2)/25)*AA53+(1-EXP(-LN(2)/25))/(LN(2)/25)*Calculateur!V54*Calculateur!X54*VLOOKUP('Données projet'!$B$9,Paramètres!$A$1:$I$88,3,0)*0.475*44/12</f>
        <v>11.712839024487643</v>
      </c>
      <c r="AB54" s="23">
        <f>EXP(-LN(2)/2)*AB53+(1-EXP(-LN(2)/2))/(LN(2)/2)*V54*Y54*VLOOKUP('Données projet'!$B$9,Paramètres!$A$1:$I$88,3,0)*0.475*44/12</f>
        <v>2.8090842636879061</v>
      </c>
      <c r="AC54" s="24">
        <f t="shared" si="3"/>
        <v>24.753145488692113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262.78347246606825</v>
      </c>
      <c r="AO54" s="62">
        <f t="shared" si="36"/>
        <v>448.84541017639367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193.53235938094045</v>
      </c>
      <c r="AV54" s="23">
        <f>EXP(-LN(2)/25)*AV53+(1-EXP(-LN(2)/25))/(LN(2)/25)*Calculateur!AQ54*Calculateur!AS54*VLOOKUP('Données projet'!$B$10,Paramètres!$A$1:$I$88,3,0)*0.475*44/12</f>
        <v>48.855859997096033</v>
      </c>
      <c r="AW54" s="23">
        <f>EXP(-LN(2)/2)*AW53+(1-EXP(-LN(2)/2))/(LN(2)/2)*AQ54*AT54*VLOOKUP('Données projet'!$B$10,Paramètres!$A$1:$I$88,3,0)*0.475*44/12</f>
        <v>4.601212141216342</v>
      </c>
      <c r="AX54" s="23">
        <f t="shared" si="6"/>
        <v>246.9894315192528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projet'!$B$11,Paramètres!$A$1:$I$88,3,0)*VLOOKUP('Données projet'!$B$11,Paramètres!$A$1:$I$88,5,0)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135.14998708332445</v>
      </c>
      <c r="BJ54" s="62">
        <f t="shared" si="38"/>
        <v>245.50083454484513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116.66221854984904</v>
      </c>
      <c r="BQ54" s="23">
        <f>EXP(-LN(2)/25)*BQ53+(1-EXP(-LN(2)/25))/(LN(2)/25)*Calculateur!BL54*Calculateur!BN54*VLOOKUP('Données projet'!$B$11,Paramètres!$A$1:$I$88,3,0)*0.475*44/12</f>
        <v>46.992804562895252</v>
      </c>
      <c r="BR54" s="23">
        <f>EXP(-LN(2)/2)*BR53+(1-EXP(-LN(2)/2))/(LN(2)/2)*BL54*BO54*VLOOKUP('Données projet'!$B$11,Paramètres!$A$1:$I$88,3,0)*0.475*44/12</f>
        <v>11.888362306305314</v>
      </c>
      <c r="BS54" s="24">
        <f t="shared" si="9"/>
        <v>175.5433854190496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16.600000000000001</v>
      </c>
      <c r="BY54" s="13">
        <f>IF('Données projet'!$A$114&gt;35,BY53+BX54-CG53,IF(A54&lt;'Données projet'!$A$114,$BV$205^A54,IF(A54='Données projet'!$A$114,'Données projet'!$B$114,BY53+BX54-CG53)))</f>
        <v>290.59999999999991</v>
      </c>
      <c r="BZ54" s="14">
        <f>BY54*VLOOKUP('Données projet'!$B$12,Paramètres!$A$1:$I$88,3,0)*VLOOKUP('Données projet'!$B$12,Paramètres!$A$1:$I$88,5,0)</f>
        <v>173.77879999999996</v>
      </c>
      <c r="CA54" s="14">
        <f t="shared" si="39"/>
        <v>43.935263155546217</v>
      </c>
      <c r="CB54" s="22">
        <f t="shared" si="10"/>
        <v>379.18532666257624</v>
      </c>
      <c r="CC54" s="62">
        <f t="shared" si="11"/>
        <v>672.5186599959095</v>
      </c>
      <c r="CD54" s="62">
        <f ca="1">AVERAGE(OFFSET($CC$3,0,0,'Données projet'!$E$12+1,1))-AVERAGE(OFFSET($H$3,0,0,'Données projet'!$E$12+1,1))</f>
        <v>168.16583766359378</v>
      </c>
      <c r="CE54" s="62">
        <f t="shared" si="40"/>
        <v>194.52809733694494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29.812512946053396</v>
      </c>
      <c r="CL54" s="23">
        <f>EXP(-LN(2)/25)*CL53+(1-EXP(-LN(2)/25))/(LN(2)/25)*Calculateur!CG54*Calculateur!CI54*VLOOKUP('Données projet'!$B$12,Paramètres!$A$1:$I$88,3,0)*0.475*44/12</f>
        <v>21.134118689877049</v>
      </c>
      <c r="CM54" s="23">
        <f>EXP(-LN(2)/2)*CM53+(1-EXP(-LN(2)/2))/(LN(2)/2)*CG54*CJ54*VLOOKUP('Données projet'!$B$12,Paramètres!$A$1:$I$88,3,0)*0.475*44/12</f>
        <v>9.480059895854037</v>
      </c>
      <c r="CN54" s="24">
        <f t="shared" si="12"/>
        <v>60.426691531784485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5.2</v>
      </c>
      <c r="CT54" s="13">
        <f>IF('Données projet'!$A$140&gt;35,CT53+CS54-DB53,IF(A54&lt;'Données projet'!$A$140,$CQ$205^A54,IF(A54='Données projet'!$A$140,'Données projet'!$B$140,CT53+CS54-DB53)))</f>
        <v>160.20000000000002</v>
      </c>
      <c r="CU54" s="18">
        <f>CT54*VLOOKUP('Données projet'!$B$13,Paramètres!$A$1:$I$88,3,0)*VLOOKUP('Données projet'!$B$13,Paramètres!$A$1:$I$88,5,0)</f>
        <v>139.95072000000002</v>
      </c>
      <c r="CV54" s="14">
        <f t="shared" si="41"/>
        <v>36.285715907711918</v>
      </c>
      <c r="CW54" s="22">
        <f t="shared" si="13"/>
        <v>306.94512587259828</v>
      </c>
      <c r="CX54" s="62">
        <f t="shared" si="14"/>
        <v>600.27845920593154</v>
      </c>
      <c r="CY54" s="62">
        <f ca="1">AVERAGE(OFFSET($CX$3,0,0,'Données projet'!$E$13+1,1))-AVERAGE(OFFSET($H$3,0,0,'Données projet'!$E$13+1,1))</f>
        <v>146.09202487550647</v>
      </c>
      <c r="CZ54" s="62">
        <f t="shared" si="42"/>
        <v>168.58814676269344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9.6804051700586857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9.6804051700586857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10.8</v>
      </c>
      <c r="DO54" s="13">
        <f>IF('Données projet'!$A$166&gt;35,DO53+DN54-DW53,IF(A54&lt;'Données projet'!$A$166,$DL$205^A54,IF(A54='Données projet'!$A$166,'Données projet'!$B$166,DO53+DN54-DW53)))</f>
        <v>174.8000000000001</v>
      </c>
      <c r="DP54" s="18">
        <f>DO54*VLOOKUP('Données projet'!$B$14,Paramètres!$A$1:$I$88,3,0)*VLOOKUP('Données projet'!$B$14,Paramètres!$A$1:$I$88,5,0)</f>
        <v>128.16336000000007</v>
      </c>
      <c r="DQ54" s="14">
        <f t="shared" si="43"/>
        <v>33.57161494749694</v>
      </c>
      <c r="DR54" s="22">
        <f t="shared" si="16"/>
        <v>281.68841470022392</v>
      </c>
      <c r="DS54" s="62">
        <f t="shared" si="17"/>
        <v>575.02174803355729</v>
      </c>
      <c r="DT54" s="62">
        <f ca="1">AVERAGE(OFFSET($DS$3,0,0,'Données projet'!$E$14+1,1))-AVERAGE(OFFSET($H$3,0,0,'Données projet'!$E$14+1,1))</f>
        <v>116.35584360635318</v>
      </c>
      <c r="DU54" s="62">
        <f t="shared" si="44"/>
        <v>86.38226293640173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10.126061416266465</v>
      </c>
      <c r="EB54" s="23">
        <f>EXP(-LN(2)/25)*EB53+(1-EXP(-LN(2)/25))/(LN(2)/25)*Calculateur!DW54*Calculateur!DY54*VLOOKUP('Données projet'!$B$14,Paramètres!$A$1:$I$88,3,0)*0.475*44/12</f>
        <v>0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10.126061416266465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</v>
      </c>
      <c r="N55" s="14">
        <f>IF('Données projet'!$A$36&gt;35,N54+M55-V54,IF(A55&lt;'Données projet'!$A$36,$K$205^A55,IF(A55='Données projet'!$A$36,'Données projet'!$B$36,N54+M55-V54)))</f>
        <v>270</v>
      </c>
      <c r="O55" s="14">
        <f>N55*VLOOKUP('Données projet'!$B$9,Paramètres!$A$1:$I$88,3,0)*VLOOKUP('Données projet'!$B$9,Paramètres!$A$1:$I$88,5,0)</f>
        <v>126.36000000000001</v>
      </c>
      <c r="P55" s="14">
        <f t="shared" si="33"/>
        <v>33.153877056327453</v>
      </c>
      <c r="Q55" s="22">
        <f t="shared" si="53"/>
        <v>277.82000253977031</v>
      </c>
      <c r="R55" s="62">
        <f t="shared" si="0"/>
        <v>571.15333587310363</v>
      </c>
      <c r="S55" s="62">
        <f ca="1">AVERAGE(OFFSET($R$3,0,0,'Données projet'!$E$9+1,1))-AVERAGE(OFFSET($H$3,0,0,'Données projet'!$E$9+1,1))</f>
        <v>82.229723373996478</v>
      </c>
      <c r="T55" s="62">
        <f t="shared" si="34"/>
        <v>115.86489547584461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10.030594173593784</v>
      </c>
      <c r="AA55" s="23">
        <f>EXP(-LN(2)/25)*AA54+(1-EXP(-LN(2)/25))/(LN(2)/25)*Calculateur!V55*Calculateur!X55*VLOOKUP('Données projet'!$B$9,Paramètres!$A$1:$I$88,3,0)*0.475*44/12</f>
        <v>11.392550825411593</v>
      </c>
      <c r="AB55" s="23">
        <f>EXP(-LN(2)/2)*AB54+(1-EXP(-LN(2)/2))/(LN(2)/2)*V55*Y55*VLOOKUP('Données projet'!$B$9,Paramètres!$A$1:$I$88,3,0)*0.475*44/12</f>
        <v>1.9863225317781383</v>
      </c>
      <c r="AC55" s="24">
        <f t="shared" si="3"/>
        <v>23.409467530783516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262.78347246606825</v>
      </c>
      <c r="AO55" s="62">
        <f t="shared" si="36"/>
        <v>448.84541017639367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189.73730785656363</v>
      </c>
      <c r="AV55" s="23">
        <f>EXP(-LN(2)/25)*AV54+(1-EXP(-LN(2)/25))/(LN(2)/25)*Calculateur!AQ55*Calculateur!AS55*VLOOKUP('Données projet'!$B$10,Paramètres!$A$1:$I$88,3,0)*0.475*44/12</f>
        <v>47.519893936257425</v>
      </c>
      <c r="AW55" s="23">
        <f>EXP(-LN(2)/2)*AW54+(1-EXP(-LN(2)/2))/(LN(2)/2)*AQ55*AT55*VLOOKUP('Données projet'!$B$10,Paramètres!$A$1:$I$88,3,0)*0.475*44/12</f>
        <v>3.2535483067319499</v>
      </c>
      <c r="AX55" s="23">
        <f t="shared" si="6"/>
        <v>240.51075009955301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projet'!$B$11,Paramètres!$A$1:$I$88,3,0)*VLOOKUP('Données projet'!$B$11,Paramètres!$A$1:$I$88,5,0)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135.14998708332445</v>
      </c>
      <c r="BJ55" s="62">
        <f t="shared" si="38"/>
        <v>245.50083454484513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114.37454360101366</v>
      </c>
      <c r="BQ55" s="23">
        <f>EXP(-LN(2)/25)*BQ54+(1-EXP(-LN(2)/25))/(LN(2)/25)*Calculateur!BL55*Calculateur!BN55*VLOOKUP('Données projet'!$B$11,Paramètres!$A$1:$I$88,3,0)*0.475*44/12</f>
        <v>45.707783850878691</v>
      </c>
      <c r="BR55" s="23">
        <f>EXP(-LN(2)/2)*BR54+(1-EXP(-LN(2)/2))/(LN(2)/2)*BL55*BO55*VLOOKUP('Données projet'!$B$11,Paramètres!$A$1:$I$88,3,0)*0.475*44/12</f>
        <v>8.4063416039910326</v>
      </c>
      <c r="BS55" s="24">
        <f t="shared" si="9"/>
        <v>168.48866905588338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16.600000000000001</v>
      </c>
      <c r="BY55" s="13">
        <f>IF('Données projet'!$A$114&gt;35,BY54+BX55-CG54,IF(A55&lt;'Données projet'!$A$114,$BV$205^A55,IF(A55='Données projet'!$A$114,'Données projet'!$B$114,BY54+BX55-CG54)))</f>
        <v>307.19999999999993</v>
      </c>
      <c r="BZ55" s="14">
        <f>BY55*VLOOKUP('Données projet'!$B$12,Paramètres!$A$1:$I$88,3,0)*VLOOKUP('Données projet'!$B$12,Paramètres!$A$1:$I$88,5,0)</f>
        <v>183.70559999999998</v>
      </c>
      <c r="CA55" s="14">
        <f t="shared" si="39"/>
        <v>46.145633597806309</v>
      </c>
      <c r="CB55" s="22">
        <f t="shared" si="10"/>
        <v>400.32423184951267</v>
      </c>
      <c r="CC55" s="62">
        <f t="shared" si="11"/>
        <v>693.65756518284593</v>
      </c>
      <c r="CD55" s="62">
        <f ca="1">AVERAGE(OFFSET($CC$3,0,0,'Données projet'!$E$12+1,1))-AVERAGE(OFFSET($H$3,0,0,'Données projet'!$E$12+1,1))</f>
        <v>168.16583766359378</v>
      </c>
      <c r="CE55" s="62">
        <f t="shared" si="40"/>
        <v>194.52809733694494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29.22790775101868</v>
      </c>
      <c r="CL55" s="23">
        <f>EXP(-LN(2)/25)*CL54+(1-EXP(-LN(2)/25))/(LN(2)/25)*Calculateur!CG55*Calculateur!CI55*VLOOKUP('Données projet'!$B$12,Paramètres!$A$1:$I$88,3,0)*0.475*44/12</f>
        <v>20.556205102907363</v>
      </c>
      <c r="CM55" s="23">
        <f>EXP(-LN(2)/2)*CM54+(1-EXP(-LN(2)/2))/(LN(2)/2)*CG55*CJ55*VLOOKUP('Données projet'!$B$12,Paramètres!$A$1:$I$88,3,0)*0.475*44/12</f>
        <v>6.7034146384130251</v>
      </c>
      <c r="CN55" s="24">
        <f t="shared" si="12"/>
        <v>56.487527492339069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5.2</v>
      </c>
      <c r="CT55" s="13">
        <f>IF('Données projet'!$A$140&gt;35,CT54+CS55-DB54,IF(A55&lt;'Données projet'!$A$140,$CQ$205^A55,IF(A55='Données projet'!$A$140,'Données projet'!$B$140,CT54+CS55-DB54)))</f>
        <v>165.4</v>
      </c>
      <c r="CU55" s="18">
        <f>CT55*VLOOKUP('Données projet'!$B$13,Paramètres!$A$1:$I$88,3,0)*VLOOKUP('Données projet'!$B$13,Paramètres!$A$1:$I$88,5,0)</f>
        <v>144.49344000000002</v>
      </c>
      <c r="CV55" s="14">
        <f t="shared" si="41"/>
        <v>37.324489208332842</v>
      </c>
      <c r="CW55" s="22">
        <f t="shared" si="13"/>
        <v>316.66622670451306</v>
      </c>
      <c r="CX55" s="62">
        <f t="shared" si="14"/>
        <v>609.99956003784632</v>
      </c>
      <c r="CY55" s="62">
        <f ca="1">AVERAGE(OFFSET($CX$3,0,0,'Données projet'!$E$13+1,1))-AVERAGE(OFFSET($H$3,0,0,'Données projet'!$E$13+1,1))</f>
        <v>146.09202487550647</v>
      </c>
      <c r="CZ55" s="62">
        <f t="shared" si="42"/>
        <v>168.58814676269344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9.4905783291379713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9.4905783291379713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10.8</v>
      </c>
      <c r="DO55" s="13">
        <f>IF('Données projet'!$A$166&gt;35,DO54+DN55-DW54,IF(A55&lt;'Données projet'!$A$166,$DL$205^A55,IF(A55='Données projet'!$A$166,'Données projet'!$B$166,DO54+DN55-DW54)))</f>
        <v>185.60000000000011</v>
      </c>
      <c r="DP55" s="18">
        <f>DO55*VLOOKUP('Données projet'!$B$14,Paramètres!$A$1:$I$88,3,0)*VLOOKUP('Données projet'!$B$14,Paramètres!$A$1:$I$88,5,0)</f>
        <v>136.08192000000008</v>
      </c>
      <c r="DQ55" s="14">
        <f t="shared" si="43"/>
        <v>35.397950955860651</v>
      </c>
      <c r="DR55" s="22">
        <f t="shared" si="16"/>
        <v>298.66077524812414</v>
      </c>
      <c r="DS55" s="62">
        <f t="shared" si="17"/>
        <v>591.99410858145745</v>
      </c>
      <c r="DT55" s="62">
        <f ca="1">AVERAGE(OFFSET($DS$3,0,0,'Données projet'!$E$14+1,1))-AVERAGE(OFFSET($H$3,0,0,'Données projet'!$E$14+1,1))</f>
        <v>116.35584360635318</v>
      </c>
      <c r="DU55" s="62">
        <f t="shared" si="44"/>
        <v>86.38226293640173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9.927495528181085</v>
      </c>
      <c r="EB55" s="23">
        <f>EXP(-LN(2)/25)*EB54+(1-EXP(-LN(2)/25))/(LN(2)/25)*Calculateur!DW55*Calculateur!DY55*VLOOKUP('Données projet'!$B$14,Paramètres!$A$1:$I$88,3,0)*0.475*44/12</f>
        <v>0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9.927495528181085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</v>
      </c>
      <c r="N56" s="14">
        <f>IF('Données projet'!$A$36&gt;35,N55+M56-V55,IF(A56&lt;'Données projet'!$A$36,$K$205^A56,IF(A56='Données projet'!$A$36,'Données projet'!$B$36,N55+M56-V55)))</f>
        <v>280</v>
      </c>
      <c r="O56" s="14">
        <f>N56*VLOOKUP('Données projet'!$B$9,Paramètres!$A$1:$I$88,3,0)*VLOOKUP('Données projet'!$B$9,Paramètres!$A$1:$I$88,5,0)</f>
        <v>131.04</v>
      </c>
      <c r="P56" s="14">
        <f t="shared" si="33"/>
        <v>34.236561238949918</v>
      </c>
      <c r="Q56" s="22">
        <f t="shared" si="53"/>
        <v>287.85667749117107</v>
      </c>
      <c r="R56" s="62">
        <f t="shared" si="0"/>
        <v>581.19001082450438</v>
      </c>
      <c r="S56" s="62">
        <f ca="1">AVERAGE(OFFSET($R$3,0,0,'Données projet'!$E$9+1,1))-AVERAGE(OFFSET($H$3,0,0,'Données projet'!$E$9+1,1))</f>
        <v>82.229723373996478</v>
      </c>
      <c r="T56" s="62">
        <f t="shared" si="34"/>
        <v>115.86489547584461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9.833900339907947</v>
      </c>
      <c r="AA56" s="23">
        <f>EXP(-LN(2)/25)*AA55+(1-EXP(-LN(2)/25))/(LN(2)/25)*Calculateur!V56*Calculateur!X56*VLOOKUP('Données projet'!$B$9,Paramètres!$A$1:$I$88,3,0)*0.475*44/12</f>
        <v>11.081020923982503</v>
      </c>
      <c r="AB56" s="23">
        <f>EXP(-LN(2)/2)*AB55+(1-EXP(-LN(2)/2))/(LN(2)/2)*V56*Y56*VLOOKUP('Données projet'!$B$9,Paramètres!$A$1:$I$88,3,0)*0.475*44/12</f>
        <v>1.4045421318439533</v>
      </c>
      <c r="AC56" s="24">
        <f t="shared" si="3"/>
        <v>22.319463395734402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262.78347246606825</v>
      </c>
      <c r="AO56" s="62">
        <f t="shared" si="36"/>
        <v>448.84541017639367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186.01667497782699</v>
      </c>
      <c r="AV56" s="23">
        <f>EXP(-LN(2)/25)*AV55+(1-EXP(-LN(2)/25))/(LN(2)/25)*Calculateur!AQ56*Calculateur!AS56*VLOOKUP('Données projet'!$B$10,Paramètres!$A$1:$I$88,3,0)*0.475*44/12</f>
        <v>46.220459937607849</v>
      </c>
      <c r="AW56" s="23">
        <f>EXP(-LN(2)/2)*AW55+(1-EXP(-LN(2)/2))/(LN(2)/2)*AQ56*AT56*VLOOKUP('Données projet'!$B$10,Paramètres!$A$1:$I$88,3,0)*0.475*44/12</f>
        <v>2.3006060706081715</v>
      </c>
      <c r="AX56" s="23">
        <f t="shared" si="6"/>
        <v>234.53774098604302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projet'!$B$11,Paramètres!$A$1:$I$88,3,0)*VLOOKUP('Données projet'!$B$11,Paramètres!$A$1:$I$88,5,0)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135.14998708332445</v>
      </c>
      <c r="BJ56" s="62">
        <f t="shared" si="38"/>
        <v>245.50083454484513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112.13172856258099</v>
      </c>
      <c r="BQ56" s="23">
        <f>EXP(-LN(2)/25)*BQ55+(1-EXP(-LN(2)/25))/(LN(2)/25)*Calculateur!BL56*Calculateur!BN56*VLOOKUP('Données projet'!$B$11,Paramètres!$A$1:$I$88,3,0)*0.475*44/12</f>
        <v>44.457902097808528</v>
      </c>
      <c r="BR56" s="23">
        <f>EXP(-LN(2)/2)*BR55+(1-EXP(-LN(2)/2))/(LN(2)/2)*BL56*BO56*VLOOKUP('Données projet'!$B$11,Paramètres!$A$1:$I$88,3,0)*0.475*44/12</f>
        <v>5.944181153152658</v>
      </c>
      <c r="BS56" s="24">
        <f t="shared" si="9"/>
        <v>162.53381181354217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16.600000000000001</v>
      </c>
      <c r="BY56" s="13">
        <f>IF('Données projet'!$A$114&gt;35,BY55+BX56-CG55,IF(A56&lt;'Données projet'!$A$114,$BV$205^A56,IF(A56='Données projet'!$A$114,'Données projet'!$B$114,BY55+BX56-CG55)))</f>
        <v>323.79999999999995</v>
      </c>
      <c r="BZ56" s="14">
        <f>BY56*VLOOKUP('Données projet'!$B$12,Paramètres!$A$1:$I$88,3,0)*VLOOKUP('Données projet'!$B$12,Paramètres!$A$1:$I$88,5,0)</f>
        <v>193.63239999999999</v>
      </c>
      <c r="CA56" s="14">
        <f t="shared" si="39"/>
        <v>48.342137663798134</v>
      </c>
      <c r="CB56" s="22">
        <f t="shared" si="10"/>
        <v>421.43898643111498</v>
      </c>
      <c r="CC56" s="62">
        <f t="shared" si="11"/>
        <v>714.7723197644483</v>
      </c>
      <c r="CD56" s="62">
        <f ca="1">AVERAGE(OFFSET($CC$3,0,0,'Données projet'!$E$12+1,1))-AVERAGE(OFFSET($H$3,0,0,'Données projet'!$E$12+1,1))</f>
        <v>168.16583766359378</v>
      </c>
      <c r="CE56" s="62">
        <f t="shared" si="40"/>
        <v>194.52809733694494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28.654766307284635</v>
      </c>
      <c r="CL56" s="23">
        <f>EXP(-LN(2)/25)*CL55+(1-EXP(-LN(2)/25))/(LN(2)/25)*Calculateur!CG56*Calculateur!CI56*VLOOKUP('Données projet'!$B$12,Paramètres!$A$1:$I$88,3,0)*0.475*44/12</f>
        <v>19.994094593364515</v>
      </c>
      <c r="CM56" s="23">
        <f>EXP(-LN(2)/2)*CM55+(1-EXP(-LN(2)/2))/(LN(2)/2)*CG56*CJ56*VLOOKUP('Données projet'!$B$12,Paramètres!$A$1:$I$88,3,0)*0.475*44/12</f>
        <v>4.7400299479270185</v>
      </c>
      <c r="CN56" s="24">
        <f t="shared" si="12"/>
        <v>53.388890848576175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5.2</v>
      </c>
      <c r="CT56" s="13">
        <f>IF('Données projet'!$A$140&gt;35,CT55+CS56-DB55,IF(A56&lt;'Données projet'!$A$140,$CQ$205^A56,IF(A56='Données projet'!$A$140,'Données projet'!$B$140,CT55+CS56-DB55)))</f>
        <v>170.6</v>
      </c>
      <c r="CU56" s="18">
        <f>CT56*VLOOKUP('Données projet'!$B$13,Paramètres!$A$1:$I$88,3,0)*VLOOKUP('Données projet'!$B$13,Paramètres!$A$1:$I$88,5,0)</f>
        <v>149.03616</v>
      </c>
      <c r="CV56" s="14">
        <f t="shared" si="41"/>
        <v>38.35946741279561</v>
      </c>
      <c r="CW56" s="22">
        <f t="shared" si="13"/>
        <v>326.38071774395229</v>
      </c>
      <c r="CX56" s="62">
        <f t="shared" si="14"/>
        <v>619.7140510772856</v>
      </c>
      <c r="CY56" s="62">
        <f ca="1">AVERAGE(OFFSET($CX$3,0,0,'Données projet'!$E$13+1,1))-AVERAGE(OFFSET($H$3,0,0,'Données projet'!$E$13+1,1))</f>
        <v>146.09202487550647</v>
      </c>
      <c r="CZ56" s="62">
        <f t="shared" si="42"/>
        <v>168.58814676269344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9.3044738767847708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9.3044738767847708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10.8</v>
      </c>
      <c r="DO56" s="13">
        <f>IF('Données projet'!$A$166&gt;35,DO55+DN56-DW55,IF(A56&lt;'Données projet'!$A$166,$DL$205^A56,IF(A56='Données projet'!$A$166,'Données projet'!$B$166,DO55+DN56-DW55)))</f>
        <v>196.40000000000012</v>
      </c>
      <c r="DP56" s="18">
        <f>DO56*VLOOKUP('Données projet'!$B$14,Paramètres!$A$1:$I$88,3,0)*VLOOKUP('Données projet'!$B$14,Paramètres!$A$1:$I$88,5,0)</f>
        <v>144.0004800000001</v>
      </c>
      <c r="DQ56" s="14">
        <f t="shared" si="43"/>
        <v>37.211951137976968</v>
      </c>
      <c r="DR56" s="22">
        <f t="shared" si="16"/>
        <v>315.61165089864335</v>
      </c>
      <c r="DS56" s="62">
        <f t="shared" si="17"/>
        <v>608.9449842319766</v>
      </c>
      <c r="DT56" s="62">
        <f ca="1">AVERAGE(OFFSET($DS$3,0,0,'Données projet'!$E$14+1,1))-AVERAGE(OFFSET($H$3,0,0,'Données projet'!$E$14+1,1))</f>
        <v>116.35584360635318</v>
      </c>
      <c r="DU56" s="62">
        <f t="shared" si="44"/>
        <v>86.38226293640173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9.7328233960478272</v>
      </c>
      <c r="EB56" s="23">
        <f>EXP(-LN(2)/25)*EB55+(1-EXP(-LN(2)/25))/(LN(2)/25)*Calculateur!DW56*Calculateur!DY56*VLOOKUP('Données projet'!$B$14,Paramètres!$A$1:$I$88,3,0)*0.475*44/12</f>
        <v>0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9.7328233960478272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</v>
      </c>
      <c r="N57" s="14">
        <f>IF('Données projet'!$A$36&gt;35,N56+M57-V56,IF(A57&lt;'Données projet'!$A$36,$K$205^A57,IF(A57='Données projet'!$A$36,'Données projet'!$B$36,N56+M57-V56)))</f>
        <v>290</v>
      </c>
      <c r="O57" s="14">
        <f>N57*VLOOKUP('Données projet'!$B$9,Paramètres!$A$1:$I$88,3,0)*VLOOKUP('Données projet'!$B$9,Paramètres!$A$1:$I$88,5,0)</f>
        <v>135.72</v>
      </c>
      <c r="P57" s="14">
        <f t="shared" si="33"/>
        <v>35.314752882348131</v>
      </c>
      <c r="Q57" s="22">
        <f t="shared" si="53"/>
        <v>297.88552793675632</v>
      </c>
      <c r="R57" s="62">
        <f t="shared" si="0"/>
        <v>591.21886127008963</v>
      </c>
      <c r="S57" s="62">
        <f ca="1">AVERAGE(OFFSET($R$3,0,0,'Données projet'!$E$9+1,1))-AVERAGE(OFFSET($H$3,0,0,'Données projet'!$E$9+1,1))</f>
        <v>82.229723373996478</v>
      </c>
      <c r="T57" s="62">
        <f t="shared" si="34"/>
        <v>115.86489547584461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9.6410635523292978</v>
      </c>
      <c r="AA57" s="23">
        <f>EXP(-LN(2)/25)*AA56+(1-EXP(-LN(2)/25))/(LN(2)/25)*Calculateur!V57*Calculateur!X57*VLOOKUP('Données projet'!$B$9,Paramètres!$A$1:$I$88,3,0)*0.475*44/12</f>
        <v>10.778009824090638</v>
      </c>
      <c r="AB57" s="23">
        <f>EXP(-LN(2)/2)*AB56+(1-EXP(-LN(2)/2))/(LN(2)/2)*V57*Y57*VLOOKUP('Données projet'!$B$9,Paramètres!$A$1:$I$88,3,0)*0.475*44/12</f>
        <v>0.99316126588906928</v>
      </c>
      <c r="AC57" s="24">
        <f t="shared" si="3"/>
        <v>21.412234642309006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262.78347246606825</v>
      </c>
      <c r="AO57" s="62">
        <f t="shared" si="36"/>
        <v>448.84541017639367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182.36900144048039</v>
      </c>
      <c r="AV57" s="23">
        <f>EXP(-LN(2)/25)*AV56+(1-EXP(-LN(2)/25))/(LN(2)/25)*Calculateur!AQ57*Calculateur!AS57*VLOOKUP('Données projet'!$B$10,Paramètres!$A$1:$I$88,3,0)*0.475*44/12</f>
        <v>44.956559029985613</v>
      </c>
      <c r="AW57" s="23">
        <f>EXP(-LN(2)/2)*AW56+(1-EXP(-LN(2)/2))/(LN(2)/2)*AQ57*AT57*VLOOKUP('Données projet'!$B$10,Paramètres!$A$1:$I$88,3,0)*0.475*44/12</f>
        <v>1.6267741533659754</v>
      </c>
      <c r="AX57" s="23">
        <f t="shared" si="6"/>
        <v>228.95233462383197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projet'!$B$11,Paramètres!$A$1:$I$88,3,0)*VLOOKUP('Données projet'!$B$11,Paramètres!$A$1:$I$88,5,0)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135.14998708332445</v>
      </c>
      <c r="BJ57" s="62">
        <f t="shared" si="38"/>
        <v>245.50083454484513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109.9328937590699</v>
      </c>
      <c r="BQ57" s="23">
        <f>EXP(-LN(2)/25)*BQ56+(1-EXP(-LN(2)/25))/(LN(2)/25)*Calculateur!BL57*Calculateur!BN57*VLOOKUP('Données projet'!$B$11,Paramètres!$A$1:$I$88,3,0)*0.475*44/12</f>
        <v>43.242198427004496</v>
      </c>
      <c r="BR57" s="23">
        <f>EXP(-LN(2)/2)*BR56+(1-EXP(-LN(2)/2))/(LN(2)/2)*BL57*BO57*VLOOKUP('Données projet'!$B$11,Paramètres!$A$1:$I$88,3,0)*0.475*44/12</f>
        <v>4.2031708019955163</v>
      </c>
      <c r="BS57" s="24">
        <f t="shared" si="9"/>
        <v>157.37826298806991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16.600000000000001</v>
      </c>
      <c r="BY57" s="13">
        <f>IF('Données projet'!$A$114&gt;35,BY56+BX57-CG56,IF(A57&lt;'Données projet'!$A$114,$BV$205^A57,IF(A57='Données projet'!$A$114,'Données projet'!$B$114,BY56+BX57-CG56)))</f>
        <v>340.4</v>
      </c>
      <c r="BZ57" s="14">
        <f>BY57*VLOOKUP('Données projet'!$B$12,Paramètres!$A$1:$I$88,3,0)*VLOOKUP('Données projet'!$B$12,Paramètres!$A$1:$I$88,5,0)</f>
        <v>203.5592</v>
      </c>
      <c r="CA57" s="14">
        <f t="shared" si="39"/>
        <v>50.525567323951307</v>
      </c>
      <c r="CB57" s="22">
        <f t="shared" si="10"/>
        <v>442.53096975588187</v>
      </c>
      <c r="CC57" s="62">
        <f t="shared" si="11"/>
        <v>735.86430308921513</v>
      </c>
      <c r="CD57" s="62">
        <f ca="1">AVERAGE(OFFSET($CC$3,0,0,'Données projet'!$E$12+1,1))-AVERAGE(OFFSET($H$3,0,0,'Données projet'!$E$12+1,1))</f>
        <v>168.16583766359378</v>
      </c>
      <c r="CE57" s="62">
        <f t="shared" si="40"/>
        <v>194.52809733694494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28.092863817680453</v>
      </c>
      <c r="CL57" s="23">
        <f>EXP(-LN(2)/25)*CL56+(1-EXP(-LN(2)/25))/(LN(2)/25)*Calculateur!CG57*Calculateur!CI57*VLOOKUP('Données projet'!$B$12,Paramètres!$A$1:$I$88,3,0)*0.475*44/12</f>
        <v>19.447355025265225</v>
      </c>
      <c r="CM57" s="23">
        <f>EXP(-LN(2)/2)*CM56+(1-EXP(-LN(2)/2))/(LN(2)/2)*CG57*CJ57*VLOOKUP('Données projet'!$B$12,Paramètres!$A$1:$I$88,3,0)*0.475*44/12</f>
        <v>3.3517073192065125</v>
      </c>
      <c r="CN57" s="24">
        <f t="shared" si="12"/>
        <v>50.891926162152188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5.2</v>
      </c>
      <c r="CT57" s="13">
        <f>IF('Données projet'!$A$140&gt;35,CT56+CS57-DB56,IF(A57&lt;'Données projet'!$A$140,$CQ$205^A57,IF(A57='Données projet'!$A$140,'Données projet'!$B$140,CT56+CS57-DB56)))</f>
        <v>175.79999999999998</v>
      </c>
      <c r="CU57" s="18">
        <f>CT57*VLOOKUP('Données projet'!$B$13,Paramètres!$A$1:$I$88,3,0)*VLOOKUP('Données projet'!$B$13,Paramètres!$A$1:$I$88,5,0)</f>
        <v>153.57888</v>
      </c>
      <c r="CV57" s="14">
        <f t="shared" si="41"/>
        <v>39.390779474606148</v>
      </c>
      <c r="CW57" s="22">
        <f t="shared" si="13"/>
        <v>336.08882358493901</v>
      </c>
      <c r="CX57" s="62">
        <f t="shared" si="14"/>
        <v>629.42215691827232</v>
      </c>
      <c r="CY57" s="62">
        <f ca="1">AVERAGE(OFFSET($CX$3,0,0,'Données projet'!$E$13+1,1))-AVERAGE(OFFSET($H$3,0,0,'Données projet'!$E$13+1,1))</f>
        <v>146.09202487550647</v>
      </c>
      <c r="CZ57" s="62">
        <f t="shared" si="42"/>
        <v>168.58814676269344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9.1220188192297105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9.1220188192297105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10.8</v>
      </c>
      <c r="DO57" s="13">
        <f>IF('Données projet'!$A$166&gt;35,DO56+DN57-DW56,IF(A57&lt;'Données projet'!$A$166,$DL$205^A57,IF(A57='Données projet'!$A$166,'Données projet'!$B$166,DO56+DN57-DW56)))</f>
        <v>207.20000000000013</v>
      </c>
      <c r="DP57" s="18">
        <f>DO57*VLOOKUP('Données projet'!$B$14,Paramètres!$A$1:$I$88,3,0)*VLOOKUP('Données projet'!$B$14,Paramètres!$A$1:$I$88,5,0)</f>
        <v>151.91904000000008</v>
      </c>
      <c r="DQ57" s="14">
        <f t="shared" si="43"/>
        <v>39.014371161543444</v>
      </c>
      <c r="DR57" s="22">
        <f t="shared" si="16"/>
        <v>332.54235777302159</v>
      </c>
      <c r="DS57" s="62">
        <f t="shared" si="17"/>
        <v>625.87569110635491</v>
      </c>
      <c r="DT57" s="62">
        <f ca="1">AVERAGE(OFFSET($DS$3,0,0,'Données projet'!$E$14+1,1))-AVERAGE(OFFSET($H$3,0,0,'Données projet'!$E$14+1,1))</f>
        <v>116.35584360635318</v>
      </c>
      <c r="DU57" s="62">
        <f t="shared" si="44"/>
        <v>86.38226293640173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9.5419686656874259</v>
      </c>
      <c r="EB57" s="23">
        <f>EXP(-LN(2)/25)*EB56+(1-EXP(-LN(2)/25))/(LN(2)/25)*Calculateur!DW57*Calculateur!DY57*VLOOKUP('Données projet'!$B$14,Paramètres!$A$1:$I$88,3,0)*0.475*44/12</f>
        <v>0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9.5419686656874259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</v>
      </c>
      <c r="N58" s="14">
        <f>IF('Données projet'!$A$36&gt;35,N57+M58-V57,IF(A58&lt;'Données projet'!$A$36,$K$205^A58,IF(A58='Données projet'!$A$36,'Données projet'!$B$36,N57+M58-V57)))</f>
        <v>300</v>
      </c>
      <c r="O58" s="14">
        <f>N58*VLOOKUP('Données projet'!$B$9,Paramètres!$A$1:$I$88,3,0)*VLOOKUP('Données projet'!$B$9,Paramètres!$A$1:$I$88,5,0)</f>
        <v>140.4</v>
      </c>
      <c r="P58" s="14">
        <f t="shared" si="33"/>
        <v>36.388624656711201</v>
      </c>
      <c r="Q58" s="22">
        <f t="shared" si="53"/>
        <v>307.90685461043864</v>
      </c>
      <c r="R58" s="62">
        <f t="shared" si="0"/>
        <v>601.24018794377196</v>
      </c>
      <c r="S58" s="62">
        <f ca="1">AVERAGE(OFFSET($R$3,0,0,'Données projet'!$E$9+1,1))-AVERAGE(OFFSET($H$3,0,0,'Données projet'!$E$9+1,1))</f>
        <v>82.229723373996478</v>
      </c>
      <c r="T58" s="62">
        <f t="shared" si="34"/>
        <v>115.86489547584461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9.4520081765362391</v>
      </c>
      <c r="AA58" s="23">
        <f>EXP(-LN(2)/25)*AA57+(1-EXP(-LN(2)/25))/(LN(2)/25)*Calculateur!V58*Calculateur!X58*VLOOKUP('Données projet'!$B$9,Paramètres!$A$1:$I$88,3,0)*0.475*44/12</f>
        <v>10.483284578659976</v>
      </c>
      <c r="AB58" s="23">
        <f>EXP(-LN(2)/2)*AB57+(1-EXP(-LN(2)/2))/(LN(2)/2)*V58*Y58*VLOOKUP('Données projet'!$B$9,Paramètres!$A$1:$I$88,3,0)*0.475*44/12</f>
        <v>0.70227106592197674</v>
      </c>
      <c r="AC58" s="24">
        <f t="shared" si="3"/>
        <v>20.637563821118192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262.78347246606825</v>
      </c>
      <c r="AO58" s="62">
        <f t="shared" si="36"/>
        <v>448.84541017639367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178.79285655633998</v>
      </c>
      <c r="AV58" s="23">
        <f>EXP(-LN(2)/25)*AV57+(1-EXP(-LN(2)/25))/(LN(2)/25)*Calculateur!AQ58*Calculateur!AS58*VLOOKUP('Données projet'!$B$10,Paramètres!$A$1:$I$88,3,0)*0.475*44/12</f>
        <v>43.727219559147969</v>
      </c>
      <c r="AW58" s="23">
        <f>EXP(-LN(2)/2)*AW57+(1-EXP(-LN(2)/2))/(LN(2)/2)*AQ58*AT58*VLOOKUP('Données projet'!$B$10,Paramètres!$A$1:$I$88,3,0)*0.475*44/12</f>
        <v>1.150303035304086</v>
      </c>
      <c r="AX58" s="23">
        <f t="shared" si="6"/>
        <v>223.67037915079203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projet'!$B$11,Paramètres!$A$1:$I$88,3,0)*VLOOKUP('Données projet'!$B$11,Paramètres!$A$1:$I$88,5,0)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135.14998708332445</v>
      </c>
      <c r="BJ58" s="62">
        <f t="shared" si="38"/>
        <v>245.50083454484513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107.77717676489885</v>
      </c>
      <c r="BQ58" s="23">
        <f>EXP(-LN(2)/25)*BQ57+(1-EXP(-LN(2)/25))/(LN(2)/25)*Calculateur!BL58*Calculateur!BN58*VLOOKUP('Données projet'!$B$11,Paramètres!$A$1:$I$88,3,0)*0.475*44/12</f>
        <v>42.059738237009675</v>
      </c>
      <c r="BR58" s="23">
        <f>EXP(-LN(2)/2)*BR57+(1-EXP(-LN(2)/2))/(LN(2)/2)*BL58*BO58*VLOOKUP('Données projet'!$B$11,Paramètres!$A$1:$I$88,3,0)*0.475*44/12</f>
        <v>2.972090576576329</v>
      </c>
      <c r="BS58" s="24">
        <f t="shared" si="9"/>
        <v>152.80900557848486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16.600000000000001</v>
      </c>
      <c r="BY58" s="13">
        <f>IF('Données projet'!$A$114&gt;35,BY57+BX58-CG57,IF(A58&lt;'Données projet'!$A$114,$BV$205^A58,IF(A58='Données projet'!$A$114,'Données projet'!$B$114,BY57+BX58-CG57)))</f>
        <v>357</v>
      </c>
      <c r="BZ58" s="14">
        <f>BY58*VLOOKUP('Données projet'!$B$12,Paramètres!$A$1:$I$88,3,0)*VLOOKUP('Données projet'!$B$12,Paramètres!$A$1:$I$88,5,0)</f>
        <v>213.48600000000002</v>
      </c>
      <c r="CA58" s="14">
        <f t="shared" si="39"/>
        <v>52.696632942005166</v>
      </c>
      <c r="CB58" s="22">
        <f t="shared" si="10"/>
        <v>463.60141904065904</v>
      </c>
      <c r="CC58" s="62">
        <f t="shared" si="11"/>
        <v>756.9347523739923</v>
      </c>
      <c r="CD58" s="62">
        <f ca="1">AVERAGE(OFFSET($CC$3,0,0,'Données projet'!$E$12+1,1))-AVERAGE(OFFSET($H$3,0,0,'Données projet'!$E$12+1,1))</f>
        <v>168.16583766359378</v>
      </c>
      <c r="CE58" s="62">
        <f t="shared" si="40"/>
        <v>194.52809733694494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27.54197989317073</v>
      </c>
      <c r="CL58" s="23">
        <f>EXP(-LN(2)/25)*CL57+(1-EXP(-LN(2)/25))/(LN(2)/25)*Calculateur!CG58*Calculateur!CI58*VLOOKUP('Données projet'!$B$12,Paramètres!$A$1:$I$88,3,0)*0.475*44/12</f>
        <v>18.915566079407395</v>
      </c>
      <c r="CM58" s="23">
        <f>EXP(-LN(2)/2)*CM57+(1-EXP(-LN(2)/2))/(LN(2)/2)*CG58*CJ58*VLOOKUP('Données projet'!$B$12,Paramètres!$A$1:$I$88,3,0)*0.475*44/12</f>
        <v>2.3700149739635092</v>
      </c>
      <c r="CN58" s="24">
        <f t="shared" si="12"/>
        <v>48.827560946541631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181</v>
      </c>
      <c r="CR58" s="13">
        <f>VLOOKUP(A58,'Données projet'!$A$139:$I$159,9,0)</f>
        <v>5.2</v>
      </c>
      <c r="CS58" s="13">
        <f t="array" ref="CS58">INDEX(CR:CR,MIN(IF(ISNUMBER(CR58:CR254),ROW(CR58:CR254),"")))</f>
        <v>5.2</v>
      </c>
      <c r="CT58" s="13">
        <f>IF('Données projet'!$A$140&gt;35,CT57+CS58-DB57,IF(A58&lt;'Données projet'!$A$140,$CQ$205^A58,IF(A58='Données projet'!$A$140,'Données projet'!$B$140,CT57+CS58-DB57)))</f>
        <v>180.99999999999997</v>
      </c>
      <c r="CU58" s="18">
        <f>CT58*VLOOKUP('Données projet'!$B$13,Paramètres!$A$1:$I$88,3,0)*VLOOKUP('Données projet'!$B$13,Paramètres!$A$1:$I$88,5,0)</f>
        <v>158.1216</v>
      </c>
      <c r="CV58" s="14">
        <f t="shared" si="41"/>
        <v>40.418546284954211</v>
      </c>
      <c r="CW58" s="22">
        <f t="shared" si="13"/>
        <v>345.79075477962851</v>
      </c>
      <c r="CX58" s="62">
        <f t="shared" si="14"/>
        <v>639.12408811296177</v>
      </c>
      <c r="CY58" s="62">
        <f ca="1">AVERAGE(OFFSET($CX$3,0,0,'Données projet'!$E$13+1,1))-AVERAGE(OFFSET($H$3,0,0,'Données projet'!$E$13+1,1))</f>
        <v>146.09202487550647</v>
      </c>
      <c r="CZ58" s="62">
        <f t="shared" si="42"/>
        <v>168.58814676269344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17</v>
      </c>
      <c r="DC58" s="17">
        <f>IF(ISNA(VLOOKUP(A58,'Données projet'!$A$139:$I$159,5,0)),0%,VLOOKUP(A58,'Données projet'!$A$139:$I$159,5,0)*VLOOKUP('Données projet'!$B$13,Paramètres!$A$1:$I$88,7,0))</f>
        <v>0.25800000000000001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13.178872512800803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13.178872512800803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10.8</v>
      </c>
      <c r="DN58" s="13">
        <f t="array" ref="DN58">INDEX(DM:DM,MIN(IF(ISNUMBER(DM58:DM254),ROW(DM58:DM254),"")))</f>
        <v>10.8</v>
      </c>
      <c r="DO58" s="13">
        <f>IF('Données projet'!$A$166&gt;35,DO57+DN58-DW57,IF(A58&lt;'Données projet'!$A$166,$DL$205^A58,IF(A58='Données projet'!$A$166,'Données projet'!$B$166,DO57+DN58-DW57)))</f>
        <v>218.00000000000014</v>
      </c>
      <c r="DP58" s="18">
        <f>DO58*VLOOKUP('Données projet'!$B$14,Paramètres!$A$1:$I$88,3,0)*VLOOKUP('Données projet'!$B$14,Paramètres!$A$1:$I$88,5,0)</f>
        <v>159.83760000000009</v>
      </c>
      <c r="DQ58" s="14">
        <f t="shared" si="43"/>
        <v>40.805883468734962</v>
      </c>
      <c r="DR58" s="22">
        <f t="shared" si="16"/>
        <v>349.45406704138014</v>
      </c>
      <c r="DS58" s="62">
        <f t="shared" si="17"/>
        <v>642.78740037471346</v>
      </c>
      <c r="DT58" s="62">
        <f ca="1">AVERAGE(OFFSET($DS$3,0,0,'Données projet'!$E$14+1,1))-AVERAGE(OFFSET($H$3,0,0,'Données projet'!$E$14+1,1))</f>
        <v>116.35584360635318</v>
      </c>
      <c r="DU58" s="62">
        <f t="shared" si="44"/>
        <v>86.38226293640173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35</v>
      </c>
      <c r="DX58" s="17">
        <f>IF(ISNA(VLOOKUP(A58,'Données projet'!$A$165:$I$185,5,0)),0%,VLOOKUP(A58,'Données projet'!$A$165:$I$185,5,0)*VLOOKUP('Données projet'!$B$14,Paramètres!$A$1:$I$88,7,0))</f>
        <v>0.215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15.454101369288033</v>
      </c>
      <c r="EB58" s="23">
        <f>EXP(-LN(2)/25)*EB57+(1-EXP(-LN(2)/25))/(LN(2)/25)*Calculateur!DW58*Calculateur!DY58*VLOOKUP('Données projet'!$B$14,Paramètres!$A$1:$I$88,3,0)*0.475*44/12</f>
        <v>0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15.454101369288033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</v>
      </c>
      <c r="N59" s="14">
        <f>IF('Données projet'!$A$36&gt;35,N58+M59-V58,IF(A59&lt;'Données projet'!$A$36,$K$205^A59,IF(A59='Données projet'!$A$36,'Données projet'!$B$36,N58+M59-V58)))</f>
        <v>310</v>
      </c>
      <c r="O59" s="14">
        <f>N59*VLOOKUP('Données projet'!$B$9,Paramètres!$A$1:$I$88,3,0)*VLOOKUP('Données projet'!$B$9,Paramètres!$A$1:$I$88,5,0)</f>
        <v>145.07999999999998</v>
      </c>
      <c r="P59" s="14">
        <f t="shared" si="33"/>
        <v>37.458337067672986</v>
      </c>
      <c r="Q59" s="22">
        <f t="shared" si="53"/>
        <v>317.92093705953039</v>
      </c>
      <c r="R59" s="62">
        <f t="shared" si="0"/>
        <v>611.25427039286365</v>
      </c>
      <c r="S59" s="62">
        <f ca="1">AVERAGE(OFFSET($R$3,0,0,'Données projet'!$E$9+1,1))-AVERAGE(OFFSET($H$3,0,0,'Données projet'!$E$9+1,1))</f>
        <v>82.229723373996478</v>
      </c>
      <c r="T59" s="62">
        <f t="shared" si="34"/>
        <v>115.86489547584461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9.2666600613500894</v>
      </c>
      <c r="AA59" s="23">
        <f>EXP(-LN(2)/25)*AA58+(1-EXP(-LN(2)/25))/(LN(2)/25)*Calculateur!V59*Calculateur!X59*VLOOKUP('Données projet'!$B$9,Paramètres!$A$1:$I$88,3,0)*0.475*44/12</f>
        <v>10.196618610564544</v>
      </c>
      <c r="AB59" s="23">
        <f>EXP(-LN(2)/2)*AB58+(1-EXP(-LN(2)/2))/(LN(2)/2)*V59*Y59*VLOOKUP('Données projet'!$B$9,Paramètres!$A$1:$I$88,3,0)*0.475*44/12</f>
        <v>0.49658063294453475</v>
      </c>
      <c r="AC59" s="24">
        <f t="shared" si="3"/>
        <v>19.959859304859169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262.78347246606825</v>
      </c>
      <c r="AO59" s="62">
        <f t="shared" si="36"/>
        <v>448.84541017639367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175.28683769214459</v>
      </c>
      <c r="AV59" s="23">
        <f>EXP(-LN(2)/25)*AV58+(1-EXP(-LN(2)/25))/(LN(2)/25)*Calculateur!AQ59*Calculateur!AS59*VLOOKUP('Données projet'!$B$10,Paramètres!$A$1:$I$88,3,0)*0.475*44/12</f>
        <v>42.53149644078853</v>
      </c>
      <c r="AW59" s="23">
        <f>EXP(-LN(2)/2)*AW58+(1-EXP(-LN(2)/2))/(LN(2)/2)*AQ59*AT59*VLOOKUP('Données projet'!$B$10,Paramètres!$A$1:$I$88,3,0)*0.475*44/12</f>
        <v>0.81338707668298782</v>
      </c>
      <c r="AX59" s="23">
        <f t="shared" si="6"/>
        <v>218.6317212096161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projet'!$B$11,Paramètres!$A$1:$I$88,3,0)*VLOOKUP('Données projet'!$B$11,Paramètres!$A$1:$I$88,5,0)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135.14998708332445</v>
      </c>
      <c r="BJ59" s="62">
        <f t="shared" si="38"/>
        <v>245.50083454484513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105.66373206612597</v>
      </c>
      <c r="BQ59" s="23">
        <f>EXP(-LN(2)/25)*BQ58+(1-EXP(-LN(2)/25))/(LN(2)/25)*Calculateur!BL59*Calculateur!BN59*VLOOKUP('Données projet'!$B$11,Paramètres!$A$1:$I$88,3,0)*0.475*44/12</f>
        <v>40.909612483093142</v>
      </c>
      <c r="BR59" s="23">
        <f>EXP(-LN(2)/2)*BR58+(1-EXP(-LN(2)/2))/(LN(2)/2)*BL59*BO59*VLOOKUP('Données projet'!$B$11,Paramètres!$A$1:$I$88,3,0)*0.475*44/12</f>
        <v>2.1015854009977581</v>
      </c>
      <c r="BS59" s="24">
        <f t="shared" si="9"/>
        <v>148.67492995021686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16.600000000000001</v>
      </c>
      <c r="BY59" s="13">
        <f>IF('Données projet'!$A$114&gt;35,BY58+BX59-CG58,IF(A59&lt;'Données projet'!$A$114,$BV$205^A59,IF(A59='Données projet'!$A$114,'Données projet'!$B$114,BY58+BX59-CG58)))</f>
        <v>373.6</v>
      </c>
      <c r="BZ59" s="14">
        <f>BY59*VLOOKUP('Données projet'!$B$12,Paramètres!$A$1:$I$88,3,0)*VLOOKUP('Données projet'!$B$12,Paramètres!$A$1:$I$88,5,0)</f>
        <v>223.41280000000003</v>
      </c>
      <c r="CA59" s="14">
        <f t="shared" si="39"/>
        <v>54.855975086335953</v>
      </c>
      <c r="CB59" s="22">
        <f t="shared" si="10"/>
        <v>484.65144994203519</v>
      </c>
      <c r="CC59" s="62">
        <f t="shared" si="11"/>
        <v>777.9847832753685</v>
      </c>
      <c r="CD59" s="62">
        <f ca="1">AVERAGE(OFFSET($CC$3,0,0,'Données projet'!$E$12+1,1))-AVERAGE(OFFSET($H$3,0,0,'Données projet'!$E$12+1,1))</f>
        <v>168.16583766359378</v>
      </c>
      <c r="CE59" s="62">
        <f t="shared" si="40"/>
        <v>194.52809733694494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27.001898466414627</v>
      </c>
      <c r="CL59" s="23">
        <f>EXP(-LN(2)/25)*CL58+(1-EXP(-LN(2)/25))/(LN(2)/25)*Calculateur!CG59*Calculateur!CI59*VLOOKUP('Données projet'!$B$12,Paramètres!$A$1:$I$88,3,0)*0.475*44/12</f>
        <v>18.398318930239611</v>
      </c>
      <c r="CM59" s="23">
        <f>EXP(-LN(2)/2)*CM58+(1-EXP(-LN(2)/2))/(LN(2)/2)*CG59*CJ59*VLOOKUP('Données projet'!$B$12,Paramètres!$A$1:$I$88,3,0)*0.475*44/12</f>
        <v>1.6758536596032563</v>
      </c>
      <c r="CN59" s="24">
        <f t="shared" si="12"/>
        <v>47.076071056257497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</v>
      </c>
      <c r="CT59" s="13">
        <f>IF('Données projet'!$A$140&gt;35,CT58+CS59-DB58,IF(A59&lt;'Données projet'!$A$140,$CQ$205^A59,IF(A59='Données projet'!$A$140,'Données projet'!$B$140,CT58+CS59-DB58)))</f>
        <v>168.99999999999997</v>
      </c>
      <c r="CU59" s="18">
        <f>CT59*VLOOKUP('Données projet'!$B$13,Paramètres!$A$1:$I$88,3,0)*VLOOKUP('Données projet'!$B$13,Paramètres!$A$1:$I$88,5,0)</f>
        <v>147.63839999999999</v>
      </c>
      <c r="CV59" s="14">
        <f t="shared" si="41"/>
        <v>38.041408878951295</v>
      </c>
      <c r="CW59" s="22">
        <f t="shared" si="13"/>
        <v>323.39233379750681</v>
      </c>
      <c r="CX59" s="62">
        <f t="shared" si="14"/>
        <v>616.72566713084007</v>
      </c>
      <c r="CY59" s="62">
        <f ca="1">AVERAGE(OFFSET($CX$3,0,0,'Données projet'!$E$13+1,1))-AVERAGE(OFFSET($H$3,0,0,'Données projet'!$E$13+1,1))</f>
        <v>146.09202487550647</v>
      </c>
      <c r="CZ59" s="62">
        <f t="shared" si="42"/>
        <v>168.58814676269344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12.920442861143293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12.920442861143293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11</v>
      </c>
      <c r="DO59" s="13">
        <f>IF('Données projet'!$A$166&gt;35,DO58+DN59-DW58,IF(A59&lt;'Données projet'!$A$166,$DL$205^A59,IF(A59='Données projet'!$A$166,'Données projet'!$B$166,DO58+DN59-DW58)))</f>
        <v>194.00000000000014</v>
      </c>
      <c r="DP59" s="18">
        <f>DO59*VLOOKUP('Données projet'!$B$14,Paramètres!$A$1:$I$88,3,0)*VLOOKUP('Données projet'!$B$14,Paramètres!$A$1:$I$88,5,0)</f>
        <v>142.24080000000009</v>
      </c>
      <c r="DQ59" s="14">
        <f t="shared" si="43"/>
        <v>36.80986594396542</v>
      </c>
      <c r="DR59" s="22">
        <f t="shared" si="16"/>
        <v>311.84657651907327</v>
      </c>
      <c r="DS59" s="62">
        <f t="shared" si="17"/>
        <v>605.17990985240658</v>
      </c>
      <c r="DT59" s="62">
        <f ca="1">AVERAGE(OFFSET($DS$3,0,0,'Données projet'!$E$14+1,1))-AVERAGE(OFFSET($H$3,0,0,'Données projet'!$E$14+1,1))</f>
        <v>116.35584360635318</v>
      </c>
      <c r="DU59" s="62">
        <f t="shared" si="44"/>
        <v>86.38226293640173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15.151055867507383</v>
      </c>
      <c r="EB59" s="23">
        <f>EXP(-LN(2)/25)*EB58+(1-EXP(-LN(2)/25))/(LN(2)/25)*Calculateur!DW59*Calculateur!DY59*VLOOKUP('Données projet'!$B$14,Paramètres!$A$1:$I$88,3,0)*0.475*44/12</f>
        <v>0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15.151055867507383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</v>
      </c>
      <c r="N60" s="14">
        <f>IF('Données projet'!$A$36&gt;35,N59+M60-V59,IF(A60&lt;'Données projet'!$A$36,$K$205^A60,IF(A60='Données projet'!$A$36,'Données projet'!$B$36,N59+M60-V59)))</f>
        <v>320</v>
      </c>
      <c r="O60" s="14">
        <f>N60*VLOOKUP('Données projet'!$B$9,Paramètres!$A$1:$I$88,3,0)*VLOOKUP('Données projet'!$B$9,Paramètres!$A$1:$I$88,5,0)</f>
        <v>149.76</v>
      </c>
      <c r="P60" s="14">
        <f t="shared" si="33"/>
        <v>38.524039677774802</v>
      </c>
      <c r="Q60" s="22">
        <f t="shared" si="53"/>
        <v>327.92803577212442</v>
      </c>
      <c r="R60" s="62">
        <f t="shared" si="0"/>
        <v>621.26136910545779</v>
      </c>
      <c r="S60" s="62">
        <f ca="1">AVERAGE(OFFSET($R$3,0,0,'Données projet'!$E$9+1,1))-AVERAGE(OFFSET($H$3,0,0,'Données projet'!$E$9+1,1))</f>
        <v>82.229723373996478</v>
      </c>
      <c r="T60" s="62">
        <f t="shared" si="34"/>
        <v>115.86489547584461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9.0849465096515534</v>
      </c>
      <c r="AA60" s="23">
        <f>EXP(-LN(2)/25)*AA59+(1-EXP(-LN(2)/25))/(LN(2)/25)*Calculateur!V60*Calculateur!X60*VLOOKUP('Données projet'!$B$9,Paramètres!$A$1:$I$88,3,0)*0.475*44/12</f>
        <v>9.9177915384417883</v>
      </c>
      <c r="AB60" s="23">
        <f>EXP(-LN(2)/2)*AB59+(1-EXP(-LN(2)/2))/(LN(2)/2)*V60*Y60*VLOOKUP('Données projet'!$B$9,Paramètres!$A$1:$I$88,3,0)*0.475*44/12</f>
        <v>0.35113553296098843</v>
      </c>
      <c r="AC60" s="24">
        <f t="shared" si="3"/>
        <v>19.35387358105433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262.78347246606825</v>
      </c>
      <c r="AO60" s="62">
        <f t="shared" si="36"/>
        <v>448.84541017639367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171.84956971941571</v>
      </c>
      <c r="AV60" s="23">
        <f>EXP(-LN(2)/25)*AV59+(1-EXP(-LN(2)/25))/(LN(2)/25)*Calculateur!AQ60*Calculateur!AS60*VLOOKUP('Données projet'!$B$10,Paramètres!$A$1:$I$88,3,0)*0.475*44/12</f>
        <v>41.368470433980974</v>
      </c>
      <c r="AW60" s="23">
        <f>EXP(-LN(2)/2)*AW59+(1-EXP(-LN(2)/2))/(LN(2)/2)*AQ60*AT60*VLOOKUP('Données projet'!$B$10,Paramètres!$A$1:$I$88,3,0)*0.475*44/12</f>
        <v>0.57515151765204309</v>
      </c>
      <c r="AX60" s="23">
        <f t="shared" si="6"/>
        <v>213.79319167104873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projet'!$B$11,Paramètres!$A$1:$I$88,3,0)*VLOOKUP('Données projet'!$B$11,Paramètres!$A$1:$I$88,5,0)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135.14998708332445</v>
      </c>
      <c r="BJ60" s="62">
        <f t="shared" si="38"/>
        <v>245.50083454484513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103.59173072882204</v>
      </c>
      <c r="BQ60" s="23">
        <f>EXP(-LN(2)/25)*BQ59+(1-EXP(-LN(2)/25))/(LN(2)/25)*Calculateur!BL60*Calculateur!BN60*VLOOKUP('Données projet'!$B$11,Paramètres!$A$1:$I$88,3,0)*0.475*44/12</f>
        <v>39.790936978399941</v>
      </c>
      <c r="BR60" s="23">
        <f>EXP(-LN(2)/2)*BR59+(1-EXP(-LN(2)/2))/(LN(2)/2)*BL60*BO60*VLOOKUP('Données projet'!$B$11,Paramètres!$A$1:$I$88,3,0)*0.475*44/12</f>
        <v>1.4860452882881645</v>
      </c>
      <c r="BS60" s="24">
        <f t="shared" si="9"/>
        <v>144.86871299551012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16.600000000000001</v>
      </c>
      <c r="BY60" s="13">
        <f>IF('Données projet'!$A$114&gt;35,BY59+BX60-CG59,IF(A60&lt;'Données projet'!$A$114,$BV$205^A60,IF(A60='Données projet'!$A$114,'Données projet'!$B$114,BY59+BX60-CG59)))</f>
        <v>390.20000000000005</v>
      </c>
      <c r="BZ60" s="14">
        <f>BY60*VLOOKUP('Données projet'!$B$12,Paramètres!$A$1:$I$88,3,0)*VLOOKUP('Données projet'!$B$12,Paramètres!$A$1:$I$88,5,0)</f>
        <v>233.33960000000002</v>
      </c>
      <c r="CA60" s="14">
        <f t="shared" si="39"/>
        <v>57.004174182771976</v>
      </c>
      <c r="CB60" s="22">
        <f t="shared" si="10"/>
        <v>505.68207336832785</v>
      </c>
      <c r="CC60" s="62">
        <f t="shared" si="11"/>
        <v>799.01540670166116</v>
      </c>
      <c r="CD60" s="62">
        <f ca="1">AVERAGE(OFFSET($CC$3,0,0,'Données projet'!$E$12+1,1))-AVERAGE(OFFSET($H$3,0,0,'Données projet'!$E$12+1,1))</f>
        <v>168.16583766359378</v>
      </c>
      <c r="CE60" s="62">
        <f t="shared" si="40"/>
        <v>194.52809733694494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26.472407707020068</v>
      </c>
      <c r="CL60" s="23">
        <f>EXP(-LN(2)/25)*CL59+(1-EXP(-LN(2)/25))/(LN(2)/25)*Calculateur!CG60*Calculateur!CI60*VLOOKUP('Données projet'!$B$12,Paramètres!$A$1:$I$88,3,0)*0.475*44/12</f>
        <v>17.895215931566668</v>
      </c>
      <c r="CM60" s="23">
        <f>EXP(-LN(2)/2)*CM59+(1-EXP(-LN(2)/2))/(LN(2)/2)*CG60*CJ60*VLOOKUP('Données projet'!$B$12,Paramètres!$A$1:$I$88,3,0)*0.475*44/12</f>
        <v>1.1850074869817546</v>
      </c>
      <c r="CN60" s="24">
        <f t="shared" si="12"/>
        <v>45.552631125568489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</v>
      </c>
      <c r="CT60" s="13">
        <f>IF('Données projet'!$A$140&gt;35,CT59+CS60-DB59,IF(A60&lt;'Données projet'!$A$140,$CQ$205^A60,IF(A60='Données projet'!$A$140,'Données projet'!$B$140,CT59+CS60-DB59)))</f>
        <v>173.99999999999997</v>
      </c>
      <c r="CU60" s="18">
        <f>CT60*VLOOKUP('Données projet'!$B$13,Paramètres!$A$1:$I$88,3,0)*VLOOKUP('Données projet'!$B$13,Paramètres!$A$1:$I$88,5,0)</f>
        <v>152.00640000000001</v>
      </c>
      <c r="CV60" s="14">
        <f t="shared" si="41"/>
        <v>39.03419401656145</v>
      </c>
      <c r="CW60" s="22">
        <f t="shared" si="13"/>
        <v>332.72903457884451</v>
      </c>
      <c r="CX60" s="62">
        <f t="shared" si="14"/>
        <v>626.06236791217782</v>
      </c>
      <c r="CY60" s="62">
        <f ca="1">AVERAGE(OFFSET($CX$3,0,0,'Données projet'!$E$13+1,1))-AVERAGE(OFFSET($H$3,0,0,'Données projet'!$E$13+1,1))</f>
        <v>146.09202487550647</v>
      </c>
      <c r="CZ60" s="62">
        <f t="shared" si="42"/>
        <v>168.58814676269344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12.667080857328264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12.667080857328264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11</v>
      </c>
      <c r="DO60" s="13">
        <f>IF('Données projet'!$A$166&gt;35,DO59+DN60-DW59,IF(A60&lt;'Données projet'!$A$166,$DL$205^A60,IF(A60='Données projet'!$A$166,'Données projet'!$B$166,DO59+DN60-DW59)))</f>
        <v>205.00000000000014</v>
      </c>
      <c r="DP60" s="18">
        <f>DO60*VLOOKUP('Données projet'!$B$14,Paramètres!$A$1:$I$88,3,0)*VLOOKUP('Données projet'!$B$14,Paramètres!$A$1:$I$88,5,0)</f>
        <v>150.3060000000001</v>
      </c>
      <c r="DQ60" s="14">
        <f t="shared" si="43"/>
        <v>38.648116968856712</v>
      </c>
      <c r="DR60" s="22">
        <f t="shared" si="16"/>
        <v>329.09508705409229</v>
      </c>
      <c r="DS60" s="62">
        <f t="shared" si="17"/>
        <v>622.4284203874256</v>
      </c>
      <c r="DT60" s="62">
        <f ca="1">AVERAGE(OFFSET($DS$3,0,0,'Données projet'!$E$14+1,1))-AVERAGE(OFFSET($H$3,0,0,'Données projet'!$E$14+1,1))</f>
        <v>116.35584360635318</v>
      </c>
      <c r="DU60" s="62">
        <f t="shared" si="44"/>
        <v>86.38226293640173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14.853952903177147</v>
      </c>
      <c r="EB60" s="23">
        <f>EXP(-LN(2)/25)*EB59+(1-EXP(-LN(2)/25))/(LN(2)/25)*Calculateur!DW60*Calculateur!DY60*VLOOKUP('Données projet'!$B$14,Paramètres!$A$1:$I$88,3,0)*0.475*44/12</f>
        <v>0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14.853952903177147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</v>
      </c>
      <c r="N61" s="14">
        <f>IF('Données projet'!$A$36&gt;35,N60+M61-V60,IF(A61&lt;'Données projet'!$A$36,$K$205^A61,IF(A61='Données projet'!$A$36,'Données projet'!$B$36,N60+M61-V60)))</f>
        <v>330</v>
      </c>
      <c r="O61" s="14">
        <f>N61*VLOOKUP('Données projet'!$B$9,Paramètres!$A$1:$I$88,3,0)*VLOOKUP('Données projet'!$B$9,Paramètres!$A$1:$I$88,5,0)</f>
        <v>154.44</v>
      </c>
      <c r="P61" s="14">
        <f t="shared" si="33"/>
        <v>39.58587217095549</v>
      </c>
      <c r="Q61" s="22">
        <f t="shared" si="53"/>
        <v>337.92839403108081</v>
      </c>
      <c r="R61" s="62">
        <f t="shared" si="0"/>
        <v>631.26172736441413</v>
      </c>
      <c r="S61" s="62">
        <f ca="1">AVERAGE(OFFSET($R$3,0,0,'Données projet'!$E$9+1,1))-AVERAGE(OFFSET($H$3,0,0,'Données projet'!$E$9+1,1))</f>
        <v>82.229723373996478</v>
      </c>
      <c r="T61" s="62">
        <f t="shared" si="34"/>
        <v>115.86489547584461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8.9067962498675026</v>
      </c>
      <c r="AA61" s="23">
        <f>EXP(-LN(2)/25)*AA60+(1-EXP(-LN(2)/25))/(LN(2)/25)*Calculateur!V61*Calculateur!X61*VLOOKUP('Données projet'!$B$9,Paramètres!$A$1:$I$88,3,0)*0.475*44/12</f>
        <v>9.6465890072691085</v>
      </c>
      <c r="AB61" s="23">
        <f>EXP(-LN(2)/2)*AB60+(1-EXP(-LN(2)/2))/(LN(2)/2)*V61*Y61*VLOOKUP('Données projet'!$B$9,Paramètres!$A$1:$I$88,3,0)*0.475*44/12</f>
        <v>0.2482903164722674</v>
      </c>
      <c r="AC61" s="24">
        <f t="shared" si="3"/>
        <v>18.801675573608879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262.78347246606825</v>
      </c>
      <c r="AO61" s="62">
        <f t="shared" si="36"/>
        <v>448.84541017639367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168.47970447510559</v>
      </c>
      <c r="AV61" s="23">
        <f>EXP(-LN(2)/25)*AV60+(1-EXP(-LN(2)/25))/(LN(2)/25)*Calculateur!AQ61*Calculateur!AS61*VLOOKUP('Données projet'!$B$10,Paramètres!$A$1:$I$88,3,0)*0.475*44/12</f>
        <v>40.237247434490456</v>
      </c>
      <c r="AW61" s="23">
        <f>EXP(-LN(2)/2)*AW60+(1-EXP(-LN(2)/2))/(LN(2)/2)*AQ61*AT61*VLOOKUP('Données projet'!$B$10,Paramètres!$A$1:$I$88,3,0)*0.475*44/12</f>
        <v>0.40669353834149397</v>
      </c>
      <c r="AX61" s="23">
        <f t="shared" si="6"/>
        <v>209.12364544793755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projet'!$B$11,Paramètres!$A$1:$I$88,3,0)*VLOOKUP('Données projet'!$B$11,Paramètres!$A$1:$I$88,5,0)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135.14998708332445</v>
      </c>
      <c r="BJ61" s="62">
        <f t="shared" si="38"/>
        <v>245.50083454484513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101.56036007394661</v>
      </c>
      <c r="BQ61" s="23">
        <f>EXP(-LN(2)/25)*BQ60+(1-EXP(-LN(2)/25))/(LN(2)/25)*Calculateur!BL61*Calculateur!BN61*VLOOKUP('Données projet'!$B$11,Paramètres!$A$1:$I$88,3,0)*0.475*44/12</f>
        <v>38.702851714211164</v>
      </c>
      <c r="BR61" s="23">
        <f>EXP(-LN(2)/2)*BR60+(1-EXP(-LN(2)/2))/(LN(2)/2)*BL61*BO61*VLOOKUP('Données projet'!$B$11,Paramètres!$A$1:$I$88,3,0)*0.475*44/12</f>
        <v>1.0507927004988791</v>
      </c>
      <c r="BS61" s="24">
        <f t="shared" si="9"/>
        <v>141.31400448865665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16.600000000000001</v>
      </c>
      <c r="BY61" s="13">
        <f>IF('Données projet'!$A$114&gt;35,BY60+BX61-CG60,IF(A61&lt;'Données projet'!$A$114,$BV$205^A61,IF(A61='Données projet'!$A$114,'Données projet'!$B$114,BY60+BX61-CG60)))</f>
        <v>406.80000000000007</v>
      </c>
      <c r="BZ61" s="14">
        <f>BY61*VLOOKUP('Données projet'!$B$12,Paramètres!$A$1:$I$88,3,0)*VLOOKUP('Données projet'!$B$12,Paramètres!$A$1:$I$88,5,0)</f>
        <v>243.26640000000006</v>
      </c>
      <c r="CA61" s="14">
        <f t="shared" si="39"/>
        <v>59.141758478481812</v>
      </c>
      <c r="CB61" s="22">
        <f t="shared" si="10"/>
        <v>526.69420935002256</v>
      </c>
      <c r="CC61" s="62">
        <f t="shared" si="11"/>
        <v>820.02754268335593</v>
      </c>
      <c r="CD61" s="62">
        <f ca="1">AVERAGE(OFFSET($CC$3,0,0,'Données projet'!$E$12+1,1))-AVERAGE(OFFSET($H$3,0,0,'Données projet'!$E$12+1,1))</f>
        <v>168.16583766359378</v>
      </c>
      <c r="CE61" s="62">
        <f t="shared" si="40"/>
        <v>194.52809733694494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25.953299938459764</v>
      </c>
      <c r="CL61" s="23">
        <f>EXP(-LN(2)/25)*CL60+(1-EXP(-LN(2)/25))/(LN(2)/25)*Calculateur!CG61*Calculateur!CI61*VLOOKUP('Données projet'!$B$12,Paramètres!$A$1:$I$88,3,0)*0.475*44/12</f>
        <v>17.405870310849473</v>
      </c>
      <c r="CM61" s="23">
        <f>EXP(-LN(2)/2)*CM60+(1-EXP(-LN(2)/2))/(LN(2)/2)*CG61*CJ61*VLOOKUP('Données projet'!$B$12,Paramètres!$A$1:$I$88,3,0)*0.475*44/12</f>
        <v>0.83792682980162814</v>
      </c>
      <c r="CN61" s="24">
        <f t="shared" si="12"/>
        <v>44.197097079110868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</v>
      </c>
      <c r="CT61" s="13">
        <f>IF('Données projet'!$A$140&gt;35,CT60+CS61-DB60,IF(A61&lt;'Données projet'!$A$140,$CQ$205^A61,IF(A61='Données projet'!$A$140,'Données projet'!$B$140,CT60+CS61-DB60)))</f>
        <v>178.99999999999997</v>
      </c>
      <c r="CU61" s="18">
        <f>CT61*VLOOKUP('Données projet'!$B$13,Paramètres!$A$1:$I$88,3,0)*VLOOKUP('Données projet'!$B$13,Paramètres!$A$1:$I$88,5,0)</f>
        <v>156.37440000000001</v>
      </c>
      <c r="CV61" s="14">
        <f t="shared" si="41"/>
        <v>40.023663524293205</v>
      </c>
      <c r="CW61" s="22">
        <f t="shared" si="13"/>
        <v>342.05996063814399</v>
      </c>
      <c r="CX61" s="62">
        <f t="shared" si="14"/>
        <v>635.39329397147731</v>
      </c>
      <c r="CY61" s="62">
        <f ca="1">AVERAGE(OFFSET($CX$3,0,0,'Données projet'!$E$13+1,1))-AVERAGE(OFFSET($H$3,0,0,'Données projet'!$E$13+1,1))</f>
        <v>146.09202487550647</v>
      </c>
      <c r="CZ61" s="62">
        <f t="shared" si="42"/>
        <v>168.58814676269344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12.418687127872484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12.418687127872484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11</v>
      </c>
      <c r="DO61" s="13">
        <f>IF('Données projet'!$A$166&gt;35,DO60+DN61-DW60,IF(A61&lt;'Données projet'!$A$166,$DL$205^A61,IF(A61='Données projet'!$A$166,'Données projet'!$B$166,DO60+DN61-DW60)))</f>
        <v>216.00000000000014</v>
      </c>
      <c r="DP61" s="18">
        <f>DO61*VLOOKUP('Données projet'!$B$14,Paramètres!$A$1:$I$88,3,0)*VLOOKUP('Données projet'!$B$14,Paramètres!$A$1:$I$88,5,0)</f>
        <v>158.3712000000001</v>
      </c>
      <c r="DQ61" s="14">
        <f t="shared" si="43"/>
        <v>40.474916527059669</v>
      </c>
      <c r="DR61" s="22">
        <f t="shared" si="16"/>
        <v>346.32365295129574</v>
      </c>
      <c r="DS61" s="62">
        <f t="shared" si="17"/>
        <v>639.65698628462906</v>
      </c>
      <c r="DT61" s="62">
        <f ca="1">AVERAGE(OFFSET($DS$3,0,0,'Données projet'!$E$14+1,1))-AVERAGE(OFFSET($H$3,0,0,'Données projet'!$E$14+1,1))</f>
        <v>116.35584360635318</v>
      </c>
      <c r="DU61" s="62">
        <f t="shared" si="44"/>
        <v>86.38226293640173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14.562675946762512</v>
      </c>
      <c r="EB61" s="23">
        <f>EXP(-LN(2)/25)*EB60+(1-EXP(-LN(2)/25))/(LN(2)/25)*Calculateur!DW61*Calculateur!DY61*VLOOKUP('Données projet'!$B$14,Paramètres!$A$1:$I$88,3,0)*0.475*44/12</f>
        <v>0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14.562675946762512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</v>
      </c>
      <c r="N62" s="14">
        <f>IF('Données projet'!$A$36&gt;35,N61+M62-V61,IF(A62&lt;'Données projet'!$A$36,$K$205^A62,IF(A62='Données projet'!$A$36,'Données projet'!$B$36,N61+M62-V61)))</f>
        <v>340</v>
      </c>
      <c r="O62" s="14">
        <f>N62*VLOOKUP('Données projet'!$B$9,Paramètres!$A$1:$I$88,3,0)*VLOOKUP('Données projet'!$B$9,Paramètres!$A$1:$I$88,5,0)</f>
        <v>159.12</v>
      </c>
      <c r="P62" s="14">
        <f t="shared" si="33"/>
        <v>40.643965284387697</v>
      </c>
      <c r="Q62" s="22">
        <f t="shared" si="53"/>
        <v>347.92223953697521</v>
      </c>
      <c r="R62" s="62">
        <f t="shared" si="0"/>
        <v>641.25557287030847</v>
      </c>
      <c r="S62" s="62">
        <f ca="1">AVERAGE(OFFSET($R$3,0,0,'Données projet'!$E$9+1,1))-AVERAGE(OFFSET($H$3,0,0,'Données projet'!$E$9+1,1))</f>
        <v>82.229723373996478</v>
      </c>
      <c r="T62" s="62">
        <f t="shared" si="34"/>
        <v>115.86489547584461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8.7321394080168879</v>
      </c>
      <c r="AA62" s="23">
        <f>EXP(-LN(2)/25)*AA61+(1-EXP(-LN(2)/25))/(LN(2)/25)*Calculateur!V62*Calculateur!X62*VLOOKUP('Données projet'!$B$9,Paramètres!$A$1:$I$88,3,0)*0.475*44/12</f>
        <v>9.3828025235732664</v>
      </c>
      <c r="AB62" s="23">
        <f>EXP(-LN(2)/2)*AB61+(1-EXP(-LN(2)/2))/(LN(2)/2)*V62*Y62*VLOOKUP('Données projet'!$B$9,Paramètres!$A$1:$I$88,3,0)*0.475*44/12</f>
        <v>0.17556776648049424</v>
      </c>
      <c r="AC62" s="24">
        <f t="shared" si="3"/>
        <v>18.290509698070647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262.78347246606825</v>
      </c>
      <c r="AO62" s="62">
        <f t="shared" si="36"/>
        <v>448.84541017639367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165.17592023282154</v>
      </c>
      <c r="AV62" s="23">
        <f>EXP(-LN(2)/25)*AV61+(1-EXP(-LN(2)/25))/(LN(2)/25)*Calculateur!AQ62*Calculateur!AS62*VLOOKUP('Données projet'!$B$10,Paramètres!$A$1:$I$88,3,0)*0.475*44/12</f>
        <v>39.136957787409436</v>
      </c>
      <c r="AW62" s="23">
        <f>EXP(-LN(2)/2)*AW61+(1-EXP(-LN(2)/2))/(LN(2)/2)*AQ62*AT62*VLOOKUP('Données projet'!$B$10,Paramètres!$A$1:$I$88,3,0)*0.475*44/12</f>
        <v>0.28757575882602154</v>
      </c>
      <c r="AX62" s="23">
        <f t="shared" si="6"/>
        <v>204.60045377905701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projet'!$B$11,Paramètres!$A$1:$I$88,3,0)*VLOOKUP('Données projet'!$B$11,Paramètres!$A$1:$I$88,5,0)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135.14998708332445</v>
      </c>
      <c r="BJ62" s="62">
        <f t="shared" si="38"/>
        <v>245.50083454484513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99.568823358599531</v>
      </c>
      <c r="BQ62" s="23">
        <f>EXP(-LN(2)/25)*BQ61+(1-EXP(-LN(2)/25))/(LN(2)/25)*Calculateur!BL62*Calculateur!BN62*VLOOKUP('Données projet'!$B$11,Paramètres!$A$1:$I$88,3,0)*0.475*44/12</f>
        <v>37.644520198791547</v>
      </c>
      <c r="BR62" s="23">
        <f>EXP(-LN(2)/2)*BR61+(1-EXP(-LN(2)/2))/(LN(2)/2)*BL62*BO62*VLOOKUP('Données projet'!$B$11,Paramètres!$A$1:$I$88,3,0)*0.475*44/12</f>
        <v>0.74302264414408226</v>
      </c>
      <c r="BS62" s="24">
        <f t="shared" si="9"/>
        <v>137.95636620153516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16.600000000000001</v>
      </c>
      <c r="BY62" s="13">
        <f>IF('Données projet'!$A$114&gt;35,BY61+BX62-CG61,IF(A62&lt;'Données projet'!$A$114,$BV$205^A62,IF(A62='Données projet'!$A$114,'Données projet'!$B$114,BY61+BX62-CG61)))</f>
        <v>423.40000000000009</v>
      </c>
      <c r="BZ62" s="14">
        <f>BY62*VLOOKUP('Données projet'!$B$12,Paramètres!$A$1:$I$88,3,0)*VLOOKUP('Données projet'!$B$12,Paramètres!$A$1:$I$88,5,0)</f>
        <v>253.19320000000005</v>
      </c>
      <c r="CA62" s="14">
        <f t="shared" si="39"/>
        <v>61.26921066934775</v>
      </c>
      <c r="CB62" s="22">
        <f t="shared" si="10"/>
        <v>547.68869858244727</v>
      </c>
      <c r="CC62" s="62">
        <f t="shared" si="11"/>
        <v>841.02203191578064</v>
      </c>
      <c r="CD62" s="62">
        <f ca="1">AVERAGE(OFFSET($CC$3,0,0,'Données projet'!$E$12+1,1))-AVERAGE(OFFSET($H$3,0,0,'Données projet'!$E$12+1,1))</f>
        <v>168.16583766359378</v>
      </c>
      <c r="CE62" s="62">
        <f t="shared" si="40"/>
        <v>194.52809733694494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25.444371556616453</v>
      </c>
      <c r="CL62" s="23">
        <f>EXP(-LN(2)/25)*CL61+(1-EXP(-LN(2)/25))/(LN(2)/25)*Calculateur!CG62*Calculateur!CI62*VLOOKUP('Données projet'!$B$12,Paramètres!$A$1:$I$88,3,0)*0.475*44/12</f>
        <v>16.929905871864356</v>
      </c>
      <c r="CM62" s="23">
        <f>EXP(-LN(2)/2)*CM61+(1-EXP(-LN(2)/2))/(LN(2)/2)*CG62*CJ62*VLOOKUP('Données projet'!$B$12,Paramètres!$A$1:$I$88,3,0)*0.475*44/12</f>
        <v>0.59250374349087731</v>
      </c>
      <c r="CN62" s="24">
        <f t="shared" si="12"/>
        <v>42.966781171971689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</v>
      </c>
      <c r="CT62" s="13">
        <f>IF('Données projet'!$A$140&gt;35,CT61+CS62-DB61,IF(A62&lt;'Données projet'!$A$140,$CQ$205^A62,IF(A62='Données projet'!$A$140,'Données projet'!$B$140,CT61+CS62-DB61)))</f>
        <v>183.99999999999997</v>
      </c>
      <c r="CU62" s="18">
        <f>CT62*VLOOKUP('Données projet'!$B$13,Paramètres!$A$1:$I$88,3,0)*VLOOKUP('Données projet'!$B$13,Paramètres!$A$1:$I$88,5,0)</f>
        <v>160.7424</v>
      </c>
      <c r="CV62" s="14">
        <f t="shared" si="41"/>
        <v>41.009920657227809</v>
      </c>
      <c r="CW62" s="22">
        <f t="shared" si="13"/>
        <v>351.38529181133845</v>
      </c>
      <c r="CX62" s="62">
        <f t="shared" si="14"/>
        <v>644.71862514467171</v>
      </c>
      <c r="CY62" s="62">
        <f ca="1">AVERAGE(OFFSET($CX$3,0,0,'Données projet'!$E$13+1,1))-AVERAGE(OFFSET($H$3,0,0,'Données projet'!$E$13+1,1))</f>
        <v>146.09202487550647</v>
      </c>
      <c r="CZ62" s="62">
        <f t="shared" si="42"/>
        <v>168.58814676269344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12.175164247946118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12.175164247946118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11</v>
      </c>
      <c r="DO62" s="13">
        <f>IF('Données projet'!$A$166&gt;35,DO61+DN62-DW61,IF(A62&lt;'Données projet'!$A$166,$DL$205^A62,IF(A62='Données projet'!$A$166,'Données projet'!$B$166,DO61+DN62-DW61)))</f>
        <v>227.00000000000014</v>
      </c>
      <c r="DP62" s="18">
        <f>DO62*VLOOKUP('Données projet'!$B$14,Paramètres!$A$1:$I$88,3,0)*VLOOKUP('Données projet'!$B$14,Paramètres!$A$1:$I$88,5,0)</f>
        <v>166.43640000000008</v>
      </c>
      <c r="DQ62" s="14">
        <f t="shared" si="43"/>
        <v>42.290914326480518</v>
      </c>
      <c r="DR62" s="22">
        <f t="shared" si="16"/>
        <v>363.53340578528702</v>
      </c>
      <c r="DS62" s="62">
        <f t="shared" si="17"/>
        <v>656.86673911862033</v>
      </c>
      <c r="DT62" s="62">
        <f ca="1">AVERAGE(OFFSET($DS$3,0,0,'Données projet'!$E$14+1,1))-AVERAGE(OFFSET($H$3,0,0,'Données projet'!$E$14+1,1))</f>
        <v>116.35584360635318</v>
      </c>
      <c r="DU62" s="62">
        <f t="shared" si="44"/>
        <v>86.38226293640173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14.277110753801768</v>
      </c>
      <c r="EB62" s="23">
        <f>EXP(-LN(2)/25)*EB61+(1-EXP(-LN(2)/25))/(LN(2)/25)*Calculateur!DW62*Calculateur!DY62*VLOOKUP('Données projet'!$B$14,Paramètres!$A$1:$I$88,3,0)*0.475*44/12</f>
        <v>0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14.277110753801768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350</v>
      </c>
      <c r="L63" s="13">
        <f>VLOOKUP(A63,'Données projet'!$A$35:$I$55,9,0)</f>
        <v>10</v>
      </c>
      <c r="M63" s="13">
        <f t="array" ref="M63">INDEX(L:L,MIN(IF(ISNUMBER(L63:L259),ROW(L63:L259),"")))</f>
        <v>10</v>
      </c>
      <c r="N63" s="14">
        <f>IF('Données projet'!$A$36&gt;35,N62+M63-V62,IF(A63&lt;'Données projet'!$A$36,$K$205^A63,IF(A63='Données projet'!$A$36,'Données projet'!$B$36,N62+M63-V62)))</f>
        <v>350</v>
      </c>
      <c r="O63" s="14">
        <f>N63*VLOOKUP('Données projet'!$B$9,Paramètres!$A$1:$I$88,3,0)*VLOOKUP('Données projet'!$B$9,Paramètres!$A$1:$I$88,5,0)</f>
        <v>163.80000000000001</v>
      </c>
      <c r="P63" s="14">
        <f t="shared" si="33"/>
        <v>41.698441627605334</v>
      </c>
      <c r="Q63" s="22">
        <f t="shared" si="53"/>
        <v>357.90978583474595</v>
      </c>
      <c r="R63" s="62">
        <f t="shared" si="0"/>
        <v>651.24311916807926</v>
      </c>
      <c r="S63" s="62">
        <f ca="1">AVERAGE(OFFSET($R$3,0,0,'Données projet'!$E$9+1,1))-AVERAGE(OFFSET($H$3,0,0,'Données projet'!$E$9+1,1))</f>
        <v>82.229723373996478</v>
      </c>
      <c r="T63" s="62">
        <f t="shared" si="34"/>
        <v>115.86489547584461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390</v>
      </c>
      <c r="W63" s="17">
        <f>IF(ISNA(VLOOKUP(A63,'Données projet'!$A$35:$I$55,5,0)),0%,VLOOKUP(A63,'Données projet'!$A$35:$I$55,5,0)*VLOOKUP('Données projet'!$B$9,Paramètres!$A$1:$I$88,7,0))</f>
        <v>0.44000000000000006</v>
      </c>
      <c r="X63" s="17">
        <f>IF(ISNA(VLOOKUP(A63,'Données projet'!$A$35:$I$55,6,0)),0%,VLOOKUP(A63,'Données projet'!$A$35:$I$55,6,0)*VLOOKUP('Données projet'!$B$9,Paramètres!$A$1:$I$88,7,0))</f>
        <v>6.0500000000000005E-2</v>
      </c>
      <c r="Y63" s="17">
        <f>IF(ISNA(VLOOKUP(A63,'Données projet'!$A$35:$I$55,7,0)),0%,VLOOKUP(A63,'Données projet'!$A$35:$I$55,7,0))</f>
        <v>0.09</v>
      </c>
      <c r="Z63" s="23">
        <f>EXP(-LN(2)/35)*Z62+(1-EXP(-LN(2)/35))/(LN(2)/35)*V63*W63*VLOOKUP('Données projet'!$B$9,Paramètres!$A$1:$I$88,3,0)*0.475*44/12</f>
        <v>115.09570701930775</v>
      </c>
      <c r="AA63" s="23">
        <f>EXP(-LN(2)/25)*AA62+(1-EXP(-LN(2)/25))/(LN(2)/25)*Calculateur!V63*Calculateur!X63*VLOOKUP('Données projet'!$B$9,Paramètres!$A$1:$I$88,3,0)*0.475*44/12</f>
        <v>23.717087368184082</v>
      </c>
      <c r="AB63" s="23">
        <f>EXP(-LN(2)/2)*AB62+(1-EXP(-LN(2)/2))/(LN(2)/2)*V63*Y63*VLOOKUP('Données projet'!$B$9,Paramètres!$A$1:$I$88,3,0)*0.475*44/12</f>
        <v>18.723098663243878</v>
      </c>
      <c r="AC63" s="24">
        <f t="shared" si="3"/>
        <v>157.53589305073572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262.78347246606825</v>
      </c>
      <c r="AO63" s="62">
        <f t="shared" si="36"/>
        <v>448.84541017639367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161.93692118441928</v>
      </c>
      <c r="AV63" s="23">
        <f>EXP(-LN(2)/25)*AV62+(1-EXP(-LN(2)/25))/(LN(2)/25)*Calculateur!AQ63*Calculateur!AS63*VLOOKUP('Données projet'!$B$10,Paramètres!$A$1:$I$88,3,0)*0.475*44/12</f>
        <v>38.066755618589561</v>
      </c>
      <c r="AW63" s="23">
        <f>EXP(-LN(2)/2)*AW62+(1-EXP(-LN(2)/2))/(LN(2)/2)*AQ63*AT63*VLOOKUP('Données projet'!$B$10,Paramètres!$A$1:$I$88,3,0)*0.475*44/12</f>
        <v>0.20334676917074698</v>
      </c>
      <c r="AX63" s="23">
        <f t="shared" si="6"/>
        <v>200.20702357217957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projet'!$B$11,Paramètres!$A$1:$I$88,3,0)*VLOOKUP('Données projet'!$B$11,Paramètres!$A$1:$I$88,5,0)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135.14998708332445</v>
      </c>
      <c r="BJ63" s="62">
        <f t="shared" si="38"/>
        <v>245.50083454484513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97.616339463522962</v>
      </c>
      <c r="BQ63" s="23">
        <f>EXP(-LN(2)/25)*BQ62+(1-EXP(-LN(2)/25))/(LN(2)/25)*Calculateur!BL63*Calculateur!BN63*VLOOKUP('Données projet'!$B$11,Paramètres!$A$1:$I$88,3,0)*0.475*44/12</f>
        <v>36.615128814316314</v>
      </c>
      <c r="BR63" s="23">
        <f>EXP(-LN(2)/2)*BR62+(1-EXP(-LN(2)/2))/(LN(2)/2)*BL63*BO63*VLOOKUP('Données projet'!$B$11,Paramètres!$A$1:$I$88,3,0)*0.475*44/12</f>
        <v>0.52539635024943954</v>
      </c>
      <c r="BS63" s="24">
        <f t="shared" si="9"/>
        <v>134.75686462808872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440</v>
      </c>
      <c r="BW63" s="13">
        <f>VLOOKUP(A63,'Données projet'!$A$113:$I$133,9,0)</f>
        <v>16.600000000000001</v>
      </c>
      <c r="BX63" s="13">
        <f t="array" ref="BX63">INDEX(BW:BW,MIN(IF(ISNUMBER(BW63:BW259),ROW(BW63:BW259),"")))</f>
        <v>16.600000000000001</v>
      </c>
      <c r="BY63" s="13">
        <f>IF('Données projet'!$A$114&gt;35,BY62+BX63-CG62,IF(A63&lt;'Données projet'!$A$114,$BV$205^A63,IF(A63='Données projet'!$A$114,'Données projet'!$B$114,BY62+BX63-CG62)))</f>
        <v>440.00000000000011</v>
      </c>
      <c r="BZ63" s="14">
        <f>BY63*VLOOKUP('Données projet'!$B$12,Paramètres!$A$1:$I$88,3,0)*VLOOKUP('Données projet'!$B$12,Paramètres!$A$1:$I$88,5,0)</f>
        <v>263.12000000000012</v>
      </c>
      <c r="CA63" s="14">
        <f t="shared" si="39"/>
        <v>63.386973458752003</v>
      </c>
      <c r="CB63" s="22">
        <f t="shared" si="10"/>
        <v>568.66631210732658</v>
      </c>
      <c r="CC63" s="62">
        <f t="shared" si="11"/>
        <v>861.99964544065983</v>
      </c>
      <c r="CD63" s="62">
        <f ca="1">AVERAGE(OFFSET($CC$3,0,0,'Données projet'!$E$12+1,1))-AVERAGE(OFFSET($H$3,0,0,'Données projet'!$E$12+1,1))</f>
        <v>168.16583766359378</v>
      </c>
      <c r="CE63" s="62">
        <f t="shared" si="40"/>
        <v>194.52809733694494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440</v>
      </c>
      <c r="CH63" s="17">
        <f>IF(ISNA(VLOOKUP(A63,'Données projet'!$A$113:$I$133,5,0)),0%,VLOOKUP(A63,'Données projet'!$A$113:$I$133,5,0)*VLOOKUP('Données projet'!$B$12,Paramètres!$A$1:$I$88,7,0))</f>
        <v>0.36000000000000004</v>
      </c>
      <c r="CI63" s="17">
        <f>IF(ISNA(VLOOKUP(A63,'Données projet'!$A$113:$I$133,6,0)),0%,VLOOKUP(A63,'Données projet'!$A$113:$I$133,6,0)*VLOOKUP('Données projet'!$B$12,Paramètres!$A$1:$I$88,7,0))</f>
        <v>4.9500000000000002E-2</v>
      </c>
      <c r="CJ63" s="17">
        <f>IF(ISNA(VLOOKUP(A63,'Données projet'!$A$113:$I$133,7,0)),0%,VLOOKUP(A63,'Données projet'!$A$113:$I$133,7,0))</f>
        <v>0.09</v>
      </c>
      <c r="CK63" s="23">
        <f>EXP(-LN(2)/35)*CK62+(1-EXP(-LN(2)/35))/(LN(2)/35)*CG63*CH63*VLOOKUP('Données projet'!$B$12,Paramètres!$A$1:$I$88,3,0)*0.475*44/12</f>
        <v>150.6018531754161</v>
      </c>
      <c r="CL63" s="23">
        <f>EXP(-LN(2)/25)*CL62+(1-EXP(-LN(2)/25))/(LN(2)/25)*Calculateur!CG63*Calculateur!CI63*VLOOKUP('Données projet'!$B$12,Paramètres!$A$1:$I$88,3,0)*0.475*44/12</f>
        <v>33.676686740358583</v>
      </c>
      <c r="CM63" s="23">
        <f>EXP(-LN(2)/2)*CM62+(1-EXP(-LN(2)/2))/(LN(2)/2)*CG63*CJ63*VLOOKUP('Données projet'!$B$12,Paramètres!$A$1:$I$88,3,0)*0.475*44/12</f>
        <v>27.231130006165547</v>
      </c>
      <c r="CN63" s="24">
        <f t="shared" si="12"/>
        <v>211.50966992194023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189</v>
      </c>
      <c r="CR63" s="13">
        <f>VLOOKUP(A63,'Données projet'!$A$139:$I$159,9,0)</f>
        <v>5</v>
      </c>
      <c r="CS63" s="13">
        <f t="array" ref="CS63">INDEX(CR:CR,MIN(IF(ISNUMBER(CR63:CR259),ROW(CR63:CR259),"")))</f>
        <v>5</v>
      </c>
      <c r="CT63" s="13">
        <f>IF('Données projet'!$A$140&gt;35,CT62+CS63-DB62,IF(A63&lt;'Données projet'!$A$140,$CQ$205^A63,IF(A63='Données projet'!$A$140,'Données projet'!$B$140,CT62+CS63-DB62)))</f>
        <v>188.99999999999997</v>
      </c>
      <c r="CU63" s="18">
        <f>CT63*VLOOKUP('Données projet'!$B$13,Paramètres!$A$1:$I$88,3,0)*VLOOKUP('Données projet'!$B$13,Paramètres!$A$1:$I$88,5,0)</f>
        <v>165.1104</v>
      </c>
      <c r="CV63" s="14">
        <f t="shared" si="41"/>
        <v>41.993062739333446</v>
      </c>
      <c r="CW63" s="22">
        <f t="shared" si="13"/>
        <v>360.70519760433905</v>
      </c>
      <c r="CX63" s="62">
        <f t="shared" si="14"/>
        <v>654.03853093767236</v>
      </c>
      <c r="CY63" s="62">
        <f ca="1">AVERAGE(OFFSET($CX$3,0,0,'Données projet'!$E$13+1,1))-AVERAGE(OFFSET($H$3,0,0,'Données projet'!$E$13+1,1))</f>
        <v>146.09202487550647</v>
      </c>
      <c r="CZ63" s="62">
        <f t="shared" si="42"/>
        <v>168.58814676269344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16</v>
      </c>
      <c r="DC63" s="17">
        <f>IF(ISNA(VLOOKUP(A63,'Données projet'!$A$139:$I$159,5,0)),0%,VLOOKUP(A63,'Données projet'!$A$139:$I$159,5,0)*VLOOKUP('Données projet'!$B$13,Paramètres!$A$1:$I$88,7,0))</f>
        <v>0.30099999999999999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16.587415359025705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16.587415359025705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238</v>
      </c>
      <c r="DM63" s="13">
        <f>VLOOKUP(A63,'Données projet'!$A$165:$I$185,9,0)</f>
        <v>11</v>
      </c>
      <c r="DN63" s="13">
        <f t="array" ref="DN63">INDEX(DM:DM,MIN(IF(ISNUMBER(DM63:DM259),ROW(DM63:DM259),"")))</f>
        <v>11</v>
      </c>
      <c r="DO63" s="13">
        <f>IF('Données projet'!$A$166&gt;35,DO62+DN63-DW62,IF(A63&lt;'Données projet'!$A$166,$DL$205^A63,IF(A63='Données projet'!$A$166,'Données projet'!$B$166,DO62+DN63-DW62)))</f>
        <v>238.00000000000014</v>
      </c>
      <c r="DP63" s="18">
        <f>DO63*VLOOKUP('Données projet'!$B$14,Paramètres!$A$1:$I$88,3,0)*VLOOKUP('Données projet'!$B$14,Paramètres!$A$1:$I$88,5,0)</f>
        <v>174.50160000000008</v>
      </c>
      <c r="DQ63" s="14">
        <f t="shared" si="43"/>
        <v>44.096693550140678</v>
      </c>
      <c r="DR63" s="22">
        <f t="shared" si="16"/>
        <v>380.72536126649516</v>
      </c>
      <c r="DS63" s="62">
        <f t="shared" si="17"/>
        <v>674.05869459982841</v>
      </c>
      <c r="DT63" s="62">
        <f ca="1">AVERAGE(OFFSET($DS$3,0,0,'Données projet'!$E$14+1,1))-AVERAGE(OFFSET($H$3,0,0,'Données projet'!$E$14+1,1))</f>
        <v>116.35584360635318</v>
      </c>
      <c r="DU63" s="62">
        <f t="shared" si="44"/>
        <v>86.38226293640173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36</v>
      </c>
      <c r="DX63" s="17">
        <f>IF(ISNA(VLOOKUP(A63,'Données projet'!$A$165:$I$185,5,0)),0%,VLOOKUP(A63,'Données projet'!$A$165:$I$185,5,0)*VLOOKUP('Données projet'!$B$14,Paramètres!$A$1:$I$88,7,0))</f>
        <v>0.25800000000000001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21.525356154654229</v>
      </c>
      <c r="EB63" s="23">
        <f>EXP(-LN(2)/25)*EB62+(1-EXP(-LN(2)/25))/(LN(2)/25)*Calculateur!DW63*Calculateur!DY63*VLOOKUP('Données projet'!$B$14,Paramètres!$A$1:$I$88,3,0)*0.475*44/12</f>
        <v>0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21.525356154654229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-40</v>
      </c>
      <c r="O64" s="14">
        <f>N64*VLOOKUP('Données projet'!$B$9,Paramètres!$A$1:$I$88,3,0)*VLOOKUP('Données projet'!$B$9,Paramètres!$A$1:$I$88,5,0)</f>
        <v>-18.72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82.229723373996478</v>
      </c>
      <c r="T64" s="62">
        <f t="shared" si="34"/>
        <v>115.86489547584461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112.83875040610859</v>
      </c>
      <c r="AA64" s="23">
        <f>EXP(-LN(2)/25)*AA63+(1-EXP(-LN(2)/25))/(LN(2)/25)*Calculateur!V64*Calculateur!X64*VLOOKUP('Données projet'!$B$9,Paramètres!$A$1:$I$88,3,0)*0.475*44/12</f>
        <v>23.068542366873668</v>
      </c>
      <c r="AB64" s="23">
        <f>EXP(-LN(2)/2)*AB63+(1-EXP(-LN(2)/2))/(LN(2)/2)*V64*Y64*VLOOKUP('Données projet'!$B$9,Paramètres!$A$1:$I$88,3,0)*0.475*44/12</f>
        <v>13.23923002960453</v>
      </c>
      <c r="AC64" s="24">
        <f t="shared" si="3"/>
        <v>149.14652280258679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262.78347246606825</v>
      </c>
      <c r="AO64" s="62">
        <f t="shared" si="36"/>
        <v>448.84541017639367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158.76143693176184</v>
      </c>
      <c r="AV64" s="23">
        <f>EXP(-LN(2)/25)*AV63+(1-EXP(-LN(2)/25))/(LN(2)/25)*Calculateur!AQ64*Calculateur!AS64*VLOOKUP('Données projet'!$B$10,Paramètres!$A$1:$I$88,3,0)*0.475*44/12</f>
        <v>37.02581818435555</v>
      </c>
      <c r="AW64" s="23">
        <f>EXP(-LN(2)/2)*AW63+(1-EXP(-LN(2)/2))/(LN(2)/2)*AQ64*AT64*VLOOKUP('Données projet'!$B$10,Paramètres!$A$1:$I$88,3,0)*0.475*44/12</f>
        <v>0.14378787941301077</v>
      </c>
      <c r="AX64" s="23">
        <f t="shared" si="6"/>
        <v>195.93104299553039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projet'!$B$11,Paramètres!$A$1:$I$88,3,0)*VLOOKUP('Données projet'!$B$11,Paramètres!$A$1:$I$88,5,0)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135.14998708332445</v>
      </c>
      <c r="BJ64" s="62">
        <f t="shared" si="38"/>
        <v>245.50083454484513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95.702142586731256</v>
      </c>
      <c r="BQ64" s="23">
        <f>EXP(-LN(2)/25)*BQ63+(1-EXP(-LN(2)/25))/(LN(2)/25)*Calculateur!BL64*Calculateur!BN64*VLOOKUP('Données projet'!$B$11,Paramètres!$A$1:$I$88,3,0)*0.475*44/12</f>
        <v>35.613886191382896</v>
      </c>
      <c r="BR64" s="23">
        <f>EXP(-LN(2)/2)*BR63+(1-EXP(-LN(2)/2))/(LN(2)/2)*BL64*BO64*VLOOKUP('Données projet'!$B$11,Paramètres!$A$1:$I$88,3,0)*0.475*44/12</f>
        <v>0.37151132207204113</v>
      </c>
      <c r="BS64" s="24">
        <f t="shared" si="9"/>
        <v>131.6875401001862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1.1368683772161603E-13</v>
      </c>
      <c r="BZ64" s="14">
        <f>BY64*VLOOKUP('Données projet'!$B$12,Paramètres!$A$1:$I$88,3,0)*VLOOKUP('Données projet'!$B$12,Paramètres!$A$1:$I$88,5,0)</f>
        <v>6.7984728957526396E-14</v>
      </c>
      <c r="CA64" s="14">
        <f t="shared" si="39"/>
        <v>1.0682447123141398E-12</v>
      </c>
      <c r="CB64" s="22">
        <f t="shared" si="10"/>
        <v>1.978932943548152E-12</v>
      </c>
      <c r="CC64" s="62">
        <f t="shared" si="11"/>
        <v>293.3333333333353</v>
      </c>
      <c r="CD64" s="62">
        <f ca="1">AVERAGE(OFFSET($CC$3,0,0,'Données projet'!$E$12+1,1))-AVERAGE(OFFSET($H$3,0,0,'Données projet'!$E$12+1,1))</f>
        <v>168.16583766359378</v>
      </c>
      <c r="CE64" s="62">
        <f t="shared" si="40"/>
        <v>194.52809733694494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147.6486426927064</v>
      </c>
      <c r="CL64" s="23">
        <f>EXP(-LN(2)/25)*CL63+(1-EXP(-LN(2)/25))/(LN(2)/25)*Calculateur!CG64*Calculateur!CI64*VLOOKUP('Données projet'!$B$12,Paramètres!$A$1:$I$88,3,0)*0.475*44/12</f>
        <v>32.755795970463488</v>
      </c>
      <c r="CM64" s="23">
        <f>EXP(-LN(2)/2)*CM63+(1-EXP(-LN(2)/2))/(LN(2)/2)*CG64*CJ64*VLOOKUP('Données projet'!$B$12,Paramètres!$A$1:$I$88,3,0)*0.475*44/12</f>
        <v>19.255316686732129</v>
      </c>
      <c r="CN64" s="24">
        <f t="shared" si="12"/>
        <v>199.65975534990201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4.4000000000000004</v>
      </c>
      <c r="CT64" s="13">
        <f>IF('Données projet'!$A$140&gt;35,CT63+CS64-DB63,IF(A64&lt;'Données projet'!$A$140,$CQ$205^A64,IF(A64='Données projet'!$A$140,'Données projet'!$B$140,CT63+CS64-DB63)))</f>
        <v>177.39999999999998</v>
      </c>
      <c r="CU64" s="18">
        <f>CT64*VLOOKUP('Données projet'!$B$13,Paramètres!$A$1:$I$88,3,0)*VLOOKUP('Données projet'!$B$13,Paramètres!$A$1:$I$88,5,0)</f>
        <v>154.97664</v>
      </c>
      <c r="CV64" s="14">
        <f t="shared" si="41"/>
        <v>39.707387607123913</v>
      </c>
      <c r="CW64" s="22">
        <f t="shared" si="13"/>
        <v>339.07468141574077</v>
      </c>
      <c r="CX64" s="62">
        <f t="shared" si="14"/>
        <v>632.40801474907403</v>
      </c>
      <c r="CY64" s="62">
        <f ca="1">AVERAGE(OFFSET($CX$3,0,0,'Données projet'!$E$13+1,1))-AVERAGE(OFFSET($H$3,0,0,'Données projet'!$E$13+1,1))</f>
        <v>146.09202487550647</v>
      </c>
      <c r="CZ64" s="62">
        <f t="shared" si="42"/>
        <v>168.58814676269344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16.262146261159579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16.262146261159579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11</v>
      </c>
      <c r="DO64" s="13">
        <f>IF('Données projet'!$A$166&gt;35,DO63+DN64-DW63,IF(A64&lt;'Données projet'!$A$166,$DL$205^A64,IF(A64='Données projet'!$A$166,'Données projet'!$B$166,DO63+DN64-DW63)))</f>
        <v>213.00000000000014</v>
      </c>
      <c r="DP64" s="18">
        <f>DO64*VLOOKUP('Données projet'!$B$14,Paramètres!$A$1:$I$88,3,0)*VLOOKUP('Données projet'!$B$14,Paramètres!$A$1:$I$88,5,0)</f>
        <v>156.1716000000001</v>
      </c>
      <c r="DQ64" s="14">
        <f t="shared" si="43"/>
        <v>39.977795753356993</v>
      </c>
      <c r="DR64" s="22">
        <f t="shared" si="16"/>
        <v>341.6268642704303</v>
      </c>
      <c r="DS64" s="62">
        <f t="shared" si="17"/>
        <v>634.96019760376362</v>
      </c>
      <c r="DT64" s="62">
        <f ca="1">AVERAGE(OFFSET($DS$3,0,0,'Données projet'!$E$14+1,1))-AVERAGE(OFFSET($H$3,0,0,'Données projet'!$E$14+1,1))</f>
        <v>116.35584360635318</v>
      </c>
      <c r="DU64" s="62">
        <f t="shared" si="44"/>
        <v>86.38226293640173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21.103257049632315</v>
      </c>
      <c r="EB64" s="23">
        <f>EXP(-LN(2)/25)*EB63+(1-EXP(-LN(2)/25))/(LN(2)/25)*Calculateur!DW64*Calculateur!DY64*VLOOKUP('Données projet'!$B$14,Paramètres!$A$1:$I$88,3,0)*0.475*44/12</f>
        <v>0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21.103257049632315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-40</v>
      </c>
      <c r="O65" s="14">
        <f>N65*VLOOKUP('Données projet'!$B$9,Paramètres!$A$1:$I$88,3,0)*VLOOKUP('Données projet'!$B$9,Paramètres!$A$1:$I$88,5,0)</f>
        <v>-18.72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82.229723373996478</v>
      </c>
      <c r="T65" s="62">
        <f t="shared" si="34"/>
        <v>115.86489547584461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110.62605133548665</v>
      </c>
      <c r="AA65" s="23">
        <f>EXP(-LN(2)/25)*AA64+(1-EXP(-LN(2)/25))/(LN(2)/25)*Calculateur!V65*Calculateur!X65*VLOOKUP('Données projet'!$B$9,Paramètres!$A$1:$I$88,3,0)*0.475*44/12</f>
        <v>22.437731862729589</v>
      </c>
      <c r="AB65" s="23">
        <f>EXP(-LN(2)/2)*AB64+(1-EXP(-LN(2)/2))/(LN(2)/2)*V65*Y65*VLOOKUP('Données projet'!$B$9,Paramètres!$A$1:$I$88,3,0)*0.475*44/12</f>
        <v>9.3615493316219407</v>
      </c>
      <c r="AC65" s="24">
        <f t="shared" si="3"/>
        <v>142.42533252983819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262.78347246606825</v>
      </c>
      <c r="AO65" s="62">
        <f t="shared" si="36"/>
        <v>448.84541017639367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155.64822198844487</v>
      </c>
      <c r="AV65" s="23">
        <f>EXP(-LN(2)/25)*AV64+(1-EXP(-LN(2)/25))/(LN(2)/25)*Calculateur!AQ65*Calculateur!AS65*VLOOKUP('Données projet'!$B$10,Paramètres!$A$1:$I$88,3,0)*0.475*44/12</f>
        <v>36.013345239001197</v>
      </c>
      <c r="AW65" s="23">
        <f>EXP(-LN(2)/2)*AW64+(1-EXP(-LN(2)/2))/(LN(2)/2)*AQ65*AT65*VLOOKUP('Données projet'!$B$10,Paramètres!$A$1:$I$88,3,0)*0.475*44/12</f>
        <v>0.10167338458537349</v>
      </c>
      <c r="AX65" s="23">
        <f t="shared" si="6"/>
        <v>191.76324061203147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projet'!$B$11,Paramètres!$A$1:$I$88,3,0)*VLOOKUP('Données projet'!$B$11,Paramètres!$A$1:$I$88,5,0)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135.14998708332445</v>
      </c>
      <c r="BJ65" s="62">
        <f t="shared" si="38"/>
        <v>245.50083454484513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93.825481943148617</v>
      </c>
      <c r="BQ65" s="23">
        <f>EXP(-LN(2)/25)*BQ64+(1-EXP(-LN(2)/25))/(LN(2)/25)*Calculateur!BL65*Calculateur!BN65*VLOOKUP('Données projet'!$B$11,Paramètres!$A$1:$I$88,3,0)*0.475*44/12</f>
        <v>34.640022600626651</v>
      </c>
      <c r="BR65" s="23">
        <f>EXP(-LN(2)/2)*BR64+(1-EXP(-LN(2)/2))/(LN(2)/2)*BL65*BO65*VLOOKUP('Données projet'!$B$11,Paramètres!$A$1:$I$88,3,0)*0.475*44/12</f>
        <v>0.26269817512471977</v>
      </c>
      <c r="BS65" s="24">
        <f t="shared" si="9"/>
        <v>128.72820271889998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1.1368683772161603E-13</v>
      </c>
      <c r="BZ65" s="14">
        <f>BY65*VLOOKUP('Données projet'!$B$12,Paramètres!$A$1:$I$88,3,0)*VLOOKUP('Données projet'!$B$12,Paramètres!$A$1:$I$88,5,0)</f>
        <v>6.7984728957526396E-14</v>
      </c>
      <c r="CA65" s="14">
        <f t="shared" si="39"/>
        <v>1.0682447123141398E-12</v>
      </c>
      <c r="CB65" s="22">
        <f t="shared" si="10"/>
        <v>1.978932943548152E-12</v>
      </c>
      <c r="CC65" s="62">
        <f t="shared" si="11"/>
        <v>293.3333333333353</v>
      </c>
      <c r="CD65" s="62">
        <f ca="1">AVERAGE(OFFSET($CC$3,0,0,'Données projet'!$E$12+1,1))-AVERAGE(OFFSET($H$3,0,0,'Données projet'!$E$12+1,1))</f>
        <v>168.16583766359378</v>
      </c>
      <c r="CE65" s="62">
        <f t="shared" si="40"/>
        <v>194.52809733694494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144.75334286628211</v>
      </c>
      <c r="CL65" s="23">
        <f>EXP(-LN(2)/25)*CL64+(1-EXP(-LN(2)/25))/(LN(2)/25)*Calculateur!CG65*Calculateur!CI65*VLOOKUP('Données projet'!$B$12,Paramètres!$A$1:$I$88,3,0)*0.475*44/12</f>
        <v>31.86008700709872</v>
      </c>
      <c r="CM65" s="23">
        <f>EXP(-LN(2)/2)*CM64+(1-EXP(-LN(2)/2))/(LN(2)/2)*CG65*CJ65*VLOOKUP('Données projet'!$B$12,Paramètres!$A$1:$I$88,3,0)*0.475*44/12</f>
        <v>13.615565003082773</v>
      </c>
      <c r="CN65" s="24">
        <f t="shared" si="12"/>
        <v>190.22899487646359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4.4000000000000004</v>
      </c>
      <c r="CT65" s="13">
        <f>IF('Données projet'!$A$140&gt;35,CT64+CS65-DB64,IF(A65&lt;'Données projet'!$A$140,$CQ$205^A65,IF(A65='Données projet'!$A$140,'Données projet'!$B$140,CT64+CS65-DB64)))</f>
        <v>181.79999999999998</v>
      </c>
      <c r="CU65" s="18">
        <f>CT65*VLOOKUP('Données projet'!$B$13,Paramètres!$A$1:$I$88,3,0)*VLOOKUP('Données projet'!$B$13,Paramètres!$A$1:$I$88,5,0)</f>
        <v>158.82048</v>
      </c>
      <c r="CV65" s="14">
        <f t="shared" si="41"/>
        <v>40.57635691759311</v>
      </c>
      <c r="CW65" s="22">
        <f t="shared" si="13"/>
        <v>347.28282429814129</v>
      </c>
      <c r="CX65" s="62">
        <f t="shared" si="14"/>
        <v>640.61615763147461</v>
      </c>
      <c r="CY65" s="62">
        <f ca="1">AVERAGE(OFFSET($CX$3,0,0,'Données projet'!$E$13+1,1))-AVERAGE(OFFSET($H$3,0,0,'Données projet'!$E$13+1,1))</f>
        <v>146.09202487550647</v>
      </c>
      <c r="CZ65" s="62">
        <f t="shared" si="42"/>
        <v>168.58814676269344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15.943255491908046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15.943255491908046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11</v>
      </c>
      <c r="DO65" s="13">
        <f>IF('Données projet'!$A$166&gt;35,DO64+DN65-DW64,IF(A65&lt;'Données projet'!$A$166,$DL$205^A65,IF(A65='Données projet'!$A$166,'Données projet'!$B$166,DO64+DN65-DW64)))</f>
        <v>224.00000000000014</v>
      </c>
      <c r="DP65" s="18">
        <f>DO65*VLOOKUP('Données projet'!$B$14,Paramètres!$A$1:$I$88,3,0)*VLOOKUP('Données projet'!$B$14,Paramètres!$A$1:$I$88,5,0)</f>
        <v>164.2368000000001</v>
      </c>
      <c r="DQ65" s="14">
        <f t="shared" si="43"/>
        <v>41.796679041964353</v>
      </c>
      <c r="DR65" s="22">
        <f t="shared" si="16"/>
        <v>358.84164266475472</v>
      </c>
      <c r="DS65" s="62">
        <f t="shared" si="17"/>
        <v>652.17497599808803</v>
      </c>
      <c r="DT65" s="62">
        <f ca="1">AVERAGE(OFFSET($DS$3,0,0,'Données projet'!$E$14+1,1))-AVERAGE(OFFSET($H$3,0,0,'Données projet'!$E$14+1,1))</f>
        <v>116.35584360635318</v>
      </c>
      <c r="DU65" s="62">
        <f t="shared" si="44"/>
        <v>86.38226293640173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20.68943505060485</v>
      </c>
      <c r="EB65" s="23">
        <f>EXP(-LN(2)/25)*EB64+(1-EXP(-LN(2)/25))/(LN(2)/25)*Calculateur!DW65*Calculateur!DY65*VLOOKUP('Données projet'!$B$14,Paramètres!$A$1:$I$88,3,0)*0.475*44/12</f>
        <v>0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20.68943505060485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-40</v>
      </c>
      <c r="O66" s="14">
        <f>N66*VLOOKUP('Données projet'!$B$9,Paramètres!$A$1:$I$88,3,0)*VLOOKUP('Données projet'!$B$9,Paramètres!$A$1:$I$88,5,0)</f>
        <v>-18.72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82.229723373996478</v>
      </c>
      <c r="T66" s="62">
        <f t="shared" si="34"/>
        <v>115.86489547584461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108.45674194402645</v>
      </c>
      <c r="AA66" s="23">
        <f>EXP(-LN(2)/25)*AA65+(1-EXP(-LN(2)/25))/(LN(2)/25)*Calculateur!V66*Calculateur!X66*VLOOKUP('Données projet'!$B$9,Paramètres!$A$1:$I$88,3,0)*0.475*44/12</f>
        <v>21.824170904994212</v>
      </c>
      <c r="AB66" s="23">
        <f>EXP(-LN(2)/2)*AB65+(1-EXP(-LN(2)/2))/(LN(2)/2)*V66*Y66*VLOOKUP('Données projet'!$B$9,Paramètres!$A$1:$I$88,3,0)*0.475*44/12</f>
        <v>6.6196150148022666</v>
      </c>
      <c r="AC66" s="24">
        <f t="shared" si="3"/>
        <v>136.90052786382293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262.78347246606825</v>
      </c>
      <c r="AO66" s="62">
        <f t="shared" si="36"/>
        <v>448.84541017639367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152.59605529129271</v>
      </c>
      <c r="AV66" s="23">
        <f>EXP(-LN(2)/25)*AV65+(1-EXP(-LN(2)/25))/(LN(2)/25)*Calculateur!AQ66*Calculateur!AS66*VLOOKUP('Données projet'!$B$10,Paramètres!$A$1:$I$88,3,0)*0.475*44/12</f>
        <v>35.028558419581195</v>
      </c>
      <c r="AW66" s="23">
        <f>EXP(-LN(2)/2)*AW65+(1-EXP(-LN(2)/2))/(LN(2)/2)*AQ66*AT66*VLOOKUP('Données projet'!$B$10,Paramètres!$A$1:$I$88,3,0)*0.475*44/12</f>
        <v>7.1893939706505386E-2</v>
      </c>
      <c r="AX66" s="23">
        <f t="shared" si="6"/>
        <v>187.69650765058043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projet'!$B$11,Paramètres!$A$1:$I$88,3,0)*VLOOKUP('Données projet'!$B$11,Paramètres!$A$1:$I$88,5,0)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135.14998708332445</v>
      </c>
      <c r="BJ66" s="62">
        <f t="shared" si="38"/>
        <v>245.50083454484513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91.985621470136678</v>
      </c>
      <c r="BQ66" s="23">
        <f>EXP(-LN(2)/25)*BQ65+(1-EXP(-LN(2)/25))/(LN(2)/25)*Calculateur!BL66*Calculateur!BN66*VLOOKUP('Données projet'!$B$11,Paramètres!$A$1:$I$88,3,0)*0.475*44/12</f>
        <v>33.692789360972895</v>
      </c>
      <c r="BR66" s="23">
        <f>EXP(-LN(2)/2)*BR65+(1-EXP(-LN(2)/2))/(LN(2)/2)*BL66*BO66*VLOOKUP('Données projet'!$B$11,Paramètres!$A$1:$I$88,3,0)*0.475*44/12</f>
        <v>0.18575566103602056</v>
      </c>
      <c r="BS66" s="24">
        <f t="shared" si="9"/>
        <v>125.8641664921456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1.1368683772161603E-13</v>
      </c>
      <c r="BZ66" s="14">
        <f>BY66*VLOOKUP('Données projet'!$B$12,Paramètres!$A$1:$I$88,3,0)*VLOOKUP('Données projet'!$B$12,Paramètres!$A$1:$I$88,5,0)</f>
        <v>6.7984728957526396E-14</v>
      </c>
      <c r="CA66" s="14">
        <f t="shared" si="39"/>
        <v>1.0682447123141398E-12</v>
      </c>
      <c r="CB66" s="22">
        <f t="shared" si="10"/>
        <v>1.978932943548152E-12</v>
      </c>
      <c r="CC66" s="62">
        <f t="shared" si="11"/>
        <v>293.3333333333353</v>
      </c>
      <c r="CD66" s="62">
        <f ca="1">AVERAGE(OFFSET($CC$3,0,0,'Données projet'!$E$12+1,1))-AVERAGE(OFFSET($H$3,0,0,'Données projet'!$E$12+1,1))</f>
        <v>168.16583766359378</v>
      </c>
      <c r="CE66" s="62">
        <f t="shared" si="40"/>
        <v>194.52809733694494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141.91481810349546</v>
      </c>
      <c r="CL66" s="23">
        <f>EXP(-LN(2)/25)*CL65+(1-EXP(-LN(2)/25))/(LN(2)/25)*Calculateur!CG66*Calculateur!CI66*VLOOKUP('Données projet'!$B$12,Paramètres!$A$1:$I$88,3,0)*0.475*44/12</f>
        <v>30.988871252440447</v>
      </c>
      <c r="CM66" s="23">
        <f>EXP(-LN(2)/2)*CM65+(1-EXP(-LN(2)/2))/(LN(2)/2)*CG66*CJ66*VLOOKUP('Données projet'!$B$12,Paramètres!$A$1:$I$88,3,0)*0.475*44/12</f>
        <v>9.6276583433660647</v>
      </c>
      <c r="CN66" s="24">
        <f t="shared" si="12"/>
        <v>182.53134769930199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4.4000000000000004</v>
      </c>
      <c r="CT66" s="13">
        <f>IF('Données projet'!$A$140&gt;35,CT65+CS66-DB65,IF(A66&lt;'Données projet'!$A$140,$CQ$205^A66,IF(A66='Données projet'!$A$140,'Données projet'!$B$140,CT65+CS66-DB65)))</f>
        <v>186.2</v>
      </c>
      <c r="CU66" s="18">
        <f>CT66*VLOOKUP('Données projet'!$B$13,Paramètres!$A$1:$I$88,3,0)*VLOOKUP('Données projet'!$B$13,Paramètres!$A$1:$I$88,5,0)</f>
        <v>162.66432</v>
      </c>
      <c r="CV66" s="14">
        <f t="shared" si="41"/>
        <v>41.442881393745317</v>
      </c>
      <c r="CW66" s="22">
        <f t="shared" si="13"/>
        <v>355.4867090941064</v>
      </c>
      <c r="CX66" s="62">
        <f t="shared" si="14"/>
        <v>648.82004242743972</v>
      </c>
      <c r="CY66" s="62">
        <f ca="1">AVERAGE(OFFSET($CX$3,0,0,'Données projet'!$E$13+1,1))-AVERAGE(OFFSET($H$3,0,0,'Données projet'!$E$13+1,1))</f>
        <v>146.09202487550647</v>
      </c>
      <c r="CZ66" s="62">
        <f t="shared" si="42"/>
        <v>168.58814676269344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15.630617976137371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15.630617976137371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11</v>
      </c>
      <c r="DO66" s="13">
        <f>IF('Données projet'!$A$166&gt;35,DO65+DN66-DW65,IF(A66&lt;'Données projet'!$A$166,$DL$205^A66,IF(A66='Données projet'!$A$166,'Données projet'!$B$166,DO65+DN66-DW65)))</f>
        <v>235.00000000000014</v>
      </c>
      <c r="DP66" s="18">
        <f>DO66*VLOOKUP('Données projet'!$B$14,Paramètres!$A$1:$I$88,3,0)*VLOOKUP('Données projet'!$B$14,Paramètres!$A$1:$I$88,5,0)</f>
        <v>172.30200000000011</v>
      </c>
      <c r="DQ66" s="14">
        <f t="shared" si="43"/>
        <v>43.605190720723698</v>
      </c>
      <c r="DR66" s="22">
        <f t="shared" si="16"/>
        <v>376.03835717192732</v>
      </c>
      <c r="DS66" s="62">
        <f t="shared" si="17"/>
        <v>669.37169050526063</v>
      </c>
      <c r="DT66" s="62">
        <f ca="1">AVERAGE(OFFSET($DS$3,0,0,'Données projet'!$E$14+1,1))-AVERAGE(OFFSET($H$3,0,0,'Données projet'!$E$14+1,1))</f>
        <v>116.35584360635318</v>
      </c>
      <c r="DU66" s="62">
        <f t="shared" si="44"/>
        <v>86.38226293640173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20.283727848571814</v>
      </c>
      <c r="EB66" s="23">
        <f>EXP(-LN(2)/25)*EB65+(1-EXP(-LN(2)/25))/(LN(2)/25)*Calculateur!DW66*Calculateur!DY66*VLOOKUP('Données projet'!$B$14,Paramètres!$A$1:$I$88,3,0)*0.475*44/12</f>
        <v>0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20.283727848571814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-40</v>
      </c>
      <c r="O67" s="14">
        <f>N67*VLOOKUP('Données projet'!$B$9,Paramètres!$A$1:$I$88,3,0)*VLOOKUP('Données projet'!$B$9,Paramètres!$A$1:$I$88,5,0)</f>
        <v>-18.72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82.229723373996478</v>
      </c>
      <c r="T67" s="62">
        <f t="shared" si="34"/>
        <v>115.86489547584461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106.3299713865847</v>
      </c>
      <c r="AA67" s="23">
        <f>EXP(-LN(2)/25)*AA66+(1-EXP(-LN(2)/25))/(LN(2)/25)*Calculateur!V67*Calculateur!X67*VLOOKUP('Données projet'!$B$9,Paramètres!$A$1:$I$88,3,0)*0.475*44/12</f>
        <v>21.227387803913878</v>
      </c>
      <c r="AB67" s="23">
        <f>EXP(-LN(2)/2)*AB66+(1-EXP(-LN(2)/2))/(LN(2)/2)*V67*Y67*VLOOKUP('Données projet'!$B$9,Paramètres!$A$1:$I$88,3,0)*0.475*44/12</f>
        <v>4.6807746658109712</v>
      </c>
      <c r="AC67" s="24">
        <f t="shared" si="3"/>
        <v>132.23813385630953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262.78347246606825</v>
      </c>
      <c r="AO67" s="62">
        <f t="shared" si="36"/>
        <v>448.84541017639367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149.60373972143387</v>
      </c>
      <c r="AV67" s="23">
        <f>EXP(-LN(2)/25)*AV66+(1-EXP(-LN(2)/25))/(LN(2)/25)*Calculateur!AQ67*Calculateur!AS67*VLOOKUP('Données projet'!$B$10,Paramètres!$A$1:$I$88,3,0)*0.475*44/12</f>
        <v>34.070700647525918</v>
      </c>
      <c r="AW67" s="23">
        <f>EXP(-LN(2)/2)*AW66+(1-EXP(-LN(2)/2))/(LN(2)/2)*AQ67*AT67*VLOOKUP('Données projet'!$B$10,Paramètres!$A$1:$I$88,3,0)*0.475*44/12</f>
        <v>5.0836692292686746E-2</v>
      </c>
      <c r="AX67" s="23">
        <f t="shared" si="6"/>
        <v>183.72527706125246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projet'!$B$11,Paramètres!$A$1:$I$88,3,0)*VLOOKUP('Données projet'!$B$11,Paramètres!$A$1:$I$88,5,0)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135.14998708332445</v>
      </c>
      <c r="BJ67" s="62">
        <f t="shared" si="38"/>
        <v>245.50083454484513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90.181839538796424</v>
      </c>
      <c r="BQ67" s="23">
        <f>EXP(-LN(2)/25)*BQ66+(1-EXP(-LN(2)/25))/(LN(2)/25)*Calculateur!BL67*Calculateur!BN67*VLOOKUP('Données projet'!$B$11,Paramètres!$A$1:$I$88,3,0)*0.475*44/12</f>
        <v>32.771458264070304</v>
      </c>
      <c r="BR67" s="23">
        <f>EXP(-LN(2)/2)*BR66+(1-EXP(-LN(2)/2))/(LN(2)/2)*BL67*BO67*VLOOKUP('Données projet'!$B$11,Paramètres!$A$1:$I$88,3,0)*0.475*44/12</f>
        <v>0.13134908756235988</v>
      </c>
      <c r="BS67" s="24">
        <f t="shared" si="9"/>
        <v>123.08464689042908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1.1368683772161603E-13</v>
      </c>
      <c r="BZ67" s="14">
        <f>BY67*VLOOKUP('Données projet'!$B$12,Paramètres!$A$1:$I$88,3,0)*VLOOKUP('Données projet'!$B$12,Paramètres!$A$1:$I$88,5,0)</f>
        <v>6.7984728957526396E-14</v>
      </c>
      <c r="CA67" s="14">
        <f t="shared" si="39"/>
        <v>1.0682447123141398E-12</v>
      </c>
      <c r="CB67" s="22">
        <f t="shared" si="10"/>
        <v>1.978932943548152E-12</v>
      </c>
      <c r="CC67" s="62">
        <f t="shared" si="11"/>
        <v>293.3333333333353</v>
      </c>
      <c r="CD67" s="62">
        <f ca="1">AVERAGE(OFFSET($CC$3,0,0,'Données projet'!$E$12+1,1))-AVERAGE(OFFSET($H$3,0,0,'Données projet'!$E$12+1,1))</f>
        <v>168.16583766359378</v>
      </c>
      <c r="CE67" s="62">
        <f t="shared" si="40"/>
        <v>194.52809733694494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139.13195507997793</v>
      </c>
      <c r="CL67" s="23">
        <f>EXP(-LN(2)/25)*CL66+(1-EXP(-LN(2)/25))/(LN(2)/25)*Calculateur!CG67*Calculateur!CI67*VLOOKUP('Données projet'!$B$12,Paramètres!$A$1:$I$88,3,0)*0.475*44/12</f>
        <v>30.14147893840855</v>
      </c>
      <c r="CM67" s="23">
        <f>EXP(-LN(2)/2)*CM66+(1-EXP(-LN(2)/2))/(LN(2)/2)*CG67*CJ67*VLOOKUP('Données projet'!$B$12,Paramètres!$A$1:$I$88,3,0)*0.475*44/12</f>
        <v>6.8077825015413866</v>
      </c>
      <c r="CN67" s="24">
        <f t="shared" si="12"/>
        <v>176.08121651992786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4.4000000000000004</v>
      </c>
      <c r="CT67" s="13">
        <f>IF('Données projet'!$A$140&gt;35,CT66+CS67-DB66,IF(A67&lt;'Données projet'!$A$140,$CQ$205^A67,IF(A67='Données projet'!$A$140,'Données projet'!$B$140,CT66+CS67-DB66)))</f>
        <v>190.6</v>
      </c>
      <c r="CU67" s="18">
        <f>CT67*VLOOKUP('Données projet'!$B$13,Paramètres!$A$1:$I$88,3,0)*VLOOKUP('Données projet'!$B$13,Paramètres!$A$1:$I$88,5,0)</f>
        <v>166.50816</v>
      </c>
      <c r="CV67" s="14">
        <f t="shared" si="41"/>
        <v>42.307025456487715</v>
      </c>
      <c r="CW67" s="22">
        <f t="shared" si="13"/>
        <v>363.68644800338274</v>
      </c>
      <c r="CX67" s="62">
        <f t="shared" si="14"/>
        <v>657.01978133671605</v>
      </c>
      <c r="CY67" s="62">
        <f ca="1">AVERAGE(OFFSET($CX$3,0,0,'Données projet'!$E$13+1,1))-AVERAGE(OFFSET($H$3,0,0,'Données projet'!$E$13+1,1))</f>
        <v>146.09202487550647</v>
      </c>
      <c r="CZ67" s="62">
        <f t="shared" si="42"/>
        <v>168.58814676269344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15.324111091360905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15.324111091360905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11</v>
      </c>
      <c r="DO67" s="13">
        <f>IF('Données projet'!$A$166&gt;35,DO66+DN67-DW66,IF(A67&lt;'Données projet'!$A$166,$DL$205^A67,IF(A67='Données projet'!$A$166,'Données projet'!$B$166,DO66+DN67-DW66)))</f>
        <v>246.00000000000014</v>
      </c>
      <c r="DP67" s="18">
        <f>DO67*VLOOKUP('Données projet'!$B$14,Paramètres!$A$1:$I$88,3,0)*VLOOKUP('Données projet'!$B$14,Paramètres!$A$1:$I$88,5,0)</f>
        <v>180.36720000000011</v>
      </c>
      <c r="DQ67" s="14">
        <f t="shared" si="43"/>
        <v>45.403871709149094</v>
      </c>
      <c r="DR67" s="22">
        <f t="shared" si="16"/>
        <v>393.21794989343488</v>
      </c>
      <c r="DS67" s="62">
        <f t="shared" si="17"/>
        <v>686.55128322676819</v>
      </c>
      <c r="DT67" s="62">
        <f ca="1">AVERAGE(OFFSET($DS$3,0,0,'Données projet'!$E$14+1,1))-AVERAGE(OFFSET($H$3,0,0,'Données projet'!$E$14+1,1))</f>
        <v>116.35584360635318</v>
      </c>
      <c r="DU67" s="62">
        <f t="shared" si="44"/>
        <v>86.38226293640173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19.885976317313691</v>
      </c>
      <c r="EB67" s="23">
        <f>EXP(-LN(2)/25)*EB66+(1-EXP(-LN(2)/25))/(LN(2)/25)*Calculateur!DW67*Calculateur!DY67*VLOOKUP('Données projet'!$B$14,Paramètres!$A$1:$I$88,3,0)*0.475*44/12</f>
        <v>0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19.885976317313691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-40</v>
      </c>
      <c r="O68" s="14">
        <f>N68*VLOOKUP('Données projet'!$B$9,Paramètres!$A$1:$I$88,3,0)*VLOOKUP('Données projet'!$B$9,Paramètres!$A$1:$I$88,5,0)</f>
        <v>-18.72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82.229723373996478</v>
      </c>
      <c r="T68" s="62">
        <f t="shared" si="34"/>
        <v>115.86489547584461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104.24490550257244</v>
      </c>
      <c r="AA68" s="23">
        <f>EXP(-LN(2)/25)*AA67+(1-EXP(-LN(2)/25))/(LN(2)/25)*Calculateur!V68*Calculateur!X68*VLOOKUP('Données projet'!$B$9,Paramètres!$A$1:$I$88,3,0)*0.475*44/12</f>
        <v>20.646923768116043</v>
      </c>
      <c r="AB68" s="23">
        <f>EXP(-LN(2)/2)*AB67+(1-EXP(-LN(2)/2))/(LN(2)/2)*V68*Y68*VLOOKUP('Données projet'!$B$9,Paramètres!$A$1:$I$88,3,0)*0.475*44/12</f>
        <v>3.3098075074011337</v>
      </c>
      <c r="AC68" s="24">
        <f t="shared" ref="AC68:AC131" si="57">SUM(Z68:AB68)</f>
        <v>128.20163677808961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262.78347246606825</v>
      </c>
      <c r="AO68" s="62">
        <f t="shared" si="36"/>
        <v>448.84541017639367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146.67010163476766</v>
      </c>
      <c r="AV68" s="23">
        <f>EXP(-LN(2)/25)*AV67+(1-EXP(-LN(2)/25))/(LN(2)/25)*Calculateur!AQ68*Calculateur!AS68*VLOOKUP('Données projet'!$B$10,Paramètres!$A$1:$I$88,3,0)*0.475*44/12</f>
        <v>33.139035546619041</v>
      </c>
      <c r="AW68" s="23">
        <f>EXP(-LN(2)/2)*AW67+(1-EXP(-LN(2)/2))/(LN(2)/2)*AQ68*AT68*VLOOKUP('Données projet'!$B$10,Paramètres!$A$1:$I$88,3,0)*0.475*44/12</f>
        <v>3.5946969853252693E-2</v>
      </c>
      <c r="AX68" s="23">
        <f t="shared" ref="AX68:AX131" si="60">SUM(AU68:AW68)</f>
        <v>179.84508415123994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projet'!$B$11,Paramètres!$A$1:$I$88,3,0)*VLOOKUP('Données projet'!$B$11,Paramètres!$A$1:$I$88,5,0)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135.14998708332445</v>
      </c>
      <c r="BJ68" s="62">
        <f t="shared" si="38"/>
        <v>245.50083454484513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88.41342867093141</v>
      </c>
      <c r="BQ68" s="23">
        <f>EXP(-LN(2)/25)*BQ67+(1-EXP(-LN(2)/25))/(LN(2)/25)*Calculateur!BL68*Calculateur!BN68*VLOOKUP('Données projet'!$B$11,Paramètres!$A$1:$I$88,3,0)*0.475*44/12</f>
        <v>31.875321014463211</v>
      </c>
      <c r="BR68" s="23">
        <f>EXP(-LN(2)/2)*BR67+(1-EXP(-LN(2)/2))/(LN(2)/2)*BL68*BO68*VLOOKUP('Données projet'!$B$11,Paramètres!$A$1:$I$88,3,0)*0.475*44/12</f>
        <v>9.2877830518010282E-2</v>
      </c>
      <c r="BS68" s="24">
        <f t="shared" ref="BS68:BS131" si="63">SUM(BP68:BR68)</f>
        <v>120.38162751591263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1.1368683772161603E-13</v>
      </c>
      <c r="BZ68" s="14">
        <f>BY68*VLOOKUP('Données projet'!$B$12,Paramètres!$A$1:$I$88,3,0)*VLOOKUP('Données projet'!$B$12,Paramètres!$A$1:$I$88,5,0)</f>
        <v>6.7984728957526396E-14</v>
      </c>
      <c r="CA68" s="14">
        <f t="shared" si="39"/>
        <v>1.0682447123141398E-12</v>
      </c>
      <c r="CB68" s="22">
        <f t="shared" ref="CB68:CB131" si="64">(BZ68+CA68)*0.475*44/12</f>
        <v>1.978932943548152E-12</v>
      </c>
      <c r="CC68" s="62">
        <f t="shared" ref="CC68:CC131" si="65">CB68+(BT68+BU68)*44/12</f>
        <v>293.3333333333353</v>
      </c>
      <c r="CD68" s="62">
        <f ca="1">AVERAGE(OFFSET($CC$3,0,0,'Données projet'!$E$12+1,1))-AVERAGE(OFFSET($H$3,0,0,'Données projet'!$E$12+1,1))</f>
        <v>168.16583766359378</v>
      </c>
      <c r="CE68" s="62">
        <f t="shared" si="40"/>
        <v>194.52809733694494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136.40366230297272</v>
      </c>
      <c r="CL68" s="23">
        <f>EXP(-LN(2)/25)*CL67+(1-EXP(-LN(2)/25))/(LN(2)/25)*Calculateur!CG68*Calculateur!CI68*VLOOKUP('Données projet'!$B$12,Paramètres!$A$1:$I$88,3,0)*0.475*44/12</f>
        <v>29.317258611766281</v>
      </c>
      <c r="CM68" s="23">
        <f>EXP(-LN(2)/2)*CM67+(1-EXP(-LN(2)/2))/(LN(2)/2)*CG68*CJ68*VLOOKUP('Données projet'!$B$12,Paramètres!$A$1:$I$88,3,0)*0.475*44/12</f>
        <v>4.8138291716830324</v>
      </c>
      <c r="CN68" s="24">
        <f t="shared" ref="CN68:CN131" si="66">SUM(CK68:CM68)</f>
        <v>170.53475008642204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195</v>
      </c>
      <c r="CR68" s="13">
        <f>VLOOKUP(A68,'Données projet'!$A$139:$I$159,9,0)</f>
        <v>4.4000000000000004</v>
      </c>
      <c r="CS68" s="13">
        <f t="array" ref="CS68">INDEX(CR:CR,MIN(IF(ISNUMBER(CR68:CR264),ROW(CR68:CR264),"")))</f>
        <v>4.4000000000000004</v>
      </c>
      <c r="CT68" s="13">
        <f>IF('Données projet'!$A$140&gt;35,CT67+CS68-DB67,IF(A68&lt;'Données projet'!$A$140,$CQ$205^A68,IF(A68='Données projet'!$A$140,'Données projet'!$B$140,CT67+CS68-DB67)))</f>
        <v>195</v>
      </c>
      <c r="CU68" s="18">
        <f>CT68*VLOOKUP('Données projet'!$B$13,Paramètres!$A$1:$I$88,3,0)*VLOOKUP('Données projet'!$B$13,Paramètres!$A$1:$I$88,5,0)</f>
        <v>170.35200000000003</v>
      </c>
      <c r="CV68" s="14">
        <f t="shared" si="41"/>
        <v>43.168850382694487</v>
      </c>
      <c r="CW68" s="22">
        <f t="shared" ref="CW68:CW131" si="67">(CU68+CV68)*0.475*44/12</f>
        <v>371.88214774985954</v>
      </c>
      <c r="CX68" s="62">
        <f t="shared" ref="CX68:CX131" si="68">CW68+(CO68+CP68)*44/12</f>
        <v>665.2154810831928</v>
      </c>
      <c r="CY68" s="62">
        <f ca="1">AVERAGE(OFFSET($CX$3,0,0,'Données projet'!$E$13+1,1))-AVERAGE(OFFSET($H$3,0,0,'Données projet'!$E$13+1,1))</f>
        <v>146.09202487550647</v>
      </c>
      <c r="CZ68" s="62">
        <f t="shared" si="42"/>
        <v>168.58814676269344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15</v>
      </c>
      <c r="DC68" s="17">
        <f>IF(ISNA(VLOOKUP(A68,'Données projet'!$A$139:$I$159,5,0)),0%,VLOOKUP(A68,'Données projet'!$A$139:$I$159,5,0)*VLOOKUP('Données projet'!$B$13,Paramètres!$A$1:$I$88,7,0))</f>
        <v>0.34400000000000003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20.006827465213689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20.006827465213689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257</v>
      </c>
      <c r="DM68" s="13">
        <f>VLOOKUP(A68,'Données projet'!$A$165:$I$185,9,0)</f>
        <v>11</v>
      </c>
      <c r="DN68" s="13">
        <f t="array" ref="DN68">INDEX(DM:DM,MIN(IF(ISNUMBER(DM68:DM264),ROW(DM68:DM264),"")))</f>
        <v>11</v>
      </c>
      <c r="DO68" s="13">
        <f>IF('Données projet'!$A$166&gt;35,DO67+DN68-DW67,IF(A68&lt;'Données projet'!$A$166,$DL$205^A68,IF(A68='Données projet'!$A$166,'Données projet'!$B$166,DO67+DN68-DW67)))</f>
        <v>257.00000000000011</v>
      </c>
      <c r="DP68" s="18">
        <f>DO68*VLOOKUP('Données projet'!$B$14,Paramètres!$A$1:$I$88,3,0)*VLOOKUP('Données projet'!$B$14,Paramètres!$A$1:$I$88,5,0)</f>
        <v>188.43240000000009</v>
      </c>
      <c r="DQ68" s="14">
        <f t="shared" si="43"/>
        <v>47.193211816981588</v>
      </c>
      <c r="DR68" s="22">
        <f t="shared" ref="DR68:DR131" si="70">(DP68+DQ68)*0.475*44/12</f>
        <v>410.38127391457641</v>
      </c>
      <c r="DS68" s="62">
        <f t="shared" ref="DS68:DS131" si="71">DR68+(DJ68+DK68)*44/12</f>
        <v>703.71460724790973</v>
      </c>
      <c r="DT68" s="62">
        <f ca="1">AVERAGE(OFFSET($DS$3,0,0,'Données projet'!$E$14+1,1))-AVERAGE(OFFSET($H$3,0,0,'Données projet'!$E$14+1,1))</f>
        <v>116.35584360635318</v>
      </c>
      <c r="DU68" s="62">
        <f t="shared" si="44"/>
        <v>86.38226293640173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36</v>
      </c>
      <c r="DX68" s="17">
        <f>IF(ISNA(VLOOKUP(A68,'Données projet'!$A$165:$I$185,5,0)),0%,VLOOKUP(A68,'Données projet'!$A$165:$I$185,5,0)*VLOOKUP('Données projet'!$B$14,Paramètres!$A$1:$I$88,7,0))</f>
        <v>0.30099999999999999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28.278937091295344</v>
      </c>
      <c r="EB68" s="23">
        <f>EXP(-LN(2)/25)*EB67+(1-EXP(-LN(2)/25))/(LN(2)/25)*Calculateur!DW68*Calculateur!DY68*VLOOKUP('Données projet'!$B$14,Paramètres!$A$1:$I$88,3,0)*0.475*44/12</f>
        <v>0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28.278937091295344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-40</v>
      </c>
      <c r="O69" s="14">
        <f>N69*VLOOKUP('Données projet'!$B$9,Paramètres!$A$1:$I$88,3,0)*VLOOKUP('Données projet'!$B$9,Paramètres!$A$1:$I$88,5,0)</f>
        <v>-18.72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82.229723373996478</v>
      </c>
      <c r="T69" s="62">
        <f t="shared" ref="T69:T132" si="88">$T$3</f>
        <v>115.86489547584461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102.20072648878103</v>
      </c>
      <c r="AA69" s="23">
        <f>EXP(-LN(2)/25)*AA68+(1-EXP(-LN(2)/25))/(LN(2)/25)*Calculateur!V69*Calculateur!X69*VLOOKUP('Données projet'!$B$9,Paramètres!$A$1:$I$88,3,0)*0.475*44/12</f>
        <v>20.082332551902379</v>
      </c>
      <c r="AB69" s="23">
        <f>EXP(-LN(2)/2)*AB68+(1-EXP(-LN(2)/2))/(LN(2)/2)*V69*Y69*VLOOKUP('Données projet'!$B$9,Paramètres!$A$1:$I$88,3,0)*0.475*44/12</f>
        <v>2.3403873329054861</v>
      </c>
      <c r="AC69" s="24">
        <f t="shared" si="57"/>
        <v>124.62344637358891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262.78347246606825</v>
      </c>
      <c r="AO69" s="62">
        <f t="shared" ref="AO69:AO132" si="90">$AO$3</f>
        <v>448.84541017639367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143.79399040163844</v>
      </c>
      <c r="AV69" s="23">
        <f>EXP(-LN(2)/25)*AV68+(1-EXP(-LN(2)/25))/(LN(2)/25)*Calculateur!AQ69*Calculateur!AS69*VLOOKUP('Données projet'!$B$10,Paramètres!$A$1:$I$88,3,0)*0.475*44/12</f>
        <v>32.232846876890605</v>
      </c>
      <c r="AW69" s="23">
        <f>EXP(-LN(2)/2)*AW68+(1-EXP(-LN(2)/2))/(LN(2)/2)*AQ69*AT69*VLOOKUP('Données projet'!$B$10,Paramètres!$A$1:$I$88,3,0)*0.475*44/12</f>
        <v>2.5418346146343373E-2</v>
      </c>
      <c r="AX69" s="23">
        <f t="shared" si="60"/>
        <v>176.05225562467541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projet'!$B$11,Paramètres!$A$1:$I$88,3,0)*VLOOKUP('Données projet'!$B$11,Paramètres!$A$1:$I$88,5,0)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135.14998708332445</v>
      </c>
      <c r="BJ69" s="62">
        <f t="shared" ref="BJ69:BJ132" si="92">$BJ$3</f>
        <v>245.50083454484513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86.679695261561093</v>
      </c>
      <c r="BQ69" s="23">
        <f>EXP(-LN(2)/25)*BQ68+(1-EXP(-LN(2)/25))/(LN(2)/25)*Calculateur!BL69*Calculateur!BN69*VLOOKUP('Données projet'!$B$11,Paramètres!$A$1:$I$88,3,0)*0.475*44/12</f>
        <v>31.003688685072433</v>
      </c>
      <c r="BR69" s="23">
        <f>EXP(-LN(2)/2)*BR68+(1-EXP(-LN(2)/2))/(LN(2)/2)*BL69*BO69*VLOOKUP('Données projet'!$B$11,Paramètres!$A$1:$I$88,3,0)*0.475*44/12</f>
        <v>6.5674543781179942E-2</v>
      </c>
      <c r="BS69" s="24">
        <f t="shared" si="63"/>
        <v>117.74905849041471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1.1368683772161603E-13</v>
      </c>
      <c r="BZ69" s="14">
        <f>BY69*VLOOKUP('Données projet'!$B$12,Paramètres!$A$1:$I$88,3,0)*VLOOKUP('Données projet'!$B$12,Paramètres!$A$1:$I$88,5,0)</f>
        <v>6.7984728957526396E-14</v>
      </c>
      <c r="CA69" s="14">
        <f t="shared" ref="CA69:CA132" si="93">EXP(-1.0587+0.8836*LN(BZ69)+0.284)</f>
        <v>1.0682447123141398E-12</v>
      </c>
      <c r="CB69" s="22">
        <f t="shared" si="64"/>
        <v>1.978932943548152E-12</v>
      </c>
      <c r="CC69" s="62">
        <f t="shared" si="65"/>
        <v>293.3333333333353</v>
      </c>
      <c r="CD69" s="62">
        <f ca="1">AVERAGE(OFFSET($CC$3,0,0,'Données projet'!$E$12+1,1))-AVERAGE(OFFSET($H$3,0,0,'Données projet'!$E$12+1,1))</f>
        <v>168.16583766359378</v>
      </c>
      <c r="CE69" s="62">
        <f t="shared" ref="CE69:CE132" si="94">$CE$3</f>
        <v>194.52809733694494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133.7288696832303</v>
      </c>
      <c r="CL69" s="23">
        <f>EXP(-LN(2)/25)*CL68+(1-EXP(-LN(2)/25))/(LN(2)/25)*Calculateur!CG69*Calculateur!CI69*VLOOKUP('Données projet'!$B$12,Paramètres!$A$1:$I$88,3,0)*0.475*44/12</f>
        <v>28.515576633299908</v>
      </c>
      <c r="CM69" s="23">
        <f>EXP(-LN(2)/2)*CM68+(1-EXP(-LN(2)/2))/(LN(2)/2)*CG69*CJ69*VLOOKUP('Données projet'!$B$12,Paramètres!$A$1:$I$88,3,0)*0.475*44/12</f>
        <v>3.4038912507706933</v>
      </c>
      <c r="CN69" s="24">
        <f t="shared" si="66"/>
        <v>165.6483375673009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4.2</v>
      </c>
      <c r="CT69" s="13">
        <f>IF('Données projet'!$A$140&gt;35,CT68+CS69-DB68,IF(A69&lt;'Données projet'!$A$140,$CQ$205^A69,IF(A69='Données projet'!$A$140,'Données projet'!$B$140,CT68+CS69-DB68)))</f>
        <v>184.2</v>
      </c>
      <c r="CU69" s="18">
        <f>CT69*VLOOKUP('Données projet'!$B$13,Paramètres!$A$1:$I$88,3,0)*VLOOKUP('Données projet'!$B$13,Paramètres!$A$1:$I$88,5,0)</f>
        <v>160.91712000000001</v>
      </c>
      <c r="CV69" s="14">
        <f t="shared" ref="CV69:CV132" si="95">EXP(-1.0587+0.8836*LN(CU69)+0.284)</f>
        <v>41.049305520788089</v>
      </c>
      <c r="CW69" s="22">
        <f t="shared" si="67"/>
        <v>351.75819111537254</v>
      </c>
      <c r="CX69" s="62">
        <f t="shared" si="68"/>
        <v>645.09152444870585</v>
      </c>
      <c r="CY69" s="62">
        <f ca="1">AVERAGE(OFFSET($CX$3,0,0,'Données projet'!$E$13+1,1))-AVERAGE(OFFSET($H$3,0,0,'Données projet'!$E$13+1,1))</f>
        <v>146.09202487550647</v>
      </c>
      <c r="CZ69" s="62">
        <f t="shared" ref="CZ69:CZ132" si="96">$CZ$3</f>
        <v>168.58814676269344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19.614505781580661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19.614505781580661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10.6</v>
      </c>
      <c r="DO69" s="13">
        <f>IF('Données projet'!$A$166&gt;35,DO68+DN69-DW68,IF(A69&lt;'Données projet'!$A$166,$DL$205^A69,IF(A69='Données projet'!$A$166,'Données projet'!$B$166,DO68+DN69-DW68)))</f>
        <v>231.60000000000014</v>
      </c>
      <c r="DP69" s="18">
        <f>DO69*VLOOKUP('Données projet'!$B$14,Paramètres!$A$1:$I$88,3,0)*VLOOKUP('Données projet'!$B$14,Paramètres!$A$1:$I$88,5,0)</f>
        <v>169.80912000000009</v>
      </c>
      <c r="DQ69" s="14">
        <f t="shared" ref="DQ69:DQ132" si="97">EXP(-1.0587+0.8836*LN(DP69)+0.284)</f>
        <v>43.047270020199441</v>
      </c>
      <c r="DR69" s="22">
        <f t="shared" si="70"/>
        <v>370.7248792851808</v>
      </c>
      <c r="DS69" s="62">
        <f t="shared" si="71"/>
        <v>664.05821261851406</v>
      </c>
      <c r="DT69" s="62">
        <f ca="1">AVERAGE(OFFSET($DS$3,0,0,'Données projet'!$E$14+1,1))-AVERAGE(OFFSET($H$3,0,0,'Données projet'!$E$14+1,1))</f>
        <v>116.35584360635318</v>
      </c>
      <c r="DU69" s="62">
        <f t="shared" ref="DU69:DU132" si="98">$DU$3</f>
        <v>86.38226293640173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27.724404383383526</v>
      </c>
      <c r="EB69" s="23">
        <f>EXP(-LN(2)/25)*EB68+(1-EXP(-LN(2)/25))/(LN(2)/25)*Calculateur!DW69*Calculateur!DY69*VLOOKUP('Données projet'!$B$14,Paramètres!$A$1:$I$88,3,0)*0.475*44/12</f>
        <v>0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27.724404383383526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-40</v>
      </c>
      <c r="O70" s="14">
        <f>N70*VLOOKUP('Données projet'!$B$9,Paramètres!$A$1:$I$88,3,0)*VLOOKUP('Données projet'!$B$9,Paramètres!$A$1:$I$88,5,0)</f>
        <v>-18.72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82.229723373996478</v>
      </c>
      <c r="T70" s="62">
        <f t="shared" si="88"/>
        <v>115.86489547584461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100.19663257862399</v>
      </c>
      <c r="AA70" s="23">
        <f>EXP(-LN(2)/25)*AA69+(1-EXP(-LN(2)/25))/(LN(2)/25)*Calculateur!V70*Calculateur!X70*VLOOKUP('Données projet'!$B$9,Paramètres!$A$1:$I$88,3,0)*0.475*44/12</f>
        <v>19.533180112186638</v>
      </c>
      <c r="AB70" s="23">
        <f>EXP(-LN(2)/2)*AB69+(1-EXP(-LN(2)/2))/(LN(2)/2)*V70*Y70*VLOOKUP('Données projet'!$B$9,Paramètres!$A$1:$I$88,3,0)*0.475*44/12</f>
        <v>1.6549037537005673</v>
      </c>
      <c r="AC70" s="24">
        <f t="shared" si="57"/>
        <v>121.3847164445112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262.78347246606825</v>
      </c>
      <c r="AO70" s="62">
        <f t="shared" si="90"/>
        <v>448.84541017639367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140.97427795553625</v>
      </c>
      <c r="AV70" s="23">
        <f>EXP(-LN(2)/25)*AV69+(1-EXP(-LN(2)/25))/(LN(2)/25)*Calculateur!AQ70*Calculateur!AS70*VLOOKUP('Données projet'!$B$10,Paramètres!$A$1:$I$88,3,0)*0.475*44/12</f>
        <v>31.351437983990284</v>
      </c>
      <c r="AW70" s="23">
        <f>EXP(-LN(2)/2)*AW69+(1-EXP(-LN(2)/2))/(LN(2)/2)*AQ70*AT70*VLOOKUP('Données projet'!$B$10,Paramètres!$A$1:$I$88,3,0)*0.475*44/12</f>
        <v>1.7973484926626346E-2</v>
      </c>
      <c r="AX70" s="23">
        <f t="shared" si="60"/>
        <v>172.34368942445315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projet'!$B$11,Paramètres!$A$1:$I$88,3,0)*VLOOKUP('Données projet'!$B$11,Paramètres!$A$1:$I$88,5,0)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135.14998708332445</v>
      </c>
      <c r="BJ70" s="62">
        <f t="shared" si="92"/>
        <v>245.50083454484513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84.979959306875571</v>
      </c>
      <c r="BQ70" s="23">
        <f>EXP(-LN(2)/25)*BQ69+(1-EXP(-LN(2)/25))/(LN(2)/25)*Calculateur!BL70*Calculateur!BN70*VLOOKUP('Données projet'!$B$11,Paramètres!$A$1:$I$88,3,0)*0.475*44/12</f>
        <v>30.155891187565999</v>
      </c>
      <c r="BR70" s="23">
        <f>EXP(-LN(2)/2)*BR69+(1-EXP(-LN(2)/2))/(LN(2)/2)*BL70*BO70*VLOOKUP('Données projet'!$B$11,Paramètres!$A$1:$I$88,3,0)*0.475*44/12</f>
        <v>4.6438915259005141E-2</v>
      </c>
      <c r="BS70" s="24">
        <f t="shared" si="63"/>
        <v>115.18228940970057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1.1368683772161603E-13</v>
      </c>
      <c r="BZ70" s="14">
        <f>BY70*VLOOKUP('Données projet'!$B$12,Paramètres!$A$1:$I$88,3,0)*VLOOKUP('Données projet'!$B$12,Paramètres!$A$1:$I$88,5,0)</f>
        <v>6.7984728957526396E-14</v>
      </c>
      <c r="CA70" s="14">
        <f t="shared" si="93"/>
        <v>1.0682447123141398E-12</v>
      </c>
      <c r="CB70" s="22">
        <f t="shared" si="64"/>
        <v>1.978932943548152E-12</v>
      </c>
      <c r="CC70" s="62">
        <f t="shared" si="65"/>
        <v>293.3333333333353</v>
      </c>
      <c r="CD70" s="62">
        <f ca="1">AVERAGE(OFFSET($CC$3,0,0,'Données projet'!$E$12+1,1))-AVERAGE(OFFSET($H$3,0,0,'Données projet'!$E$12+1,1))</f>
        <v>168.16583766359378</v>
      </c>
      <c r="CE70" s="62">
        <f t="shared" si="94"/>
        <v>194.52809733694494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131.10652811529863</v>
      </c>
      <c r="CL70" s="23">
        <f>EXP(-LN(2)/25)*CL69+(1-EXP(-LN(2)/25))/(LN(2)/25)*Calculateur!CG70*Calculateur!CI70*VLOOKUP('Données projet'!$B$12,Paramètres!$A$1:$I$88,3,0)*0.475*44/12</f>
        <v>27.735816690693319</v>
      </c>
      <c r="CM70" s="23">
        <f>EXP(-LN(2)/2)*CM69+(1-EXP(-LN(2)/2))/(LN(2)/2)*CG70*CJ70*VLOOKUP('Données projet'!$B$12,Paramètres!$A$1:$I$88,3,0)*0.475*44/12</f>
        <v>2.4069145858415162</v>
      </c>
      <c r="CN70" s="24">
        <f t="shared" si="66"/>
        <v>161.24925939183348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4.2</v>
      </c>
      <c r="CT70" s="13">
        <f>IF('Données projet'!$A$140&gt;35,CT69+CS70-DB69,IF(A70&lt;'Données projet'!$A$140,$CQ$205^A70,IF(A70='Données projet'!$A$140,'Données projet'!$B$140,CT69+CS70-DB69)))</f>
        <v>188.39999999999998</v>
      </c>
      <c r="CU70" s="18">
        <f>CT70*VLOOKUP('Données projet'!$B$13,Paramètres!$A$1:$I$88,3,0)*VLOOKUP('Données projet'!$B$13,Paramètres!$A$1:$I$88,5,0)</f>
        <v>164.58624</v>
      </c>
      <c r="CV70" s="14">
        <f t="shared" si="95"/>
        <v>41.875247075991886</v>
      </c>
      <c r="CW70" s="22">
        <f t="shared" si="67"/>
        <v>359.58708999068585</v>
      </c>
      <c r="CX70" s="62">
        <f t="shared" si="68"/>
        <v>652.92042332401911</v>
      </c>
      <c r="CY70" s="62">
        <f ca="1">AVERAGE(OFFSET($CX$3,0,0,'Données projet'!$E$13+1,1))-AVERAGE(OFFSET($H$3,0,0,'Données projet'!$E$13+1,1))</f>
        <v>146.09202487550647</v>
      </c>
      <c r="CZ70" s="62">
        <f t="shared" si="96"/>
        <v>168.58814676269344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19.229877286871076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19.229877286871076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10.6</v>
      </c>
      <c r="DO70" s="13">
        <f>IF('Données projet'!$A$166&gt;35,DO69+DN70-DW69,IF(A70&lt;'Données projet'!$A$166,$DL$205^A70,IF(A70='Données projet'!$A$166,'Données projet'!$B$166,DO69+DN70-DW69)))</f>
        <v>242.20000000000013</v>
      </c>
      <c r="DP70" s="18">
        <f>DO70*VLOOKUP('Données projet'!$B$14,Paramètres!$A$1:$I$88,3,0)*VLOOKUP('Données projet'!$B$14,Paramètres!$A$1:$I$88,5,0)</f>
        <v>177.58104000000009</v>
      </c>
      <c r="DQ70" s="14">
        <f t="shared" si="97"/>
        <v>44.783589090869512</v>
      </c>
      <c r="DR70" s="22">
        <f t="shared" si="70"/>
        <v>387.28506233326448</v>
      </c>
      <c r="DS70" s="62">
        <f t="shared" si="71"/>
        <v>680.61839566659773</v>
      </c>
      <c r="DT70" s="62">
        <f ca="1">AVERAGE(OFFSET($DS$3,0,0,'Données projet'!$E$14+1,1))-AVERAGE(OFFSET($H$3,0,0,'Données projet'!$E$14+1,1))</f>
        <v>116.35584360635318</v>
      </c>
      <c r="DU70" s="62">
        <f t="shared" si="98"/>
        <v>86.38226293640173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27.180745723642303</v>
      </c>
      <c r="EB70" s="23">
        <f>EXP(-LN(2)/25)*EB69+(1-EXP(-LN(2)/25))/(LN(2)/25)*Calculateur!DW70*Calculateur!DY70*VLOOKUP('Données projet'!$B$14,Paramètres!$A$1:$I$88,3,0)*0.475*44/12</f>
        <v>0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27.180745723642303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-40</v>
      </c>
      <c r="O71" s="14">
        <f>N71*VLOOKUP('Données projet'!$B$9,Paramètres!$A$1:$I$88,3,0)*VLOOKUP('Données projet'!$B$9,Paramètres!$A$1:$I$88,5,0)</f>
        <v>-18.72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82.229723373996478</v>
      </c>
      <c r="T71" s="62">
        <f t="shared" si="88"/>
        <v>115.86489547584461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98.231837727668548</v>
      </c>
      <c r="AA71" s="23">
        <f>EXP(-LN(2)/25)*AA70+(1-EXP(-LN(2)/25))/(LN(2)/25)*Calculateur!V71*Calculateur!X71*VLOOKUP('Données projet'!$B$9,Paramètres!$A$1:$I$88,3,0)*0.475*44/12</f>
        <v>18.999044274813595</v>
      </c>
      <c r="AB71" s="23">
        <f>EXP(-LN(2)/2)*AB70+(1-EXP(-LN(2)/2))/(LN(2)/2)*V71*Y71*VLOOKUP('Données projet'!$B$9,Paramètres!$A$1:$I$88,3,0)*0.475*44/12</f>
        <v>1.1701936664527433</v>
      </c>
      <c r="AC71" s="24">
        <f t="shared" si="57"/>
        <v>118.40107566893489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262.78347246606825</v>
      </c>
      <c r="AO71" s="62">
        <f t="shared" si="90"/>
        <v>448.84541017639367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138.20985835064735</v>
      </c>
      <c r="AV71" s="23">
        <f>EXP(-LN(2)/25)*AV70+(1-EXP(-LN(2)/25))/(LN(2)/25)*Calculateur!AQ71*Calculateur!AS71*VLOOKUP('Données projet'!$B$10,Paramètres!$A$1:$I$88,3,0)*0.475*44/12</f>
        <v>30.4941312636176</v>
      </c>
      <c r="AW71" s="23">
        <f>EXP(-LN(2)/2)*AW70+(1-EXP(-LN(2)/2))/(LN(2)/2)*AQ71*AT71*VLOOKUP('Données projet'!$B$10,Paramètres!$A$1:$I$88,3,0)*0.475*44/12</f>
        <v>1.2709173073171686E-2</v>
      </c>
      <c r="AX71" s="23">
        <f t="shared" si="60"/>
        <v>168.71669878733812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projet'!$B$11,Paramètres!$A$1:$I$88,3,0)*VLOOKUP('Données projet'!$B$11,Paramètres!$A$1:$I$88,5,0)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135.14998708332445</v>
      </c>
      <c r="BJ71" s="62">
        <f t="shared" si="92"/>
        <v>245.50083454484513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83.313554137524875</v>
      </c>
      <c r="BQ71" s="23">
        <f>EXP(-LN(2)/25)*BQ70+(1-EXP(-LN(2)/25))/(LN(2)/25)*Calculateur!BL71*Calculateur!BN71*VLOOKUP('Données projet'!$B$11,Paramètres!$A$1:$I$88,3,0)*0.475*44/12</f>
        <v>29.33127675721261</v>
      </c>
      <c r="BR71" s="23">
        <f>EXP(-LN(2)/2)*BR70+(1-EXP(-LN(2)/2))/(LN(2)/2)*BL71*BO71*VLOOKUP('Données projet'!$B$11,Paramètres!$A$1:$I$88,3,0)*0.475*44/12</f>
        <v>3.2837271890589971E-2</v>
      </c>
      <c r="BS71" s="24">
        <f t="shared" si="63"/>
        <v>112.67766816662807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1.1368683772161603E-13</v>
      </c>
      <c r="BZ71" s="14">
        <f>BY71*VLOOKUP('Données projet'!$B$12,Paramètres!$A$1:$I$88,3,0)*VLOOKUP('Données projet'!$B$12,Paramètres!$A$1:$I$88,5,0)</f>
        <v>6.7984728957526396E-14</v>
      </c>
      <c r="CA71" s="14">
        <f t="shared" si="93"/>
        <v>1.0682447123141398E-12</v>
      </c>
      <c r="CB71" s="22">
        <f t="shared" si="64"/>
        <v>1.978932943548152E-12</v>
      </c>
      <c r="CC71" s="62">
        <f t="shared" si="65"/>
        <v>293.3333333333353</v>
      </c>
      <c r="CD71" s="62">
        <f ca="1">AVERAGE(OFFSET($CC$3,0,0,'Données projet'!$E$12+1,1))-AVERAGE(OFFSET($H$3,0,0,'Données projet'!$E$12+1,1))</f>
        <v>168.16583766359378</v>
      </c>
      <c r="CE71" s="62">
        <f t="shared" si="94"/>
        <v>194.52809733694494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128.53560906604369</v>
      </c>
      <c r="CL71" s="23">
        <f>EXP(-LN(2)/25)*CL70+(1-EXP(-LN(2)/25))/(LN(2)/25)*Calculateur!CG71*Calculateur!CI71*VLOOKUP('Données projet'!$B$12,Paramètres!$A$1:$I$88,3,0)*0.475*44/12</f>
        <v>26.977379324723103</v>
      </c>
      <c r="CM71" s="23">
        <f>EXP(-LN(2)/2)*CM70+(1-EXP(-LN(2)/2))/(LN(2)/2)*CG71*CJ71*VLOOKUP('Données projet'!$B$12,Paramètres!$A$1:$I$88,3,0)*0.475*44/12</f>
        <v>1.7019456253853467</v>
      </c>
      <c r="CN71" s="24">
        <f t="shared" si="66"/>
        <v>157.21493401615214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4.2</v>
      </c>
      <c r="CT71" s="13">
        <f>IF('Données projet'!$A$140&gt;35,CT70+CS71-DB70,IF(A71&lt;'Données projet'!$A$140,$CQ$205^A71,IF(A71='Données projet'!$A$140,'Données projet'!$B$140,CT70+CS71-DB70)))</f>
        <v>192.59999999999997</v>
      </c>
      <c r="CU71" s="18">
        <f>CT71*VLOOKUP('Données projet'!$B$13,Paramètres!$A$1:$I$88,3,0)*VLOOKUP('Données projet'!$B$13,Paramètres!$A$1:$I$88,5,0)</f>
        <v>168.25536</v>
      </c>
      <c r="CV71" s="14">
        <f t="shared" si="95"/>
        <v>42.699047982710887</v>
      </c>
      <c r="CW71" s="22">
        <f t="shared" si="67"/>
        <v>367.41226056988808</v>
      </c>
      <c r="CX71" s="62">
        <f t="shared" si="68"/>
        <v>660.74559390322133</v>
      </c>
      <c r="CY71" s="62">
        <f ca="1">AVERAGE(OFFSET($CX$3,0,0,'Données projet'!$E$13+1,1))-AVERAGE(OFFSET($H$3,0,0,'Données projet'!$E$13+1,1))</f>
        <v>146.09202487550647</v>
      </c>
      <c r="CZ71" s="62">
        <f t="shared" si="96"/>
        <v>168.58814676269344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18.852791122342531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18.852791122342531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10.6</v>
      </c>
      <c r="DO71" s="13">
        <f>IF('Données projet'!$A$166&gt;35,DO70+DN71-DW70,IF(A71&lt;'Données projet'!$A$166,$DL$205^A71,IF(A71='Données projet'!$A$166,'Données projet'!$B$166,DO70+DN71-DW70)))</f>
        <v>252.80000000000013</v>
      </c>
      <c r="DP71" s="18">
        <f>DO71*VLOOKUP('Données projet'!$B$14,Paramètres!$A$1:$I$88,3,0)*VLOOKUP('Données projet'!$B$14,Paramètres!$A$1:$I$88,5,0)</f>
        <v>185.35296000000008</v>
      </c>
      <c r="DQ71" s="14">
        <f t="shared" si="97"/>
        <v>46.511082344324471</v>
      </c>
      <c r="DR71" s="22">
        <f t="shared" si="70"/>
        <v>403.82987374969861</v>
      </c>
      <c r="DS71" s="62">
        <f t="shared" si="71"/>
        <v>697.16320708303192</v>
      </c>
      <c r="DT71" s="62">
        <f ca="1">AVERAGE(OFFSET($DS$3,0,0,'Données projet'!$E$14+1,1))-AVERAGE(OFFSET($H$3,0,0,'Données projet'!$E$14+1,1))</f>
        <v>116.35584360635318</v>
      </c>
      <c r="DU71" s="62">
        <f t="shared" si="98"/>
        <v>86.38226293640173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26.647747878619565</v>
      </c>
      <c r="EB71" s="23">
        <f>EXP(-LN(2)/25)*EB70+(1-EXP(-LN(2)/25))/(LN(2)/25)*Calculateur!DW71*Calculateur!DY71*VLOOKUP('Données projet'!$B$14,Paramètres!$A$1:$I$88,3,0)*0.475*44/12</f>
        <v>0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26.647747878619565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-40</v>
      </c>
      <c r="O72" s="14">
        <f>N72*VLOOKUP('Données projet'!$B$9,Paramètres!$A$1:$I$88,3,0)*VLOOKUP('Données projet'!$B$9,Paramètres!$A$1:$I$88,5,0)</f>
        <v>-18.72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82.229723373996478</v>
      </c>
      <c r="T72" s="62">
        <f t="shared" si="88"/>
        <v>115.86489547584461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96.305571305333814</v>
      </c>
      <c r="AA72" s="23">
        <f>EXP(-LN(2)/25)*AA71+(1-EXP(-LN(2)/25))/(LN(2)/25)*Calculateur!V72*Calculateur!X72*VLOOKUP('Données projet'!$B$9,Paramètres!$A$1:$I$88,3,0)*0.475*44/12</f>
        <v>18.479514410002501</v>
      </c>
      <c r="AB72" s="23">
        <f>EXP(-LN(2)/2)*AB71+(1-EXP(-LN(2)/2))/(LN(2)/2)*V72*Y72*VLOOKUP('Données projet'!$B$9,Paramètres!$A$1:$I$88,3,0)*0.475*44/12</f>
        <v>0.82745187685028376</v>
      </c>
      <c r="AC72" s="24">
        <f t="shared" si="57"/>
        <v>115.61253759218661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262.78347246606825</v>
      </c>
      <c r="AO72" s="62">
        <f t="shared" si="90"/>
        <v>448.84541017639367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135.49964732808084</v>
      </c>
      <c r="AV72" s="23">
        <f>EXP(-LN(2)/25)*AV71+(1-EXP(-LN(2)/25))/(LN(2)/25)*Calculateur!AQ72*Calculateur!AS72*VLOOKUP('Données projet'!$B$10,Paramètres!$A$1:$I$88,3,0)*0.475*44/12</f>
        <v>29.660267640597308</v>
      </c>
      <c r="AW72" s="23">
        <f>EXP(-LN(2)/2)*AW71+(1-EXP(-LN(2)/2))/(LN(2)/2)*AQ72*AT72*VLOOKUP('Données projet'!$B$10,Paramètres!$A$1:$I$88,3,0)*0.475*44/12</f>
        <v>8.9867424633131732E-3</v>
      </c>
      <c r="AX72" s="23">
        <f t="shared" si="60"/>
        <v>165.16890171114147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projet'!$B$11,Paramètres!$A$1:$I$88,3,0)*VLOOKUP('Données projet'!$B$11,Paramètres!$A$1:$I$88,5,0)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135.14998708332445</v>
      </c>
      <c r="BJ72" s="62">
        <f t="shared" si="92"/>
        <v>245.50083454484513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81.679826157138351</v>
      </c>
      <c r="BQ72" s="23">
        <f>EXP(-LN(2)/25)*BQ71+(1-EXP(-LN(2)/25))/(LN(2)/25)*Calculateur!BL72*Calculateur!BN72*VLOOKUP('Données projet'!$B$11,Paramètres!$A$1:$I$88,3,0)*0.475*44/12</f>
        <v>28.529211451821823</v>
      </c>
      <c r="BR72" s="23">
        <f>EXP(-LN(2)/2)*BR71+(1-EXP(-LN(2)/2))/(LN(2)/2)*BL72*BO72*VLOOKUP('Données projet'!$B$11,Paramètres!$A$1:$I$88,3,0)*0.475*44/12</f>
        <v>2.3219457629502571E-2</v>
      </c>
      <c r="BS72" s="24">
        <f t="shared" si="63"/>
        <v>110.23225706658968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1.1368683772161603E-13</v>
      </c>
      <c r="BZ72" s="14">
        <f>BY72*VLOOKUP('Données projet'!$B$12,Paramètres!$A$1:$I$88,3,0)*VLOOKUP('Données projet'!$B$12,Paramètres!$A$1:$I$88,5,0)</f>
        <v>6.7984728957526396E-14</v>
      </c>
      <c r="CA72" s="14">
        <f t="shared" si="93"/>
        <v>1.0682447123141398E-12</v>
      </c>
      <c r="CB72" s="22">
        <f t="shared" si="64"/>
        <v>1.978932943548152E-12</v>
      </c>
      <c r="CC72" s="62">
        <f t="shared" si="65"/>
        <v>293.3333333333353</v>
      </c>
      <c r="CD72" s="62">
        <f ca="1">AVERAGE(OFFSET($CC$3,0,0,'Données projet'!$E$12+1,1))-AVERAGE(OFFSET($H$3,0,0,'Données projet'!$E$12+1,1))</f>
        <v>168.16583766359378</v>
      </c>
      <c r="CE72" s="62">
        <f t="shared" si="94"/>
        <v>194.52809733694494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126.01510417123885</v>
      </c>
      <c r="CL72" s="23">
        <f>EXP(-LN(2)/25)*CL71+(1-EXP(-LN(2)/25))/(LN(2)/25)*Calculateur!CG72*Calculateur!CI72*VLOOKUP('Données projet'!$B$12,Paramètres!$A$1:$I$88,3,0)*0.475*44/12</f>
        <v>26.239681468409827</v>
      </c>
      <c r="CM72" s="23">
        <f>EXP(-LN(2)/2)*CM71+(1-EXP(-LN(2)/2))/(LN(2)/2)*CG72*CJ72*VLOOKUP('Données projet'!$B$12,Paramètres!$A$1:$I$88,3,0)*0.475*44/12</f>
        <v>1.2034572929207581</v>
      </c>
      <c r="CN72" s="24">
        <f t="shared" si="66"/>
        <v>153.45824293256942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4.2</v>
      </c>
      <c r="CT72" s="13">
        <f>IF('Données projet'!$A$140&gt;35,CT71+CS72-DB71,IF(A72&lt;'Données projet'!$A$140,$CQ$205^A72,IF(A72='Données projet'!$A$140,'Données projet'!$B$140,CT71+CS72-DB71)))</f>
        <v>196.79999999999995</v>
      </c>
      <c r="CU72" s="18">
        <f>CT72*VLOOKUP('Données projet'!$B$13,Paramètres!$A$1:$I$88,3,0)*VLOOKUP('Données projet'!$B$13,Paramètres!$A$1:$I$88,5,0)</f>
        <v>171.92447999999999</v>
      </c>
      <c r="CV72" s="14">
        <f t="shared" si="95"/>
        <v>43.520760297647755</v>
      </c>
      <c r="CW72" s="22">
        <f t="shared" si="67"/>
        <v>375.23379351840316</v>
      </c>
      <c r="CX72" s="62">
        <f t="shared" si="68"/>
        <v>668.56712685173648</v>
      </c>
      <c r="CY72" s="62">
        <f ca="1">AVERAGE(OFFSET($CX$3,0,0,'Données projet'!$E$13+1,1))-AVERAGE(OFFSET($H$3,0,0,'Données projet'!$E$13+1,1))</f>
        <v>146.09202487550647</v>
      </c>
      <c r="CZ72" s="62">
        <f t="shared" si="96"/>
        <v>168.58814676269344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18.483099387500541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18.483099387500541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10.6</v>
      </c>
      <c r="DO72" s="13">
        <f>IF('Données projet'!$A$166&gt;35,DO71+DN72-DW71,IF(A72&lt;'Données projet'!$A$166,$DL$205^A72,IF(A72='Données projet'!$A$166,'Données projet'!$B$166,DO71+DN72-DW71)))</f>
        <v>263.40000000000015</v>
      </c>
      <c r="DP72" s="18">
        <f>DO72*VLOOKUP('Données projet'!$B$14,Paramètres!$A$1:$I$88,3,0)*VLOOKUP('Données projet'!$B$14,Paramètres!$A$1:$I$88,5,0)</f>
        <v>193.1248800000001</v>
      </c>
      <c r="DQ72" s="14">
        <f t="shared" si="97"/>
        <v>48.230162166473704</v>
      </c>
      <c r="DR72" s="22">
        <f t="shared" si="70"/>
        <v>420.36003177327524</v>
      </c>
      <c r="DS72" s="62">
        <f t="shared" si="71"/>
        <v>713.69336510660855</v>
      </c>
      <c r="DT72" s="62">
        <f ca="1">AVERAGE(OFFSET($DS$3,0,0,'Données projet'!$E$14+1,1))-AVERAGE(OFFSET($H$3,0,0,'Données projet'!$E$14+1,1))</f>
        <v>116.35584360635318</v>
      </c>
      <c r="DU72" s="62">
        <f t="shared" si="98"/>
        <v>86.38226293640173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26.125201796241139</v>
      </c>
      <c r="EB72" s="23">
        <f>EXP(-LN(2)/25)*EB71+(1-EXP(-LN(2)/25))/(LN(2)/25)*Calculateur!DW72*Calculateur!DY72*VLOOKUP('Données projet'!$B$14,Paramètres!$A$1:$I$88,3,0)*0.475*44/12</f>
        <v>0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26.125201796241139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-40</v>
      </c>
      <c r="O73" s="14">
        <f>N73*VLOOKUP('Données projet'!$B$9,Paramètres!$A$1:$I$88,3,0)*VLOOKUP('Données projet'!$B$9,Paramètres!$A$1:$I$88,5,0)</f>
        <v>-18.72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82.229723373996478</v>
      </c>
      <c r="T73" s="62">
        <f t="shared" si="88"/>
        <v>115.86489547584461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94.417077792634558</v>
      </c>
      <c r="AA73" s="23">
        <f>EXP(-LN(2)/25)*AA72+(1-EXP(-LN(2)/25))/(LN(2)/25)*Calculateur!V73*Calculateur!X73*VLOOKUP('Données projet'!$B$9,Paramètres!$A$1:$I$88,3,0)*0.475*44/12</f>
        <v>17.974191116665555</v>
      </c>
      <c r="AB73" s="23">
        <f>EXP(-LN(2)/2)*AB72+(1-EXP(-LN(2)/2))/(LN(2)/2)*V73*Y73*VLOOKUP('Données projet'!$B$9,Paramètres!$A$1:$I$88,3,0)*0.475*44/12</f>
        <v>0.58509683322637174</v>
      </c>
      <c r="AC73" s="24">
        <f t="shared" si="57"/>
        <v>112.97636574252648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262.78347246606825</v>
      </c>
      <c r="AO73" s="62">
        <f t="shared" si="90"/>
        <v>448.84541017639367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132.84258189060137</v>
      </c>
      <c r="AV73" s="23">
        <f>EXP(-LN(2)/25)*AV72+(1-EXP(-LN(2)/25))/(LN(2)/25)*Calculateur!AQ73*Calculateur!AS73*VLOOKUP('Données projet'!$B$10,Paramètres!$A$1:$I$88,3,0)*0.475*44/12</f>
        <v>28.849206062199489</v>
      </c>
      <c r="AW73" s="23">
        <f>EXP(-LN(2)/2)*AW72+(1-EXP(-LN(2)/2))/(LN(2)/2)*AQ73*AT73*VLOOKUP('Données projet'!$B$10,Paramètres!$A$1:$I$88,3,0)*0.475*44/12</f>
        <v>6.3545865365858432E-3</v>
      </c>
      <c r="AX73" s="23">
        <f t="shared" si="60"/>
        <v>161.69814253933745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projet'!$B$11,Paramètres!$A$1:$I$88,3,0)*VLOOKUP('Données projet'!$B$11,Paramètres!$A$1:$I$88,5,0)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135.14998708332445</v>
      </c>
      <c r="BJ73" s="62">
        <f t="shared" si="92"/>
        <v>245.50083454484513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80.078134585971526</v>
      </c>
      <c r="BQ73" s="23">
        <f>EXP(-LN(2)/25)*BQ72+(1-EXP(-LN(2)/25))/(LN(2)/25)*Calculateur!BL73*Calculateur!BN73*VLOOKUP('Données projet'!$B$11,Paramètres!$A$1:$I$88,3,0)*0.475*44/12</f>
        <v>27.749078664385728</v>
      </c>
      <c r="BR73" s="23">
        <f>EXP(-LN(2)/2)*BR72+(1-EXP(-LN(2)/2))/(LN(2)/2)*BL73*BO73*VLOOKUP('Données projet'!$B$11,Paramètres!$A$1:$I$88,3,0)*0.475*44/12</f>
        <v>1.6418635945294986E-2</v>
      </c>
      <c r="BS73" s="24">
        <f t="shared" si="63"/>
        <v>107.84363188630256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projet'!$B$12,Paramètres!$A$1:$I$88,3,0)*VLOOKUP('Données projet'!$B$12,Paramètres!$A$1:$I$88,5,0)</f>
        <v>6.7984728957526396E-14</v>
      </c>
      <c r="CA73" s="14">
        <f t="shared" si="93"/>
        <v>1.0682447123141398E-12</v>
      </c>
      <c r="CB73" s="22">
        <f t="shared" si="64"/>
        <v>1.978932943548152E-12</v>
      </c>
      <c r="CC73" s="62">
        <f t="shared" si="65"/>
        <v>293.3333333333353</v>
      </c>
      <c r="CD73" s="62">
        <f ca="1">AVERAGE(OFFSET($CC$3,0,0,'Données projet'!$E$12+1,1))-AVERAGE(OFFSET($H$3,0,0,'Données projet'!$E$12+1,1))</f>
        <v>168.16583766359378</v>
      </c>
      <c r="CE73" s="62">
        <f t="shared" si="94"/>
        <v>194.52809733694494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123.54402484006494</v>
      </c>
      <c r="CL73" s="23">
        <f>EXP(-LN(2)/25)*CL72+(1-EXP(-LN(2)/25))/(LN(2)/25)*Calculateur!CG73*Calculateur!CI73*VLOOKUP('Données projet'!$B$12,Paramètres!$A$1:$I$88,3,0)*0.475*44/12</f>
        <v>25.522155998771282</v>
      </c>
      <c r="CM73" s="23">
        <f>EXP(-LN(2)/2)*CM72+(1-EXP(-LN(2)/2))/(LN(2)/2)*CG73*CJ73*VLOOKUP('Données projet'!$B$12,Paramètres!$A$1:$I$88,3,0)*0.475*44/12</f>
        <v>0.85097281269267333</v>
      </c>
      <c r="CN73" s="24">
        <f t="shared" si="66"/>
        <v>149.91715365152888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201</v>
      </c>
      <c r="CR73" s="13">
        <f>VLOOKUP(A73,'Données projet'!$A$139:$I$159,9,0)</f>
        <v>4.2</v>
      </c>
      <c r="CS73" s="13">
        <f t="array" ref="CS73">INDEX(CR:CR,MIN(IF(ISNUMBER(CR73:CR269),ROW(CR73:CR269),"")))</f>
        <v>4.2</v>
      </c>
      <c r="CT73" s="13">
        <f>IF('Données projet'!$A$140&gt;35,CT72+CS73-DB72,IF(A73&lt;'Données projet'!$A$140,$CQ$205^A73,IF(A73='Données projet'!$A$140,'Données projet'!$B$140,CT72+CS73-DB72)))</f>
        <v>200.99999999999994</v>
      </c>
      <c r="CU73" s="18">
        <f>CT73*VLOOKUP('Données projet'!$B$13,Paramètres!$A$1:$I$88,3,0)*VLOOKUP('Données projet'!$B$13,Paramètres!$A$1:$I$88,5,0)</f>
        <v>175.59359999999995</v>
      </c>
      <c r="CV73" s="14">
        <f t="shared" si="95"/>
        <v>44.340433728638573</v>
      </c>
      <c r="CW73" s="22">
        <f t="shared" si="67"/>
        <v>383.05177541071203</v>
      </c>
      <c r="CX73" s="62">
        <f t="shared" si="68"/>
        <v>676.38510874404528</v>
      </c>
      <c r="CY73" s="62">
        <f ca="1">AVERAGE(OFFSET($CX$3,0,0,'Données projet'!$E$13+1,1))-AVERAGE(OFFSET($H$3,0,0,'Données projet'!$E$13+1,1))</f>
        <v>146.09202487550647</v>
      </c>
      <c r="CZ73" s="62">
        <f t="shared" si="96"/>
        <v>168.58814676269344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201</v>
      </c>
      <c r="DC73" s="17">
        <f>IF(ISNA(VLOOKUP(A73,'Données projet'!$A$139:$I$159,5,0)),0%,VLOOKUP(A73,'Données projet'!$A$139:$I$159,5,0)*VLOOKUP('Données projet'!$B$13,Paramètres!$A$1:$I$88,7,0))</f>
        <v>0.34400000000000003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84.895709212720746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84.895709212720746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274</v>
      </c>
      <c r="DM73" s="13">
        <f>VLOOKUP(A73,'Données projet'!$A$165:$I$185,9,0)</f>
        <v>10.6</v>
      </c>
      <c r="DN73" s="13">
        <f t="array" ref="DN73">INDEX(DM:DM,MIN(IF(ISNUMBER(DM73:DM269),ROW(DM73:DM269),"")))</f>
        <v>10.6</v>
      </c>
      <c r="DO73" s="13">
        <f>IF('Données projet'!$A$166&gt;35,DO72+DN73-DW72,IF(A73&lt;'Données projet'!$A$166,$DL$205^A73,IF(A73='Données projet'!$A$166,'Données projet'!$B$166,DO72+DN73-DW72)))</f>
        <v>274.00000000000017</v>
      </c>
      <c r="DP73" s="18">
        <f>DO73*VLOOKUP('Données projet'!$B$14,Paramètres!$A$1:$I$88,3,0)*VLOOKUP('Données projet'!$B$14,Paramètres!$A$1:$I$88,5,0)</f>
        <v>200.89680000000016</v>
      </c>
      <c r="DQ73" s="14">
        <f t="shared" si="97"/>
        <v>49.941205873360261</v>
      </c>
      <c r="DR73" s="22">
        <f t="shared" si="70"/>
        <v>436.8761935627694</v>
      </c>
      <c r="DS73" s="62">
        <f t="shared" si="71"/>
        <v>730.20952689610272</v>
      </c>
      <c r="DT73" s="62">
        <f ca="1">AVERAGE(OFFSET($DS$3,0,0,'Données projet'!$E$14+1,1))-AVERAGE(OFFSET($H$3,0,0,'Données projet'!$E$14+1,1))</f>
        <v>116.35584360635318</v>
      </c>
      <c r="DU73" s="62">
        <f t="shared" si="98"/>
        <v>86.38226293640173</v>
      </c>
      <c r="DV73" s="16">
        <f>IF(ISNA(VLOOKUP(A73,'Données projet'!$A$165:$I$185,3,0)),0,VLOOKUP(A73,'Données projet'!$A$165:$I$185,3,0))</f>
        <v>12</v>
      </c>
      <c r="DW73" s="16">
        <f>IF(ISNA(VLOOKUP(A73,'Données projet'!$A$165:$I$185,4,0)),0,VLOOKUP(A73,'Données projet'!$A$165:$I$185,4,0))</f>
        <v>274</v>
      </c>
      <c r="DX73" s="17">
        <f>IF(ISNA(VLOOKUP(A73,'Données projet'!$A$165:$I$185,5,0)),0%,VLOOKUP(A73,'Données projet'!$A$165:$I$185,5,0)*VLOOKUP('Données projet'!$B$14,Paramètres!$A$1:$I$88,7,0))</f>
        <v>0.34400000000000003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102.0103013633931</v>
      </c>
      <c r="EB73" s="23">
        <f>EXP(-LN(2)/25)*EB72+(1-EXP(-LN(2)/25))/(LN(2)/25)*Calculateur!DW73*Calculateur!DY73*VLOOKUP('Données projet'!$B$14,Paramètres!$A$1:$I$88,3,0)*0.475*44/12</f>
        <v>0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102.0103013633931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-40</v>
      </c>
      <c r="O74" s="14">
        <f>N74*VLOOKUP('Données projet'!$B$9,Paramètres!$A$1:$I$88,3,0)*VLOOKUP('Données projet'!$B$9,Paramètres!$A$1:$I$88,5,0)</f>
        <v>-18.72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82.229723373996478</v>
      </c>
      <c r="T74" s="62">
        <f t="shared" si="88"/>
        <v>115.86489547584461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92.565616485852033</v>
      </c>
      <c r="AA74" s="23">
        <f>EXP(-LN(2)/25)*AA73+(1-EXP(-LN(2)/25))/(LN(2)/25)*Calculateur!V74*Calculateur!X74*VLOOKUP('Données projet'!$B$9,Paramètres!$A$1:$I$88,3,0)*0.475*44/12</f>
        <v>17.482685915358704</v>
      </c>
      <c r="AB74" s="23">
        <f>EXP(-LN(2)/2)*AB73+(1-EXP(-LN(2)/2))/(LN(2)/2)*V74*Y74*VLOOKUP('Données projet'!$B$9,Paramètres!$A$1:$I$88,3,0)*0.475*44/12</f>
        <v>0.41372593842514194</v>
      </c>
      <c r="AC74" s="24">
        <f t="shared" si="57"/>
        <v>110.46202833963588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262.78347246606825</v>
      </c>
      <c r="AO74" s="62">
        <f t="shared" si="90"/>
        <v>448.84541017639367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130.23761988570098</v>
      </c>
      <c r="AV74" s="23">
        <f>EXP(-LN(2)/25)*AV73+(1-EXP(-LN(2)/25))/(LN(2)/25)*Calculateur!AQ74*Calculateur!AS74*VLOOKUP('Données projet'!$B$10,Paramètres!$A$1:$I$88,3,0)*0.475*44/12</f>
        <v>28.060323005314832</v>
      </c>
      <c r="AW74" s="23">
        <f>EXP(-LN(2)/2)*AW73+(1-EXP(-LN(2)/2))/(LN(2)/2)*AQ74*AT74*VLOOKUP('Données projet'!$B$10,Paramètres!$A$1:$I$88,3,0)*0.475*44/12</f>
        <v>4.4933712316565866E-3</v>
      </c>
      <c r="AX74" s="23">
        <f t="shared" si="60"/>
        <v>158.30243626224748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projet'!$B$11,Paramètres!$A$1:$I$88,3,0)*VLOOKUP('Données projet'!$B$11,Paramètres!$A$1:$I$88,5,0)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135.14998708332445</v>
      </c>
      <c r="BJ74" s="62">
        <f t="shared" si="92"/>
        <v>245.50083454484513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78.507851209579897</v>
      </c>
      <c r="BQ74" s="23">
        <f>EXP(-LN(2)/25)*BQ73+(1-EXP(-LN(2)/25))/(LN(2)/25)*Calculateur!BL74*Calculateur!BN74*VLOOKUP('Données projet'!$B$11,Paramètres!$A$1:$I$88,3,0)*0.475*44/12</f>
        <v>26.990278649047475</v>
      </c>
      <c r="BR74" s="23">
        <f>EXP(-LN(2)/2)*BR73+(1-EXP(-LN(2)/2))/(LN(2)/2)*BL74*BO74*VLOOKUP('Données projet'!$B$11,Paramètres!$A$1:$I$88,3,0)*0.475*44/12</f>
        <v>1.1609728814751285E-2</v>
      </c>
      <c r="BS74" s="24">
        <f t="shared" si="63"/>
        <v>105.50973958744213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projet'!$B$12,Paramètres!$A$1:$I$88,3,0)*VLOOKUP('Données projet'!$B$12,Paramètres!$A$1:$I$88,5,0)</f>
        <v>6.7984728957526396E-14</v>
      </c>
      <c r="CA74" s="14">
        <f t="shared" si="93"/>
        <v>1.0682447123141398E-12</v>
      </c>
      <c r="CB74" s="22">
        <f t="shared" si="64"/>
        <v>1.978932943548152E-12</v>
      </c>
      <c r="CC74" s="62">
        <f t="shared" si="65"/>
        <v>293.3333333333353</v>
      </c>
      <c r="CD74" s="62">
        <f ca="1">AVERAGE(OFFSET($CC$3,0,0,'Données projet'!$E$12+1,1))-AVERAGE(OFFSET($H$3,0,0,'Données projet'!$E$12+1,1))</f>
        <v>168.16583766359378</v>
      </c>
      <c r="CE74" s="62">
        <f t="shared" si="94"/>
        <v>194.52809733694494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121.12140186736579</v>
      </c>
      <c r="CL74" s="23">
        <f>EXP(-LN(2)/25)*CL73+(1-EXP(-LN(2)/25))/(LN(2)/25)*Calculateur!CG74*Calculateur!CI74*VLOOKUP('Données projet'!$B$12,Paramètres!$A$1:$I$88,3,0)*0.475*44/12</f>
        <v>24.82425130083303</v>
      </c>
      <c r="CM74" s="23">
        <f>EXP(-LN(2)/2)*CM73+(1-EXP(-LN(2)/2))/(LN(2)/2)*CG74*CJ74*VLOOKUP('Données projet'!$B$12,Paramètres!$A$1:$I$88,3,0)*0.475*44/12</f>
        <v>0.60172864646037905</v>
      </c>
      <c r="CN74" s="24">
        <f t="shared" si="66"/>
        <v>146.54738181465919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projet'!$B$13,Paramètres!$A$1:$I$88,3,0)*VLOOKUP('Données projet'!$B$13,Paramètres!$A$1:$I$88,5,0)</f>
        <v>-4.9658410716801891E-14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146.09202487550647</v>
      </c>
      <c r="CZ74" s="62">
        <f t="shared" si="96"/>
        <v>168.58814676269344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83.230956136328942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83.230956136328942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1.7053025658242404E-13</v>
      </c>
      <c r="DP74" s="18">
        <f>DO74*VLOOKUP('Données projet'!$B$14,Paramètres!$A$1:$I$88,3,0)*VLOOKUP('Données projet'!$B$14,Paramètres!$A$1:$I$88,5,0)</f>
        <v>1.250327841262333E-13</v>
      </c>
      <c r="DQ74" s="14">
        <f t="shared" si="97"/>
        <v>1.8301318724634299E-12</v>
      </c>
      <c r="DR74" s="22">
        <f t="shared" si="70"/>
        <v>3.405245110226996E-12</v>
      </c>
      <c r="DS74" s="62">
        <f t="shared" si="71"/>
        <v>293.33333333333672</v>
      </c>
      <c r="DT74" s="62">
        <f ca="1">AVERAGE(OFFSET($DS$3,0,0,'Données projet'!$E$14+1,1))-AVERAGE(OFFSET($H$3,0,0,'Données projet'!$E$14+1,1))</f>
        <v>116.35584360635318</v>
      </c>
      <c r="DU74" s="62">
        <f t="shared" si="98"/>
        <v>86.38226293640173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100.00994157379706</v>
      </c>
      <c r="EB74" s="23">
        <f>EXP(-LN(2)/25)*EB73+(1-EXP(-LN(2)/25))/(LN(2)/25)*Calculateur!DW74*Calculateur!DY74*VLOOKUP('Données projet'!$B$14,Paramètres!$A$1:$I$88,3,0)*0.475*44/12</f>
        <v>0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100.00994157379706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-40</v>
      </c>
      <c r="O75" s="14">
        <f>N75*VLOOKUP('Données projet'!$B$9,Paramètres!$A$1:$I$88,3,0)*VLOOKUP('Données projet'!$B$9,Paramètres!$A$1:$I$88,5,0)</f>
        <v>-18.72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82.229723373996478</v>
      </c>
      <c r="T75" s="62">
        <f t="shared" si="88"/>
        <v>115.86489547584461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90.750461206015629</v>
      </c>
      <c r="AA75" s="23">
        <f>EXP(-LN(2)/25)*AA74+(1-EXP(-LN(2)/25))/(LN(2)/25)*Calculateur!V75*Calculateur!X75*VLOOKUP('Données projet'!$B$9,Paramètres!$A$1:$I$88,3,0)*0.475*44/12</f>
        <v>17.004620949628727</v>
      </c>
      <c r="AB75" s="23">
        <f>EXP(-LN(2)/2)*AB74+(1-EXP(-LN(2)/2))/(LN(2)/2)*V75*Y75*VLOOKUP('Données projet'!$B$9,Paramètres!$A$1:$I$88,3,0)*0.475*44/12</f>
        <v>0.29254841661318587</v>
      </c>
      <c r="AC75" s="24">
        <f t="shared" si="57"/>
        <v>108.04763057225755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262.78347246606825</v>
      </c>
      <c r="AO75" s="62">
        <f t="shared" si="90"/>
        <v>448.84541017639367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127.68373959684675</v>
      </c>
      <c r="AV75" s="23">
        <f>EXP(-LN(2)/25)*AV74+(1-EXP(-LN(2)/25))/(LN(2)/25)*Calculateur!AQ75*Calculateur!AS75*VLOOKUP('Données projet'!$B$10,Paramètres!$A$1:$I$88,3,0)*0.475*44/12</f>
        <v>27.293011997106245</v>
      </c>
      <c r="AW75" s="23">
        <f>EXP(-LN(2)/2)*AW74+(1-EXP(-LN(2)/2))/(LN(2)/2)*AQ75*AT75*VLOOKUP('Données projet'!$B$10,Paramètres!$A$1:$I$88,3,0)*0.475*44/12</f>
        <v>3.1772932682929216E-3</v>
      </c>
      <c r="AX75" s="23">
        <f t="shared" si="60"/>
        <v>154.97992888722129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projet'!$B$11,Paramètres!$A$1:$I$88,3,0)*VLOOKUP('Données projet'!$B$11,Paramètres!$A$1:$I$88,5,0)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135.14998708332445</v>
      </c>
      <c r="BJ75" s="62">
        <f t="shared" si="92"/>
        <v>245.50083454484513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76.968360132421012</v>
      </c>
      <c r="BQ75" s="23">
        <f>EXP(-LN(2)/25)*BQ74+(1-EXP(-LN(2)/25))/(LN(2)/25)*Calculateur!BL75*Calculateur!BN75*VLOOKUP('Données projet'!$B$11,Paramètres!$A$1:$I$88,3,0)*0.475*44/12</f>
        <v>26.252228060032206</v>
      </c>
      <c r="BR75" s="23">
        <f>EXP(-LN(2)/2)*BR74+(1-EXP(-LN(2)/2))/(LN(2)/2)*BL75*BO75*VLOOKUP('Données projet'!$B$11,Paramètres!$A$1:$I$88,3,0)*0.475*44/12</f>
        <v>8.2093179726474928E-3</v>
      </c>
      <c r="BS75" s="24">
        <f t="shared" si="63"/>
        <v>103.22879751042586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projet'!$B$12,Paramètres!$A$1:$I$88,3,0)*VLOOKUP('Données projet'!$B$12,Paramètres!$A$1:$I$88,5,0)</f>
        <v>6.7984728957526396E-14</v>
      </c>
      <c r="CA75" s="14">
        <f t="shared" si="93"/>
        <v>1.0682447123141398E-12</v>
      </c>
      <c r="CB75" s="22">
        <f t="shared" si="64"/>
        <v>1.978932943548152E-12</v>
      </c>
      <c r="CC75" s="62">
        <f t="shared" si="65"/>
        <v>293.3333333333353</v>
      </c>
      <c r="CD75" s="62">
        <f ca="1">AVERAGE(OFFSET($CC$3,0,0,'Données projet'!$E$12+1,1))-AVERAGE(OFFSET($H$3,0,0,'Données projet'!$E$12+1,1))</f>
        <v>168.16583766359378</v>
      </c>
      <c r="CE75" s="62">
        <f t="shared" si="94"/>
        <v>194.52809733694494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118.74628505350717</v>
      </c>
      <c r="CL75" s="23">
        <f>EXP(-LN(2)/25)*CL74+(1-EXP(-LN(2)/25))/(LN(2)/25)*Calculateur!CG75*Calculateur!CI75*VLOOKUP('Données projet'!$B$12,Paramètres!$A$1:$I$88,3,0)*0.475*44/12</f>
        <v>24.145430843561112</v>
      </c>
      <c r="CM75" s="23">
        <f>EXP(-LN(2)/2)*CM74+(1-EXP(-LN(2)/2))/(LN(2)/2)*CG75*CJ75*VLOOKUP('Données projet'!$B$12,Paramètres!$A$1:$I$88,3,0)*0.475*44/12</f>
        <v>0.42548640634633667</v>
      </c>
      <c r="CN75" s="24">
        <f t="shared" si="66"/>
        <v>143.3172023034146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projet'!$B$13,Paramètres!$A$1:$I$88,3,0)*VLOOKUP('Données projet'!$B$13,Paramètres!$A$1:$I$88,5,0)</f>
        <v>-4.9658410716801891E-14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146.09202487550647</v>
      </c>
      <c r="CZ75" s="62">
        <f t="shared" si="96"/>
        <v>168.58814676269344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81.598847852366063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81.598847852366063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1.7053025658242404E-13</v>
      </c>
      <c r="DP75" s="18">
        <f>DO75*VLOOKUP('Données projet'!$B$14,Paramètres!$A$1:$I$88,3,0)*VLOOKUP('Données projet'!$B$14,Paramètres!$A$1:$I$88,5,0)</f>
        <v>1.250327841262333E-13</v>
      </c>
      <c r="DQ75" s="14">
        <f t="shared" si="97"/>
        <v>1.8301318724634299E-12</v>
      </c>
      <c r="DR75" s="22">
        <f t="shared" si="70"/>
        <v>3.405245110226996E-12</v>
      </c>
      <c r="DS75" s="62">
        <f t="shared" si="71"/>
        <v>293.33333333333672</v>
      </c>
      <c r="DT75" s="62">
        <f ca="1">AVERAGE(OFFSET($DS$3,0,0,'Données projet'!$E$14+1,1))-AVERAGE(OFFSET($H$3,0,0,'Données projet'!$E$14+1,1))</f>
        <v>116.35584360635318</v>
      </c>
      <c r="DU75" s="62">
        <f t="shared" si="98"/>
        <v>86.38226293640173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98.04880761957601</v>
      </c>
      <c r="EB75" s="23">
        <f>EXP(-LN(2)/25)*EB74+(1-EXP(-LN(2)/25))/(LN(2)/25)*Calculateur!DW75*Calculateur!DY75*VLOOKUP('Données projet'!$B$14,Paramètres!$A$1:$I$88,3,0)*0.475*44/12</f>
        <v>0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98.04880761957601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-40</v>
      </c>
      <c r="O76" s="14">
        <f>N76*VLOOKUP('Données projet'!$B$9,Paramètres!$A$1:$I$88,3,0)*VLOOKUP('Données projet'!$B$9,Paramètres!$A$1:$I$88,5,0)</f>
        <v>-18.72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82.229723373996478</v>
      </c>
      <c r="T76" s="62">
        <f t="shared" si="88"/>
        <v>115.86489547584461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88.970900014081408</v>
      </c>
      <c r="AA76" s="23">
        <f>EXP(-LN(2)/25)*AA75+(1-EXP(-LN(2)/25))/(LN(2)/25)*Calculateur!V76*Calculateur!X76*VLOOKUP('Données projet'!$B$9,Paramètres!$A$1:$I$88,3,0)*0.475*44/12</f>
        <v>16.539628695526979</v>
      </c>
      <c r="AB76" s="23">
        <f>EXP(-LN(2)/2)*AB75+(1-EXP(-LN(2)/2))/(LN(2)/2)*V76*Y76*VLOOKUP('Données projet'!$B$9,Paramètres!$A$1:$I$88,3,0)*0.475*44/12</f>
        <v>0.20686296921257097</v>
      </c>
      <c r="AC76" s="24">
        <f t="shared" si="57"/>
        <v>105.71739167882096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262.78347246606825</v>
      </c>
      <c r="AO76" s="62">
        <f t="shared" si="90"/>
        <v>448.84541017639367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125.17993934274379</v>
      </c>
      <c r="AV76" s="23">
        <f>EXP(-LN(2)/25)*AV75+(1-EXP(-LN(2)/25))/(LN(2)/25)*Calculateur!AQ76*Calculateur!AS76*VLOOKUP('Données projet'!$B$10,Paramètres!$A$1:$I$88,3,0)*0.475*44/12</f>
        <v>26.546683148768253</v>
      </c>
      <c r="AW76" s="23">
        <f>EXP(-LN(2)/2)*AW75+(1-EXP(-LN(2)/2))/(LN(2)/2)*AQ76*AT76*VLOOKUP('Données projet'!$B$10,Paramètres!$A$1:$I$88,3,0)*0.475*44/12</f>
        <v>2.2466856158282933E-3</v>
      </c>
      <c r="AX76" s="23">
        <f t="shared" si="60"/>
        <v>151.72886917712788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projet'!$B$11,Paramètres!$A$1:$I$88,3,0)*VLOOKUP('Données projet'!$B$11,Paramètres!$A$1:$I$88,5,0)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135.14998708332445</v>
      </c>
      <c r="BJ76" s="62">
        <f t="shared" si="92"/>
        <v>245.50083454484513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75.459057536288384</v>
      </c>
      <c r="BQ76" s="23">
        <f>EXP(-LN(2)/25)*BQ75+(1-EXP(-LN(2)/25))/(LN(2)/25)*Calculateur!BL76*Calculateur!BN76*VLOOKUP('Données projet'!$B$11,Paramètres!$A$1:$I$88,3,0)*0.475*44/12</f>
        <v>25.53435950318595</v>
      </c>
      <c r="BR76" s="23">
        <f>EXP(-LN(2)/2)*BR75+(1-EXP(-LN(2)/2))/(LN(2)/2)*BL76*BO76*VLOOKUP('Données projet'!$B$11,Paramètres!$A$1:$I$88,3,0)*0.475*44/12</f>
        <v>5.8048644073756426E-3</v>
      </c>
      <c r="BS76" s="24">
        <f t="shared" si="63"/>
        <v>100.99922190388172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projet'!$B$12,Paramètres!$A$1:$I$88,3,0)*VLOOKUP('Données projet'!$B$12,Paramètres!$A$1:$I$88,5,0)</f>
        <v>6.7984728957526396E-14</v>
      </c>
      <c r="CA76" s="14">
        <f t="shared" si="93"/>
        <v>1.0682447123141398E-12</v>
      </c>
      <c r="CB76" s="22">
        <f t="shared" si="64"/>
        <v>1.978932943548152E-12</v>
      </c>
      <c r="CC76" s="62">
        <f t="shared" si="65"/>
        <v>293.3333333333353</v>
      </c>
      <c r="CD76" s="62">
        <f ca="1">AVERAGE(OFFSET($CC$3,0,0,'Données projet'!$E$12+1,1))-AVERAGE(OFFSET($H$3,0,0,'Données projet'!$E$12+1,1))</f>
        <v>168.16583766359378</v>
      </c>
      <c r="CE76" s="62">
        <f t="shared" si="94"/>
        <v>194.52809733694494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116.41774283169009</v>
      </c>
      <c r="CL76" s="23">
        <f>EXP(-LN(2)/25)*CL75+(1-EXP(-LN(2)/25))/(LN(2)/25)*Calculateur!CG76*Calculateur!CI76*VLOOKUP('Données projet'!$B$12,Paramètres!$A$1:$I$88,3,0)*0.475*44/12</f>
        <v>23.48517276739091</v>
      </c>
      <c r="CM76" s="23">
        <f>EXP(-LN(2)/2)*CM75+(1-EXP(-LN(2)/2))/(LN(2)/2)*CG76*CJ76*VLOOKUP('Données projet'!$B$12,Paramètres!$A$1:$I$88,3,0)*0.475*44/12</f>
        <v>0.30086432323018952</v>
      </c>
      <c r="CN76" s="24">
        <f t="shared" si="66"/>
        <v>140.20377992231121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projet'!$B$13,Paramètres!$A$1:$I$88,3,0)*VLOOKUP('Données projet'!$B$13,Paramètres!$A$1:$I$88,5,0)</f>
        <v>-4.9658410716801891E-14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146.09202487550647</v>
      </c>
      <c r="CZ76" s="62">
        <f t="shared" si="96"/>
        <v>168.58814676269344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79.998744216363932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79.998744216363932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1.7053025658242404E-13</v>
      </c>
      <c r="DP76" s="18">
        <f>DO76*VLOOKUP('Données projet'!$B$14,Paramètres!$A$1:$I$88,3,0)*VLOOKUP('Données projet'!$B$14,Paramètres!$A$1:$I$88,5,0)</f>
        <v>1.250327841262333E-13</v>
      </c>
      <c r="DQ76" s="14">
        <f t="shared" si="97"/>
        <v>1.8301318724634299E-12</v>
      </c>
      <c r="DR76" s="22">
        <f t="shared" si="70"/>
        <v>3.405245110226996E-12</v>
      </c>
      <c r="DS76" s="62">
        <f t="shared" si="71"/>
        <v>293.33333333333672</v>
      </c>
      <c r="DT76" s="62">
        <f ca="1">AVERAGE(OFFSET($DS$3,0,0,'Données projet'!$E$14+1,1))-AVERAGE(OFFSET($H$3,0,0,'Données projet'!$E$14+1,1))</f>
        <v>116.35584360635318</v>
      </c>
      <c r="DU76" s="62">
        <f t="shared" si="98"/>
        <v>86.38226293640173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96.126130306023626</v>
      </c>
      <c r="EB76" s="23">
        <f>EXP(-LN(2)/25)*EB75+(1-EXP(-LN(2)/25))/(LN(2)/25)*Calculateur!DW76*Calculateur!DY76*VLOOKUP('Données projet'!$B$14,Paramètres!$A$1:$I$88,3,0)*0.475*44/12</f>
        <v>0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96.126130306023626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-40</v>
      </c>
      <c r="O77" s="14">
        <f>N77*VLOOKUP('Données projet'!$B$9,Paramètres!$A$1:$I$88,3,0)*VLOOKUP('Données projet'!$B$9,Paramètres!$A$1:$I$88,5,0)</f>
        <v>-18.72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82.229723373996478</v>
      </c>
      <c r="T77" s="62">
        <f t="shared" si="88"/>
        <v>115.86489547584461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87.226234931695871</v>
      </c>
      <c r="AA77" s="23">
        <f>EXP(-LN(2)/25)*AA76+(1-EXP(-LN(2)/25))/(LN(2)/25)*Calculateur!V77*Calculateur!X77*VLOOKUP('Données projet'!$B$9,Paramètres!$A$1:$I$88,3,0)*0.475*44/12</f>
        <v>16.087351679066522</v>
      </c>
      <c r="AB77" s="23">
        <f>EXP(-LN(2)/2)*AB76+(1-EXP(-LN(2)/2))/(LN(2)/2)*V77*Y77*VLOOKUP('Données projet'!$B$9,Paramètres!$A$1:$I$88,3,0)*0.475*44/12</f>
        <v>0.14627420830659293</v>
      </c>
      <c r="AC77" s="24">
        <f t="shared" si="57"/>
        <v>103.45986081906899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262.78347246606825</v>
      </c>
      <c r="AO77" s="62">
        <f t="shared" si="90"/>
        <v>448.84541017639367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122.72523708445642</v>
      </c>
      <c r="AV77" s="23">
        <f>EXP(-LN(2)/25)*AV76+(1-EXP(-LN(2)/25))/(LN(2)/25)*Calculateur!AQ77*Calculateur!AS77*VLOOKUP('Données projet'!$B$10,Paramètres!$A$1:$I$88,3,0)*0.475*44/12</f>
        <v>25.82076270203579</v>
      </c>
      <c r="AW77" s="23">
        <f>EXP(-LN(2)/2)*AW76+(1-EXP(-LN(2)/2))/(LN(2)/2)*AQ77*AT77*VLOOKUP('Données projet'!$B$10,Paramètres!$A$1:$I$88,3,0)*0.475*44/12</f>
        <v>1.5886466341464608E-3</v>
      </c>
      <c r="AX77" s="23">
        <f t="shared" si="60"/>
        <v>148.54758843312635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projet'!$B$11,Paramètres!$A$1:$I$88,3,0)*VLOOKUP('Données projet'!$B$11,Paramètres!$A$1:$I$88,5,0)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135.14998708332445</v>
      </c>
      <c r="BJ77" s="62">
        <f t="shared" si="92"/>
        <v>245.50083454484513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73.97935144348223</v>
      </c>
      <c r="BQ77" s="23">
        <f>EXP(-LN(2)/25)*BQ76+(1-EXP(-LN(2)/25))/(LN(2)/25)*Calculateur!BL77*Calculateur!BN77*VLOOKUP('Données projet'!$B$11,Paramètres!$A$1:$I$88,3,0)*0.475*44/12</f>
        <v>24.836121099777724</v>
      </c>
      <c r="BR77" s="23">
        <f>EXP(-LN(2)/2)*BR76+(1-EXP(-LN(2)/2))/(LN(2)/2)*BL77*BO77*VLOOKUP('Données projet'!$B$11,Paramètres!$A$1:$I$88,3,0)*0.475*44/12</f>
        <v>4.1046589863237464E-3</v>
      </c>
      <c r="BS77" s="24">
        <f t="shared" si="63"/>
        <v>98.819577202246279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projet'!$B$12,Paramètres!$A$1:$I$88,3,0)*VLOOKUP('Données projet'!$B$12,Paramètres!$A$1:$I$88,5,0)</f>
        <v>6.7984728957526396E-14</v>
      </c>
      <c r="CA77" s="14">
        <f t="shared" si="93"/>
        <v>1.0682447123141398E-12</v>
      </c>
      <c r="CB77" s="22">
        <f t="shared" si="64"/>
        <v>1.978932943548152E-12</v>
      </c>
      <c r="CC77" s="62">
        <f t="shared" si="65"/>
        <v>293.3333333333353</v>
      </c>
      <c r="CD77" s="62">
        <f ca="1">AVERAGE(OFFSET($CC$3,0,0,'Données projet'!$E$12+1,1))-AVERAGE(OFFSET($H$3,0,0,'Données projet'!$E$12+1,1))</f>
        <v>168.16583766359378</v>
      </c>
      <c r="CE77" s="62">
        <f t="shared" si="94"/>
        <v>194.52809733694494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114.13486190257234</v>
      </c>
      <c r="CL77" s="23">
        <f>EXP(-LN(2)/25)*CL76+(1-EXP(-LN(2)/25))/(LN(2)/25)*Calculateur!CG77*Calculateur!CI77*VLOOKUP('Données projet'!$B$12,Paramètres!$A$1:$I$88,3,0)*0.475*44/12</f>
        <v>22.842969483035045</v>
      </c>
      <c r="CM77" s="23">
        <f>EXP(-LN(2)/2)*CM76+(1-EXP(-LN(2)/2))/(LN(2)/2)*CG77*CJ77*VLOOKUP('Données projet'!$B$12,Paramètres!$A$1:$I$88,3,0)*0.475*44/12</f>
        <v>0.21274320317316833</v>
      </c>
      <c r="CN77" s="24">
        <f t="shared" si="66"/>
        <v>137.19057458878055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projet'!$B$13,Paramètres!$A$1:$I$88,3,0)*VLOOKUP('Données projet'!$B$13,Paramètres!$A$1:$I$88,5,0)</f>
        <v>-4.9658410716801891E-14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146.09202487550647</v>
      </c>
      <c r="CZ77" s="62">
        <f t="shared" si="96"/>
        <v>168.58814676269344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78.430017636696959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78.430017636696959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1.7053025658242404E-13</v>
      </c>
      <c r="DP77" s="18">
        <f>DO77*VLOOKUP('Données projet'!$B$14,Paramètres!$A$1:$I$88,3,0)*VLOOKUP('Données projet'!$B$14,Paramètres!$A$1:$I$88,5,0)</f>
        <v>1.250327841262333E-13</v>
      </c>
      <c r="DQ77" s="14">
        <f t="shared" si="97"/>
        <v>1.8301318724634299E-12</v>
      </c>
      <c r="DR77" s="22">
        <f t="shared" si="70"/>
        <v>3.405245110226996E-12</v>
      </c>
      <c r="DS77" s="62">
        <f t="shared" si="71"/>
        <v>293.33333333333672</v>
      </c>
      <c r="DT77" s="62">
        <f ca="1">AVERAGE(OFFSET($DS$3,0,0,'Données projet'!$E$14+1,1))-AVERAGE(OFFSET($H$3,0,0,'Données projet'!$E$14+1,1))</f>
        <v>116.35584360635318</v>
      </c>
      <c r="DU77" s="62">
        <f t="shared" si="98"/>
        <v>86.38226293640173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94.241155521872642</v>
      </c>
      <c r="EB77" s="23">
        <f>EXP(-LN(2)/25)*EB76+(1-EXP(-LN(2)/25))/(LN(2)/25)*Calculateur!DW77*Calculateur!DY77*VLOOKUP('Données projet'!$B$14,Paramètres!$A$1:$I$88,3,0)*0.475*44/12</f>
        <v>0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94.241155521872642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-40</v>
      </c>
      <c r="O78" s="14">
        <f>N78*VLOOKUP('Données projet'!$B$9,Paramètres!$A$1:$I$88,3,0)*VLOOKUP('Données projet'!$B$9,Paramètres!$A$1:$I$88,5,0)</f>
        <v>-18.72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82.229723373996478</v>
      </c>
      <c r="T78" s="62">
        <f t="shared" si="88"/>
        <v>115.86489547584461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85.515781667435292</v>
      </c>
      <c r="AA78" s="23">
        <f>EXP(-LN(2)/25)*AA77+(1-EXP(-LN(2)/25))/(LN(2)/25)*Calculateur!V78*Calculateur!X78*VLOOKUP('Données projet'!$B$9,Paramètres!$A$1:$I$88,3,0)*0.475*44/12</f>
        <v>15.647442201405392</v>
      </c>
      <c r="AB78" s="23">
        <f>EXP(-LN(2)/2)*AB77+(1-EXP(-LN(2)/2))/(LN(2)/2)*V78*Y78*VLOOKUP('Données projet'!$B$9,Paramètres!$A$1:$I$88,3,0)*0.475*44/12</f>
        <v>0.10343148460628548</v>
      </c>
      <c r="AC78" s="24">
        <f t="shared" si="57"/>
        <v>101.26665535344698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262.78347246606825</v>
      </c>
      <c r="AO78" s="62">
        <f t="shared" si="90"/>
        <v>448.84541017639367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120.31867004023354</v>
      </c>
      <c r="AV78" s="23">
        <f>EXP(-LN(2)/25)*AV77+(1-EXP(-LN(2)/25))/(LN(2)/25)*Calculateur!AQ78*Calculateur!AS78*VLOOKUP('Données projet'!$B$10,Paramètres!$A$1:$I$88,3,0)*0.475*44/12</f>
        <v>25.114692588093725</v>
      </c>
      <c r="AW78" s="23">
        <f>EXP(-LN(2)/2)*AW77+(1-EXP(-LN(2)/2))/(LN(2)/2)*AQ78*AT78*VLOOKUP('Données projet'!$B$10,Paramètres!$A$1:$I$88,3,0)*0.475*44/12</f>
        <v>1.1233428079141467E-3</v>
      </c>
      <c r="AX78" s="23">
        <f t="shared" si="60"/>
        <v>145.43448597113519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projet'!$B$11,Paramètres!$A$1:$I$88,3,0)*VLOOKUP('Données projet'!$B$11,Paramètres!$A$1:$I$88,5,0)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135.14998708332445</v>
      </c>
      <c r="BJ78" s="62">
        <f t="shared" si="92"/>
        <v>245.50083454484513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72.528661484624408</v>
      </c>
      <c r="BQ78" s="23">
        <f>EXP(-LN(2)/25)*BQ77+(1-EXP(-LN(2)/25))/(LN(2)/25)*Calculateur!BL78*Calculateur!BN78*VLOOKUP('Données projet'!$B$11,Paramètres!$A$1:$I$88,3,0)*0.475*44/12</f>
        <v>24.156976062229457</v>
      </c>
      <c r="BR78" s="23">
        <f>EXP(-LN(2)/2)*BR77+(1-EXP(-LN(2)/2))/(LN(2)/2)*BL78*BO78*VLOOKUP('Données projet'!$B$11,Paramètres!$A$1:$I$88,3,0)*0.475*44/12</f>
        <v>2.9024322036878213E-3</v>
      </c>
      <c r="BS78" s="24">
        <f t="shared" si="63"/>
        <v>96.688539979057552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projet'!$B$12,Paramètres!$A$1:$I$88,3,0)*VLOOKUP('Données projet'!$B$12,Paramètres!$A$1:$I$88,5,0)</f>
        <v>6.7984728957526396E-14</v>
      </c>
      <c r="CA78" s="14">
        <f t="shared" si="93"/>
        <v>1.0682447123141398E-12</v>
      </c>
      <c r="CB78" s="22">
        <f t="shared" si="64"/>
        <v>1.978932943548152E-12</v>
      </c>
      <c r="CC78" s="62">
        <f t="shared" si="65"/>
        <v>293.3333333333353</v>
      </c>
      <c r="CD78" s="62">
        <f ca="1">AVERAGE(OFFSET($CC$3,0,0,'Données projet'!$E$12+1,1))-AVERAGE(OFFSET($H$3,0,0,'Données projet'!$E$12+1,1))</f>
        <v>168.16583766359378</v>
      </c>
      <c r="CE78" s="62">
        <f t="shared" si="94"/>
        <v>194.52809733694494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111.89674687605471</v>
      </c>
      <c r="CL78" s="23">
        <f>EXP(-LN(2)/25)*CL77+(1-EXP(-LN(2)/25))/(LN(2)/25)*Calculateur!CG78*Calculateur!CI78*VLOOKUP('Données projet'!$B$12,Paramètres!$A$1:$I$88,3,0)*0.475*44/12</f>
        <v>22.218327281261896</v>
      </c>
      <c r="CM78" s="23">
        <f>EXP(-LN(2)/2)*CM77+(1-EXP(-LN(2)/2))/(LN(2)/2)*CG78*CJ78*VLOOKUP('Données projet'!$B$12,Paramètres!$A$1:$I$88,3,0)*0.475*44/12</f>
        <v>0.15043216161509476</v>
      </c>
      <c r="CN78" s="24">
        <f t="shared" si="66"/>
        <v>134.2655063189317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projet'!$B$13,Paramètres!$A$1:$I$88,3,0)*VLOOKUP('Données projet'!$B$13,Paramètres!$A$1:$I$88,5,0)</f>
        <v>-4.9658410716801891E-14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146.09202487550647</v>
      </c>
      <c r="CZ78" s="62">
        <f t="shared" si="96"/>
        <v>168.58814676269344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76.892052828428518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76.892052828428518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1.7053025658242404E-13</v>
      </c>
      <c r="DP78" s="18">
        <f>DO78*VLOOKUP('Données projet'!$B$14,Paramètres!$A$1:$I$88,3,0)*VLOOKUP('Données projet'!$B$14,Paramètres!$A$1:$I$88,5,0)</f>
        <v>1.250327841262333E-13</v>
      </c>
      <c r="DQ78" s="14">
        <f t="shared" si="97"/>
        <v>1.8301318724634299E-12</v>
      </c>
      <c r="DR78" s="22">
        <f t="shared" si="70"/>
        <v>3.405245110226996E-12</v>
      </c>
      <c r="DS78" s="62">
        <f t="shared" si="71"/>
        <v>293.33333333333672</v>
      </c>
      <c r="DT78" s="62">
        <f ca="1">AVERAGE(OFFSET($DS$3,0,0,'Données projet'!$E$14+1,1))-AVERAGE(OFFSET($H$3,0,0,'Données projet'!$E$14+1,1))</f>
        <v>116.35584360635318</v>
      </c>
      <c r="DU78" s="62">
        <f t="shared" si="98"/>
        <v>86.38226293640173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92.393143943517771</v>
      </c>
      <c r="EB78" s="23">
        <f>EXP(-LN(2)/25)*EB77+(1-EXP(-LN(2)/25))/(LN(2)/25)*Calculateur!DW78*Calculateur!DY78*VLOOKUP('Données projet'!$B$14,Paramètres!$A$1:$I$88,3,0)*0.475*44/12</f>
        <v>0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92.393143943517771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-40</v>
      </c>
      <c r="O79" s="14">
        <f>N79*VLOOKUP('Données projet'!$B$9,Paramètres!$A$1:$I$88,3,0)*VLOOKUP('Données projet'!$B$9,Paramètres!$A$1:$I$88,5,0)</f>
        <v>-18.72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82.229723373996478</v>
      </c>
      <c r="T79" s="62">
        <f t="shared" si="88"/>
        <v>115.86489547584461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83.838869348413382</v>
      </c>
      <c r="AA79" s="23">
        <f>EXP(-LN(2)/25)*AA78+(1-EXP(-LN(2)/25))/(LN(2)/25)*Calculateur!V79*Calculateur!X79*VLOOKUP('Données projet'!$B$9,Paramètres!$A$1:$I$88,3,0)*0.475*44/12</f>
        <v>15.219562071544738</v>
      </c>
      <c r="AB79" s="23">
        <f>EXP(-LN(2)/2)*AB78+(1-EXP(-LN(2)/2))/(LN(2)/2)*V79*Y79*VLOOKUP('Données projet'!$B$9,Paramètres!$A$1:$I$88,3,0)*0.475*44/12</f>
        <v>7.3137104153296467E-2</v>
      </c>
      <c r="AC79" s="24">
        <f t="shared" si="57"/>
        <v>99.131568524111415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262.78347246606825</v>
      </c>
      <c r="AO79" s="62">
        <f t="shared" si="90"/>
        <v>448.84541017639367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117.95929430788691</v>
      </c>
      <c r="AV79" s="23">
        <f>EXP(-LN(2)/25)*AV78+(1-EXP(-LN(2)/25))/(LN(2)/25)*Calculateur!AQ79*Calculateur!AS79*VLOOKUP('Données projet'!$B$10,Paramètres!$A$1:$I$88,3,0)*0.475*44/12</f>
        <v>24.42792999854802</v>
      </c>
      <c r="AW79" s="23">
        <f>EXP(-LN(2)/2)*AW78+(1-EXP(-LN(2)/2))/(LN(2)/2)*AQ79*AT79*VLOOKUP('Données projet'!$B$10,Paramètres!$A$1:$I$88,3,0)*0.475*44/12</f>
        <v>7.943233170732304E-4</v>
      </c>
      <c r="AX79" s="23">
        <f t="shared" si="60"/>
        <v>142.388018629752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projet'!$B$11,Paramètres!$A$1:$I$88,3,0)*VLOOKUP('Données projet'!$B$11,Paramètres!$A$1:$I$88,5,0)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135.14998708332445</v>
      </c>
      <c r="BJ79" s="62">
        <f t="shared" si="92"/>
        <v>245.50083454484513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71.106418671026276</v>
      </c>
      <c r="BQ79" s="23">
        <f>EXP(-LN(2)/25)*BQ78+(1-EXP(-LN(2)/25))/(LN(2)/25)*Calculateur!BL79*Calculateur!BN79*VLOOKUP('Données projet'!$B$11,Paramètres!$A$1:$I$88,3,0)*0.475*44/12</f>
        <v>23.496402281447633</v>
      </c>
      <c r="BR79" s="23">
        <f>EXP(-LN(2)/2)*BR78+(1-EXP(-LN(2)/2))/(LN(2)/2)*BL79*BO79*VLOOKUP('Données projet'!$B$11,Paramètres!$A$1:$I$88,3,0)*0.475*44/12</f>
        <v>2.0523294931618732E-3</v>
      </c>
      <c r="BS79" s="24">
        <f t="shared" si="63"/>
        <v>94.604873281967073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projet'!$B$12,Paramètres!$A$1:$I$88,3,0)*VLOOKUP('Données projet'!$B$12,Paramètres!$A$1:$I$88,5,0)</f>
        <v>6.7984728957526396E-14</v>
      </c>
      <c r="CA79" s="14">
        <f t="shared" si="93"/>
        <v>1.0682447123141398E-12</v>
      </c>
      <c r="CB79" s="22">
        <f t="shared" si="64"/>
        <v>1.978932943548152E-12</v>
      </c>
      <c r="CC79" s="62">
        <f t="shared" si="65"/>
        <v>293.3333333333353</v>
      </c>
      <c r="CD79" s="62">
        <f ca="1">AVERAGE(OFFSET($CC$3,0,0,'Données projet'!$E$12+1,1))-AVERAGE(OFFSET($H$3,0,0,'Données projet'!$E$12+1,1))</f>
        <v>168.16583766359378</v>
      </c>
      <c r="CE79" s="62">
        <f t="shared" si="94"/>
        <v>194.52809733694494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109.70251992009172</v>
      </c>
      <c r="CL79" s="23">
        <f>EXP(-LN(2)/25)*CL78+(1-EXP(-LN(2)/25))/(LN(2)/25)*Calculateur!CG79*Calculateur!CI79*VLOOKUP('Données projet'!$B$12,Paramètres!$A$1:$I$88,3,0)*0.475*44/12</f>
        <v>21.610765953344739</v>
      </c>
      <c r="CM79" s="23">
        <f>EXP(-LN(2)/2)*CM78+(1-EXP(-LN(2)/2))/(LN(2)/2)*CG79*CJ79*VLOOKUP('Données projet'!$B$12,Paramètres!$A$1:$I$88,3,0)*0.475*44/12</f>
        <v>0.10637160158658417</v>
      </c>
      <c r="CN79" s="24">
        <f t="shared" si="66"/>
        <v>131.41965747502303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projet'!$B$13,Paramètres!$A$1:$I$88,3,0)*VLOOKUP('Données projet'!$B$13,Paramètres!$A$1:$I$88,5,0)</f>
        <v>-4.9658410716801891E-14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146.09202487550647</v>
      </c>
      <c r="CZ79" s="62">
        <f t="shared" si="96"/>
        <v>168.58814676269344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75.38424657198432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75.38424657198432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1.7053025658242404E-13</v>
      </c>
      <c r="DP79" s="18">
        <f>DO79*VLOOKUP('Données projet'!$B$14,Paramètres!$A$1:$I$88,3,0)*VLOOKUP('Données projet'!$B$14,Paramètres!$A$1:$I$88,5,0)</f>
        <v>1.250327841262333E-13</v>
      </c>
      <c r="DQ79" s="14">
        <f t="shared" si="97"/>
        <v>1.8301318724634299E-12</v>
      </c>
      <c r="DR79" s="22">
        <f t="shared" si="70"/>
        <v>3.405245110226996E-12</v>
      </c>
      <c r="DS79" s="62">
        <f t="shared" si="71"/>
        <v>293.33333333333672</v>
      </c>
      <c r="DT79" s="62">
        <f ca="1">AVERAGE(OFFSET($DS$3,0,0,'Données projet'!$E$14+1,1))-AVERAGE(OFFSET($H$3,0,0,'Données projet'!$E$14+1,1))</f>
        <v>116.35584360635318</v>
      </c>
      <c r="DU79" s="62">
        <f t="shared" si="98"/>
        <v>86.38226293640173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90.581370745038669</v>
      </c>
      <c r="EB79" s="23">
        <f>EXP(-LN(2)/25)*EB78+(1-EXP(-LN(2)/25))/(LN(2)/25)*Calculateur!DW79*Calculateur!DY79*VLOOKUP('Données projet'!$B$14,Paramètres!$A$1:$I$88,3,0)*0.475*44/12</f>
        <v>0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90.581370745038669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-40</v>
      </c>
      <c r="O80" s="14">
        <f>N80*VLOOKUP('Données projet'!$B$9,Paramètres!$A$1:$I$88,3,0)*VLOOKUP('Données projet'!$B$9,Paramètres!$A$1:$I$88,5,0)</f>
        <v>-18.72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82.229723373996478</v>
      </c>
      <c r="T80" s="62">
        <f t="shared" si="88"/>
        <v>115.86489547584461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82.194840257151967</v>
      </c>
      <c r="AA80" s="23">
        <f>EXP(-LN(2)/25)*AA79+(1-EXP(-LN(2)/25))/(LN(2)/25)*Calculateur!V80*Calculateur!X80*VLOOKUP('Données projet'!$B$9,Paramètres!$A$1:$I$88,3,0)*0.475*44/12</f>
        <v>14.803382346336363</v>
      </c>
      <c r="AB80" s="23">
        <f>EXP(-LN(2)/2)*AB79+(1-EXP(-LN(2)/2))/(LN(2)/2)*V80*Y80*VLOOKUP('Données projet'!$B$9,Paramètres!$A$1:$I$88,3,0)*0.475*44/12</f>
        <v>5.1715742303142742E-2</v>
      </c>
      <c r="AC80" s="24">
        <f t="shared" si="57"/>
        <v>97.049938345791475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262.78347246606825</v>
      </c>
      <c r="AO80" s="62">
        <f t="shared" si="90"/>
        <v>448.84541017639367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115.64618449457448</v>
      </c>
      <c r="AV80" s="23">
        <f>EXP(-LN(2)/25)*AV79+(1-EXP(-LN(2)/25))/(LN(2)/25)*Calculateur!AQ80*Calculateur!AS80*VLOOKUP('Données projet'!$B$10,Paramètres!$A$1:$I$88,3,0)*0.475*44/12</f>
        <v>23.759946968128716</v>
      </c>
      <c r="AW80" s="23">
        <f>EXP(-LN(2)/2)*AW79+(1-EXP(-LN(2)/2))/(LN(2)/2)*AQ80*AT80*VLOOKUP('Données projet'!$B$10,Paramètres!$A$1:$I$88,3,0)*0.475*44/12</f>
        <v>5.6167140395707333E-4</v>
      </c>
      <c r="AX80" s="23">
        <f t="shared" si="60"/>
        <v>139.40669313410714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projet'!$B$11,Paramètres!$A$1:$I$88,3,0)*VLOOKUP('Données projet'!$B$11,Paramètres!$A$1:$I$88,5,0)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135.14998708332445</v>
      </c>
      <c r="BJ80" s="62">
        <f t="shared" si="92"/>
        <v>245.50083454484513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69.712065171520351</v>
      </c>
      <c r="BQ80" s="23">
        <f>EXP(-LN(2)/25)*BQ79+(1-EXP(-LN(2)/25))/(LN(2)/25)*Calculateur!BL80*Calculateur!BN80*VLOOKUP('Données projet'!$B$11,Paramètres!$A$1:$I$88,3,0)*0.475*44/12</f>
        <v>22.853891925439353</v>
      </c>
      <c r="BR80" s="23">
        <f>EXP(-LN(2)/2)*BR79+(1-EXP(-LN(2)/2))/(LN(2)/2)*BL80*BO80*VLOOKUP('Données projet'!$B$11,Paramètres!$A$1:$I$88,3,0)*0.475*44/12</f>
        <v>1.4512161018439107E-3</v>
      </c>
      <c r="BS80" s="24">
        <f t="shared" si="63"/>
        <v>92.567408313061549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projet'!$B$12,Paramètres!$A$1:$I$88,3,0)*VLOOKUP('Données projet'!$B$12,Paramètres!$A$1:$I$88,5,0)</f>
        <v>6.7984728957526396E-14</v>
      </c>
      <c r="CA80" s="14">
        <f t="shared" si="93"/>
        <v>1.0682447123141398E-12</v>
      </c>
      <c r="CB80" s="22">
        <f t="shared" si="64"/>
        <v>1.978932943548152E-12</v>
      </c>
      <c r="CC80" s="62">
        <f t="shared" si="65"/>
        <v>293.3333333333353</v>
      </c>
      <c r="CD80" s="62">
        <f ca="1">AVERAGE(OFFSET($CC$3,0,0,'Données projet'!$E$12+1,1))-AVERAGE(OFFSET($H$3,0,0,'Données projet'!$E$12+1,1))</f>
        <v>168.16583766359378</v>
      </c>
      <c r="CE80" s="62">
        <f t="shared" si="94"/>
        <v>194.52809733694494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107.55132041638886</v>
      </c>
      <c r="CL80" s="23">
        <f>EXP(-LN(2)/25)*CL79+(1-EXP(-LN(2)/25))/(LN(2)/25)*Calculateur!CG80*Calculateur!CI80*VLOOKUP('Données projet'!$B$12,Paramètres!$A$1:$I$88,3,0)*0.475*44/12</f>
        <v>21.019818421889738</v>
      </c>
      <c r="CM80" s="23">
        <f>EXP(-LN(2)/2)*CM79+(1-EXP(-LN(2)/2))/(LN(2)/2)*CG80*CJ80*VLOOKUP('Données projet'!$B$12,Paramètres!$A$1:$I$88,3,0)*0.475*44/12</f>
        <v>7.5216080807547381E-2</v>
      </c>
      <c r="CN80" s="24">
        <f t="shared" si="66"/>
        <v>128.64635491908615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projet'!$B$13,Paramètres!$A$1:$I$88,3,0)*VLOOKUP('Données projet'!$B$13,Paramètres!$A$1:$I$88,5,0)</f>
        <v>-4.9658410716801891E-14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146.09202487550647</v>
      </c>
      <c r="CZ80" s="62">
        <f t="shared" si="96"/>
        <v>168.58814676269344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73.906007476557988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73.906007476557988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1.7053025658242404E-13</v>
      </c>
      <c r="DP80" s="18">
        <f>DO80*VLOOKUP('Données projet'!$B$14,Paramètres!$A$1:$I$88,3,0)*VLOOKUP('Données projet'!$B$14,Paramètres!$A$1:$I$88,5,0)</f>
        <v>1.250327841262333E-13</v>
      </c>
      <c r="DQ80" s="14">
        <f t="shared" si="97"/>
        <v>1.8301318724634299E-12</v>
      </c>
      <c r="DR80" s="22">
        <f t="shared" si="70"/>
        <v>3.405245110226996E-12</v>
      </c>
      <c r="DS80" s="62">
        <f t="shared" si="71"/>
        <v>293.33333333333672</v>
      </c>
      <c r="DT80" s="62">
        <f ca="1">AVERAGE(OFFSET($DS$3,0,0,'Données projet'!$E$14+1,1))-AVERAGE(OFFSET($H$3,0,0,'Données projet'!$E$14+1,1))</f>
        <v>116.35584360635318</v>
      </c>
      <c r="DU80" s="62">
        <f t="shared" si="98"/>
        <v>86.38226293640173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88.805125313909215</v>
      </c>
      <c r="EB80" s="23">
        <f>EXP(-LN(2)/25)*EB79+(1-EXP(-LN(2)/25))/(LN(2)/25)*Calculateur!DW80*Calculateur!DY80*VLOOKUP('Données projet'!$B$14,Paramètres!$A$1:$I$88,3,0)*0.475*44/12</f>
        <v>0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88.805125313909215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-40</v>
      </c>
      <c r="O81" s="14">
        <f>N81*VLOOKUP('Données projet'!$B$9,Paramètres!$A$1:$I$88,3,0)*VLOOKUP('Données projet'!$B$9,Paramètres!$A$1:$I$88,5,0)</f>
        <v>-18.72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82.229723373996478</v>
      </c>
      <c r="T81" s="62">
        <f t="shared" si="88"/>
        <v>115.86489547584461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80.583049573611461</v>
      </c>
      <c r="AA81" s="23">
        <f>EXP(-LN(2)/25)*AA80+(1-EXP(-LN(2)/25))/(LN(2)/25)*Calculateur!V81*Calculateur!X81*VLOOKUP('Données projet'!$B$9,Paramètres!$A$1:$I$88,3,0)*0.475*44/12</f>
        <v>14.398583077599751</v>
      </c>
      <c r="AB81" s="23">
        <f>EXP(-LN(2)/2)*AB80+(1-EXP(-LN(2)/2))/(LN(2)/2)*V81*Y81*VLOOKUP('Données projet'!$B$9,Paramètres!$A$1:$I$88,3,0)*0.475*44/12</f>
        <v>3.6568552076648234E-2</v>
      </c>
      <c r="AC81" s="24">
        <f t="shared" si="57"/>
        <v>95.018201203287859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262.78347246606825</v>
      </c>
      <c r="AO81" s="62">
        <f t="shared" si="90"/>
        <v>448.84541017639367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113.37843335384345</v>
      </c>
      <c r="AV81" s="23">
        <f>EXP(-LN(2)/25)*AV80+(1-EXP(-LN(2)/25))/(LN(2)/25)*Calculateur!AQ81*Calculateur!AS81*VLOOKUP('Données projet'!$B$10,Paramètres!$A$1:$I$88,3,0)*0.475*44/12</f>
        <v>23.110229968803928</v>
      </c>
      <c r="AW81" s="23">
        <f>EXP(-LN(2)/2)*AW80+(1-EXP(-LN(2)/2))/(LN(2)/2)*AQ81*AT81*VLOOKUP('Données projet'!$B$10,Paramètres!$A$1:$I$88,3,0)*0.475*44/12</f>
        <v>3.971616585366152E-4</v>
      </c>
      <c r="AX81" s="23">
        <f t="shared" si="60"/>
        <v>136.4890604843059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projet'!$B$11,Paramètres!$A$1:$I$88,3,0)*VLOOKUP('Données projet'!$B$11,Paramètres!$A$1:$I$88,5,0)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135.14998708332445</v>
      </c>
      <c r="BJ81" s="62">
        <f t="shared" si="92"/>
        <v>245.50083454484513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68.345054093668068</v>
      </c>
      <c r="BQ81" s="23">
        <f>EXP(-LN(2)/25)*BQ80+(1-EXP(-LN(2)/25))/(LN(2)/25)*Calculateur!BL81*Calculateur!BN81*VLOOKUP('Données projet'!$B$11,Paramètres!$A$1:$I$88,3,0)*0.475*44/12</f>
        <v>22.228951048904271</v>
      </c>
      <c r="BR81" s="23">
        <f>EXP(-LN(2)/2)*BR80+(1-EXP(-LN(2)/2))/(LN(2)/2)*BL81*BO81*VLOOKUP('Données projet'!$B$11,Paramètres!$A$1:$I$88,3,0)*0.475*44/12</f>
        <v>1.0261647465809366E-3</v>
      </c>
      <c r="BS81" s="24">
        <f t="shared" si="63"/>
        <v>90.575031307318909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projet'!$B$12,Paramètres!$A$1:$I$88,3,0)*VLOOKUP('Données projet'!$B$12,Paramètres!$A$1:$I$88,5,0)</f>
        <v>6.7984728957526396E-14</v>
      </c>
      <c r="CA81" s="14">
        <f t="shared" si="93"/>
        <v>1.0682447123141398E-12</v>
      </c>
      <c r="CB81" s="22">
        <f t="shared" si="64"/>
        <v>1.978932943548152E-12</v>
      </c>
      <c r="CC81" s="62">
        <f t="shared" si="65"/>
        <v>293.3333333333353</v>
      </c>
      <c r="CD81" s="62">
        <f ca="1">AVERAGE(OFFSET($CC$3,0,0,'Données projet'!$E$12+1,1))-AVERAGE(OFFSET($H$3,0,0,'Données projet'!$E$12+1,1))</f>
        <v>168.16583766359378</v>
      </c>
      <c r="CE81" s="62">
        <f t="shared" si="94"/>
        <v>194.52809733694494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105.44230462285148</v>
      </c>
      <c r="CL81" s="23">
        <f>EXP(-LN(2)/25)*CL80+(1-EXP(-LN(2)/25))/(LN(2)/25)*Calculateur!CG81*Calculateur!CI81*VLOOKUP('Données projet'!$B$12,Paramètres!$A$1:$I$88,3,0)*0.475*44/12</f>
        <v>20.445030381758954</v>
      </c>
      <c r="CM81" s="23">
        <f>EXP(-LN(2)/2)*CM80+(1-EXP(-LN(2)/2))/(LN(2)/2)*CG81*CJ81*VLOOKUP('Données projet'!$B$12,Paramètres!$A$1:$I$88,3,0)*0.475*44/12</f>
        <v>5.3185800793292083E-2</v>
      </c>
      <c r="CN81" s="24">
        <f t="shared" si="66"/>
        <v>125.94052080540372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projet'!$B$13,Paramètres!$A$1:$I$88,3,0)*VLOOKUP('Données projet'!$B$13,Paramètres!$A$1:$I$88,5,0)</f>
        <v>-4.9658410716801891E-14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146.09202487550647</v>
      </c>
      <c r="CZ81" s="62">
        <f t="shared" si="96"/>
        <v>168.58814676269344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72.456755748156141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72.456755748156141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1.7053025658242404E-13</v>
      </c>
      <c r="DP81" s="18">
        <f>DO81*VLOOKUP('Données projet'!$B$14,Paramètres!$A$1:$I$88,3,0)*VLOOKUP('Données projet'!$B$14,Paramètres!$A$1:$I$88,5,0)</f>
        <v>1.250327841262333E-13</v>
      </c>
      <c r="DQ81" s="14">
        <f t="shared" si="97"/>
        <v>1.8301318724634299E-12</v>
      </c>
      <c r="DR81" s="22">
        <f t="shared" si="70"/>
        <v>3.405245110226996E-12</v>
      </c>
      <c r="DS81" s="62">
        <f t="shared" si="71"/>
        <v>293.33333333333672</v>
      </c>
      <c r="DT81" s="62">
        <f ca="1">AVERAGE(OFFSET($DS$3,0,0,'Données projet'!$E$14+1,1))-AVERAGE(OFFSET($H$3,0,0,'Données projet'!$E$14+1,1))</f>
        <v>116.35584360635318</v>
      </c>
      <c r="DU81" s="62">
        <f t="shared" si="98"/>
        <v>86.38226293640173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87.06371097228147</v>
      </c>
      <c r="EB81" s="23">
        <f>EXP(-LN(2)/25)*EB80+(1-EXP(-LN(2)/25))/(LN(2)/25)*Calculateur!DW81*Calculateur!DY81*VLOOKUP('Données projet'!$B$14,Paramètres!$A$1:$I$88,3,0)*0.475*44/12</f>
        <v>0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87.06371097228147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-40</v>
      </c>
      <c r="O82" s="14">
        <f>N82*VLOOKUP('Données projet'!$B$9,Paramètres!$A$1:$I$88,3,0)*VLOOKUP('Données projet'!$B$9,Paramètres!$A$1:$I$88,5,0)</f>
        <v>-18.72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82.229723373996478</v>
      </c>
      <c r="T82" s="62">
        <f t="shared" si="88"/>
        <v>115.86489547584461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79.002865122279943</v>
      </c>
      <c r="AA82" s="23">
        <f>EXP(-LN(2)/25)*AA81+(1-EXP(-LN(2)/25))/(LN(2)/25)*Calculateur!V82*Calculateur!X82*VLOOKUP('Données projet'!$B$9,Paramètres!$A$1:$I$88,3,0)*0.475*44/12</f>
        <v>14.00485306615421</v>
      </c>
      <c r="AB82" s="23">
        <f>EXP(-LN(2)/2)*AB81+(1-EXP(-LN(2)/2))/(LN(2)/2)*V82*Y82*VLOOKUP('Données projet'!$B$9,Paramètres!$A$1:$I$88,3,0)*0.475*44/12</f>
        <v>2.5857871151571371E-2</v>
      </c>
      <c r="AC82" s="24">
        <f t="shared" si="57"/>
        <v>93.033576059585727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262.78347246606825</v>
      </c>
      <c r="AO82" s="62">
        <f t="shared" si="90"/>
        <v>448.84541017639367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111.15515142979054</v>
      </c>
      <c r="AV82" s="23">
        <f>EXP(-LN(2)/25)*AV81+(1-EXP(-LN(2)/25))/(LN(2)/25)*Calculateur!AQ82*Calculateur!AS82*VLOOKUP('Données projet'!$B$10,Paramètres!$A$1:$I$88,3,0)*0.475*44/12</f>
        <v>22.47827951499281</v>
      </c>
      <c r="AW82" s="23">
        <f>EXP(-LN(2)/2)*AW81+(1-EXP(-LN(2)/2))/(LN(2)/2)*AQ82*AT82*VLOOKUP('Données projet'!$B$10,Paramètres!$A$1:$I$88,3,0)*0.475*44/12</f>
        <v>2.8083570197853666E-4</v>
      </c>
      <c r="AX82" s="23">
        <f t="shared" si="60"/>
        <v>133.63371178048533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projet'!$B$11,Paramètres!$A$1:$I$88,3,0)*VLOOKUP('Données projet'!$B$11,Paramètres!$A$1:$I$88,5,0)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135.14998708332445</v>
      </c>
      <c r="BJ82" s="62">
        <f t="shared" si="92"/>
        <v>245.50083454484513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67.004849269258045</v>
      </c>
      <c r="BQ82" s="23">
        <f>EXP(-LN(2)/25)*BQ81+(1-EXP(-LN(2)/25))/(LN(2)/25)*Calculateur!BL82*Calculateur!BN82*VLOOKUP('Données projet'!$B$11,Paramètres!$A$1:$I$88,3,0)*0.475*44/12</f>
        <v>21.621099213502252</v>
      </c>
      <c r="BR82" s="23">
        <f>EXP(-LN(2)/2)*BR81+(1-EXP(-LN(2)/2))/(LN(2)/2)*BL82*BO82*VLOOKUP('Données projet'!$B$11,Paramètres!$A$1:$I$88,3,0)*0.475*44/12</f>
        <v>7.2560805092195533E-4</v>
      </c>
      <c r="BS82" s="24">
        <f t="shared" si="63"/>
        <v>88.626674090811221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projet'!$B$12,Paramètres!$A$1:$I$88,3,0)*VLOOKUP('Données projet'!$B$12,Paramètres!$A$1:$I$88,5,0)</f>
        <v>6.7984728957526396E-14</v>
      </c>
      <c r="CA82" s="14">
        <f t="shared" si="93"/>
        <v>1.0682447123141398E-12</v>
      </c>
      <c r="CB82" s="22">
        <f t="shared" si="64"/>
        <v>1.978932943548152E-12</v>
      </c>
      <c r="CC82" s="62">
        <f t="shared" si="65"/>
        <v>293.3333333333353</v>
      </c>
      <c r="CD82" s="62">
        <f ca="1">AVERAGE(OFFSET($CC$3,0,0,'Données projet'!$E$12+1,1))-AVERAGE(OFFSET($H$3,0,0,'Données projet'!$E$12+1,1))</f>
        <v>168.16583766359378</v>
      </c>
      <c r="CE82" s="62">
        <f t="shared" si="94"/>
        <v>194.52809733694494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103.37464534265276</v>
      </c>
      <c r="CL82" s="23">
        <f>EXP(-LN(2)/25)*CL81+(1-EXP(-LN(2)/25))/(LN(2)/25)*Calculateur!CG82*Calculateur!CI82*VLOOKUP('Données projet'!$B$12,Paramètres!$A$1:$I$88,3,0)*0.475*44/12</f>
        <v>19.885959950812335</v>
      </c>
      <c r="CM82" s="23">
        <f>EXP(-LN(2)/2)*CM81+(1-EXP(-LN(2)/2))/(LN(2)/2)*CG82*CJ82*VLOOKUP('Données projet'!$B$12,Paramètres!$A$1:$I$88,3,0)*0.475*44/12</f>
        <v>3.760804040377369E-2</v>
      </c>
      <c r="CN82" s="24">
        <f t="shared" si="66"/>
        <v>123.29821333386886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projet'!$B$13,Paramètres!$A$1:$I$88,3,0)*VLOOKUP('Données projet'!$B$13,Paramètres!$A$1:$I$88,5,0)</f>
        <v>-4.9658410716801891E-14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146.09202487550647</v>
      </c>
      <c r="CZ82" s="62">
        <f t="shared" si="96"/>
        <v>168.58814676269344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71.035922962191989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71.035922962191989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1.7053025658242404E-13</v>
      </c>
      <c r="DP82" s="18">
        <f>DO82*VLOOKUP('Données projet'!$B$14,Paramètres!$A$1:$I$88,3,0)*VLOOKUP('Données projet'!$B$14,Paramètres!$A$1:$I$88,5,0)</f>
        <v>1.250327841262333E-13</v>
      </c>
      <c r="DQ82" s="14">
        <f t="shared" si="97"/>
        <v>1.8301318724634299E-12</v>
      </c>
      <c r="DR82" s="22">
        <f t="shared" si="70"/>
        <v>3.405245110226996E-12</v>
      </c>
      <c r="DS82" s="62">
        <f t="shared" si="71"/>
        <v>293.33333333333672</v>
      </c>
      <c r="DT82" s="62">
        <f ca="1">AVERAGE(OFFSET($DS$3,0,0,'Données projet'!$E$14+1,1))-AVERAGE(OFFSET($H$3,0,0,'Données projet'!$E$14+1,1))</f>
        <v>116.35584360635318</v>
      </c>
      <c r="DU82" s="62">
        <f t="shared" si="98"/>
        <v>86.38226293640173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85.356444703735178</v>
      </c>
      <c r="EB82" s="23">
        <f>EXP(-LN(2)/25)*EB81+(1-EXP(-LN(2)/25))/(LN(2)/25)*Calculateur!DW82*Calculateur!DY82*VLOOKUP('Données projet'!$B$14,Paramètres!$A$1:$I$88,3,0)*0.475*44/12</f>
        <v>0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85.356444703735178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-40</v>
      </c>
      <c r="O83" s="14">
        <f>N83*VLOOKUP('Données projet'!$B$9,Paramètres!$A$1:$I$88,3,0)*VLOOKUP('Données projet'!$B$9,Paramètres!$A$1:$I$88,5,0)</f>
        <v>-18.72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82.229723373996478</v>
      </c>
      <c r="T83" s="62">
        <f t="shared" si="88"/>
        <v>115.86489547584461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77.453667124221681</v>
      </c>
      <c r="AA83" s="23">
        <f>EXP(-LN(2)/25)*AA82+(1-EXP(-LN(2)/25))/(LN(2)/25)*Calculateur!V83*Calculateur!X83*VLOOKUP('Données projet'!$B$9,Paramètres!$A$1:$I$88,3,0)*0.475*44/12</f>
        <v>13.621889622577008</v>
      </c>
      <c r="AB83" s="23">
        <f>EXP(-LN(2)/2)*AB82+(1-EXP(-LN(2)/2))/(LN(2)/2)*V83*Y83*VLOOKUP('Données projet'!$B$9,Paramètres!$A$1:$I$88,3,0)*0.475*44/12</f>
        <v>1.8284276038324117E-2</v>
      </c>
      <c r="AC83" s="24">
        <f t="shared" si="57"/>
        <v>91.093841022837026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262.78347246606825</v>
      </c>
      <c r="AO83" s="62">
        <f t="shared" si="90"/>
        <v>448.84541017639367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108.97546670820023</v>
      </c>
      <c r="AV83" s="23">
        <f>EXP(-LN(2)/25)*AV82+(1-EXP(-LN(2)/25))/(LN(2)/25)*Calculateur!AQ83*Calculateur!AS83*VLOOKUP('Données projet'!$B$10,Paramètres!$A$1:$I$88,3,0)*0.475*44/12</f>
        <v>21.863609779573988</v>
      </c>
      <c r="AW83" s="23">
        <f>EXP(-LN(2)/2)*AW82+(1-EXP(-LN(2)/2))/(LN(2)/2)*AQ83*AT83*VLOOKUP('Données projet'!$B$10,Paramètres!$A$1:$I$88,3,0)*0.475*44/12</f>
        <v>1.985808292683076E-4</v>
      </c>
      <c r="AX83" s="23">
        <f t="shared" si="60"/>
        <v>130.83927506860348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projet'!$B$11,Paramètres!$A$1:$I$88,3,0)*VLOOKUP('Données projet'!$B$11,Paramètres!$A$1:$I$88,5,0)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135.14998708332445</v>
      </c>
      <c r="BJ83" s="62">
        <f t="shared" si="92"/>
        <v>245.50083454484513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65.690925044010484</v>
      </c>
      <c r="BQ83" s="23">
        <f>EXP(-LN(2)/25)*BQ82+(1-EXP(-LN(2)/25))/(LN(2)/25)*Calculateur!BL83*Calculateur!BN83*VLOOKUP('Données projet'!$B$11,Paramètres!$A$1:$I$88,3,0)*0.475*44/12</f>
        <v>21.029869118504841</v>
      </c>
      <c r="BR83" s="23">
        <f>EXP(-LN(2)/2)*BR82+(1-EXP(-LN(2)/2))/(LN(2)/2)*BL83*BO83*VLOOKUP('Données projet'!$B$11,Paramètres!$A$1:$I$88,3,0)*0.475*44/12</f>
        <v>5.130823732904683E-4</v>
      </c>
      <c r="BS83" s="24">
        <f t="shared" si="63"/>
        <v>86.721307244888607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projet'!$B$12,Paramètres!$A$1:$I$88,3,0)*VLOOKUP('Données projet'!$B$12,Paramètres!$A$1:$I$88,5,0)</f>
        <v>6.7984728957526396E-14</v>
      </c>
      <c r="CA83" s="14">
        <f t="shared" si="93"/>
        <v>1.0682447123141398E-12</v>
      </c>
      <c r="CB83" s="22">
        <f t="shared" si="64"/>
        <v>1.978932943548152E-12</v>
      </c>
      <c r="CC83" s="62">
        <f t="shared" si="65"/>
        <v>293.3333333333353</v>
      </c>
      <c r="CD83" s="62">
        <f ca="1">AVERAGE(OFFSET($CC$3,0,0,'Données projet'!$E$12+1,1))-AVERAGE(OFFSET($H$3,0,0,'Données projet'!$E$12+1,1))</f>
        <v>168.16583766359378</v>
      </c>
      <c r="CE83" s="62">
        <f t="shared" si="94"/>
        <v>194.52809733694494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101.3475315997911</v>
      </c>
      <c r="CL83" s="23">
        <f>EXP(-LN(2)/25)*CL82+(1-EXP(-LN(2)/25))/(LN(2)/25)*Calculateur!CG83*Calculateur!CI83*VLOOKUP('Données projet'!$B$12,Paramètres!$A$1:$I$88,3,0)*0.475*44/12</f>
        <v>19.342177330200187</v>
      </c>
      <c r="CM83" s="23">
        <f>EXP(-LN(2)/2)*CM82+(1-EXP(-LN(2)/2))/(LN(2)/2)*CG83*CJ83*VLOOKUP('Données projet'!$B$12,Paramètres!$A$1:$I$88,3,0)*0.475*44/12</f>
        <v>2.6592900396646042E-2</v>
      </c>
      <c r="CN83" s="24">
        <f t="shared" si="66"/>
        <v>120.71630183038793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projet'!$B$13,Paramètres!$A$1:$I$88,3,0)*VLOOKUP('Données projet'!$B$13,Paramètres!$A$1:$I$88,5,0)</f>
        <v>-4.9658410716801891E-14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146.09202487550647</v>
      </c>
      <c r="CZ83" s="62">
        <f t="shared" si="96"/>
        <v>168.58814676269344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69.64295184053816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69.64295184053816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1.7053025658242404E-13</v>
      </c>
      <c r="DP83" s="18">
        <f>DO83*VLOOKUP('Données projet'!$B$14,Paramètres!$A$1:$I$88,3,0)*VLOOKUP('Données projet'!$B$14,Paramètres!$A$1:$I$88,5,0)</f>
        <v>1.250327841262333E-13</v>
      </c>
      <c r="DQ83" s="14">
        <f t="shared" si="97"/>
        <v>1.8301318724634299E-12</v>
      </c>
      <c r="DR83" s="22">
        <f t="shared" si="70"/>
        <v>3.405245110226996E-12</v>
      </c>
      <c r="DS83" s="62">
        <f t="shared" si="71"/>
        <v>293.33333333333672</v>
      </c>
      <c r="DT83" s="62">
        <f ca="1">AVERAGE(OFFSET($DS$3,0,0,'Données projet'!$E$14+1,1))-AVERAGE(OFFSET($H$3,0,0,'Données projet'!$E$14+1,1))</f>
        <v>116.35584360635318</v>
      </c>
      <c r="DU83" s="62">
        <f t="shared" si="98"/>
        <v>86.38226293640173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83.68265688538547</v>
      </c>
      <c r="EB83" s="23">
        <f>EXP(-LN(2)/25)*EB82+(1-EXP(-LN(2)/25))/(LN(2)/25)*Calculateur!DW83*Calculateur!DY83*VLOOKUP('Données projet'!$B$14,Paramètres!$A$1:$I$88,3,0)*0.475*44/12</f>
        <v>0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83.68265688538547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-40</v>
      </c>
      <c r="O84" s="14">
        <f>N84*VLOOKUP('Données projet'!$B$9,Paramètres!$A$1:$I$88,3,0)*VLOOKUP('Données projet'!$B$9,Paramètres!$A$1:$I$88,5,0)</f>
        <v>-18.72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82.229723373996478</v>
      </c>
      <c r="T84" s="62">
        <f t="shared" si="88"/>
        <v>115.86489547584461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75.93484795398787</v>
      </c>
      <c r="AA84" s="23">
        <f>EXP(-LN(2)/25)*AA83+(1-EXP(-LN(2)/25))/(LN(2)/25)*Calculateur!V84*Calculateur!X84*VLOOKUP('Données projet'!$B$9,Paramètres!$A$1:$I$88,3,0)*0.475*44/12</f>
        <v>13.249398334503597</v>
      </c>
      <c r="AB84" s="23">
        <f>EXP(-LN(2)/2)*AB83+(1-EXP(-LN(2)/2))/(LN(2)/2)*V84*Y84*VLOOKUP('Données projet'!$B$9,Paramètres!$A$1:$I$88,3,0)*0.475*44/12</f>
        <v>1.2928935575785686E-2</v>
      </c>
      <c r="AC84" s="24">
        <f t="shared" si="57"/>
        <v>89.197175224067252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262.78347246606825</v>
      </c>
      <c r="AO84" s="62">
        <f t="shared" si="90"/>
        <v>448.84541017639367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106.83852427452391</v>
      </c>
      <c r="AV84" s="23">
        <f>EXP(-LN(2)/25)*AV83+(1-EXP(-LN(2)/25))/(LN(2)/25)*Calculateur!AQ84*Calculateur!AS84*VLOOKUP('Données projet'!$B$10,Paramètres!$A$1:$I$88,3,0)*0.475*44/12</f>
        <v>21.265748220394268</v>
      </c>
      <c r="AW84" s="23">
        <f>EXP(-LN(2)/2)*AW83+(1-EXP(-LN(2)/2))/(LN(2)/2)*AQ84*AT84*VLOOKUP('Données projet'!$B$10,Paramètres!$A$1:$I$88,3,0)*0.475*44/12</f>
        <v>1.4041785098926833E-4</v>
      </c>
      <c r="AX84" s="23">
        <f t="shared" si="60"/>
        <v>128.10441291276916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projet'!$B$11,Paramètres!$A$1:$I$88,3,0)*VLOOKUP('Données projet'!$B$11,Paramètres!$A$1:$I$88,5,0)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135.14998708332445</v>
      </c>
      <c r="BJ84" s="62">
        <f t="shared" si="92"/>
        <v>245.50083454484513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64.402766071405381</v>
      </c>
      <c r="BQ84" s="23">
        <f>EXP(-LN(2)/25)*BQ83+(1-EXP(-LN(2)/25))/(LN(2)/25)*Calculateur!BL84*Calculateur!BN84*VLOOKUP('Données projet'!$B$11,Paramètres!$A$1:$I$88,3,0)*0.475*44/12</f>
        <v>20.454806241546574</v>
      </c>
      <c r="BR84" s="23">
        <f>EXP(-LN(2)/2)*BR83+(1-EXP(-LN(2)/2))/(LN(2)/2)*BL84*BO84*VLOOKUP('Données projet'!$B$11,Paramètres!$A$1:$I$88,3,0)*0.475*44/12</f>
        <v>3.6280402546097766E-4</v>
      </c>
      <c r="BS84" s="24">
        <f t="shared" si="63"/>
        <v>84.857935116977416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projet'!$B$12,Paramètres!$A$1:$I$88,3,0)*VLOOKUP('Données projet'!$B$12,Paramètres!$A$1:$I$88,5,0)</f>
        <v>6.7984728957526396E-14</v>
      </c>
      <c r="CA84" s="14">
        <f t="shared" si="93"/>
        <v>1.0682447123141398E-12</v>
      </c>
      <c r="CB84" s="22">
        <f t="shared" si="64"/>
        <v>1.978932943548152E-12</v>
      </c>
      <c r="CC84" s="62">
        <f t="shared" si="65"/>
        <v>293.3333333333353</v>
      </c>
      <c r="CD84" s="62">
        <f ca="1">AVERAGE(OFFSET($CC$3,0,0,'Données projet'!$E$12+1,1))-AVERAGE(OFFSET($H$3,0,0,'Données projet'!$E$12+1,1))</f>
        <v>168.16583766359378</v>
      </c>
      <c r="CE84" s="62">
        <f t="shared" si="94"/>
        <v>194.52809733694494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99.360168321009652</v>
      </c>
      <c r="CL84" s="23">
        <f>EXP(-LN(2)/25)*CL83+(1-EXP(-LN(2)/25))/(LN(2)/25)*Calculateur!CG84*Calculateur!CI84*VLOOKUP('Données projet'!$B$12,Paramètres!$A$1:$I$88,3,0)*0.475*44/12</f>
        <v>18.813264473944965</v>
      </c>
      <c r="CM84" s="23">
        <f>EXP(-LN(2)/2)*CM83+(1-EXP(-LN(2)/2))/(LN(2)/2)*CG84*CJ84*VLOOKUP('Données projet'!$B$12,Paramètres!$A$1:$I$88,3,0)*0.475*44/12</f>
        <v>1.8804020201886845E-2</v>
      </c>
      <c r="CN84" s="24">
        <f t="shared" si="66"/>
        <v>118.19223681515651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projet'!$B$13,Paramètres!$A$1:$I$88,3,0)*VLOOKUP('Données projet'!$B$13,Paramètres!$A$1:$I$88,5,0)</f>
        <v>-4.9658410716801891E-14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146.09202487550647</v>
      </c>
      <c r="CZ84" s="62">
        <f t="shared" si="96"/>
        <v>168.58814676269344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68.277296032951469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68.277296032951469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1.7053025658242404E-13</v>
      </c>
      <c r="DP84" s="18">
        <f>DO84*VLOOKUP('Données projet'!$B$14,Paramètres!$A$1:$I$88,3,0)*VLOOKUP('Données projet'!$B$14,Paramètres!$A$1:$I$88,5,0)</f>
        <v>1.250327841262333E-13</v>
      </c>
      <c r="DQ84" s="14">
        <f t="shared" si="97"/>
        <v>1.8301318724634299E-12</v>
      </c>
      <c r="DR84" s="22">
        <f t="shared" si="70"/>
        <v>3.405245110226996E-12</v>
      </c>
      <c r="DS84" s="62">
        <f t="shared" si="71"/>
        <v>293.33333333333672</v>
      </c>
      <c r="DT84" s="62">
        <f ca="1">AVERAGE(OFFSET($DS$3,0,0,'Données projet'!$E$14+1,1))-AVERAGE(OFFSET($H$3,0,0,'Données projet'!$E$14+1,1))</f>
        <v>116.35584360635318</v>
      </c>
      <c r="DU84" s="62">
        <f t="shared" si="98"/>
        <v>86.38226293640173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82.04169102524385</v>
      </c>
      <c r="EB84" s="23">
        <f>EXP(-LN(2)/25)*EB83+(1-EXP(-LN(2)/25))/(LN(2)/25)*Calculateur!DW84*Calculateur!DY84*VLOOKUP('Données projet'!$B$14,Paramètres!$A$1:$I$88,3,0)*0.475*44/12</f>
        <v>0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82.04169102524385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-40</v>
      </c>
      <c r="O85" s="14">
        <f>N85*VLOOKUP('Données projet'!$B$9,Paramètres!$A$1:$I$88,3,0)*VLOOKUP('Données projet'!$B$9,Paramètres!$A$1:$I$88,5,0)</f>
        <v>-18.72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82.229723373996478</v>
      </c>
      <c r="T85" s="62">
        <f t="shared" si="88"/>
        <v>115.86489547584461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74.445811901294121</v>
      </c>
      <c r="AA85" s="23">
        <f>EXP(-LN(2)/25)*AA84+(1-EXP(-LN(2)/25))/(LN(2)/25)*Calculateur!V85*Calculateur!X85*VLOOKUP('Données projet'!$B$9,Paramètres!$A$1:$I$88,3,0)*0.475*44/12</f>
        <v>12.88709284029102</v>
      </c>
      <c r="AB85" s="23">
        <f>EXP(-LN(2)/2)*AB84+(1-EXP(-LN(2)/2))/(LN(2)/2)*V85*Y85*VLOOKUP('Données projet'!$B$9,Paramètres!$A$1:$I$88,3,0)*0.475*44/12</f>
        <v>9.1421380191620584E-3</v>
      </c>
      <c r="AC85" s="24">
        <f t="shared" si="57"/>
        <v>87.342046879604297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262.78347246606825</v>
      </c>
      <c r="AO85" s="62">
        <f t="shared" si="90"/>
        <v>448.84541017639367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104.74348597856579</v>
      </c>
      <c r="AV85" s="23">
        <f>EXP(-LN(2)/25)*AV84+(1-EXP(-LN(2)/25))/(LN(2)/25)*Calculateur!AQ85*Calculateur!AS85*VLOOKUP('Données projet'!$B$10,Paramètres!$A$1:$I$88,3,0)*0.475*44/12</f>
        <v>20.684235216990491</v>
      </c>
      <c r="AW85" s="23">
        <f>EXP(-LN(2)/2)*AW84+(1-EXP(-LN(2)/2))/(LN(2)/2)*AQ85*AT85*VLOOKUP('Données projet'!$B$10,Paramètres!$A$1:$I$88,3,0)*0.475*44/12</f>
        <v>9.92904146341538E-5</v>
      </c>
      <c r="AX85" s="23">
        <f t="shared" si="60"/>
        <v>125.42782048597091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projet'!$B$11,Paramètres!$A$1:$I$88,3,0)*VLOOKUP('Données projet'!$B$11,Paramètres!$A$1:$I$88,5,0)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135.14998708332445</v>
      </c>
      <c r="BJ85" s="62">
        <f t="shared" si="92"/>
        <v>245.50083454484513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63.139867110553666</v>
      </c>
      <c r="BQ85" s="23">
        <f>EXP(-LN(2)/25)*BQ84+(1-EXP(-LN(2)/25))/(LN(2)/25)*Calculateur!BL85*Calculateur!BN85*VLOOKUP('Données projet'!$B$11,Paramètres!$A$1:$I$88,3,0)*0.475*44/12</f>
        <v>19.895468489199974</v>
      </c>
      <c r="BR85" s="23">
        <f>EXP(-LN(2)/2)*BR84+(1-EXP(-LN(2)/2))/(LN(2)/2)*BL85*BO85*VLOOKUP('Données projet'!$B$11,Paramètres!$A$1:$I$88,3,0)*0.475*44/12</f>
        <v>2.5654118664523415E-4</v>
      </c>
      <c r="BS85" s="24">
        <f t="shared" si="63"/>
        <v>83.035592140940281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projet'!$B$12,Paramètres!$A$1:$I$88,3,0)*VLOOKUP('Données projet'!$B$12,Paramètres!$A$1:$I$88,5,0)</f>
        <v>6.7984728957526396E-14</v>
      </c>
      <c r="CA85" s="14">
        <f t="shared" si="93"/>
        <v>1.0682447123141398E-12</v>
      </c>
      <c r="CB85" s="22">
        <f t="shared" si="64"/>
        <v>1.978932943548152E-12</v>
      </c>
      <c r="CC85" s="62">
        <f t="shared" si="65"/>
        <v>293.3333333333353</v>
      </c>
      <c r="CD85" s="62">
        <f ca="1">AVERAGE(OFFSET($CC$3,0,0,'Données projet'!$E$12+1,1))-AVERAGE(OFFSET($H$3,0,0,'Données projet'!$E$12+1,1))</f>
        <v>168.16583766359378</v>
      </c>
      <c r="CE85" s="62">
        <f t="shared" si="94"/>
        <v>194.52809733694494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97.411776023953209</v>
      </c>
      <c r="CL85" s="23">
        <f>EXP(-LN(2)/25)*CL84+(1-EXP(-LN(2)/25))/(LN(2)/25)*Calculateur!CG85*Calculateur!CI85*VLOOKUP('Données projet'!$B$12,Paramètres!$A$1:$I$88,3,0)*0.475*44/12</f>
        <v>18.298814767558358</v>
      </c>
      <c r="CM85" s="23">
        <f>EXP(-LN(2)/2)*CM84+(1-EXP(-LN(2)/2))/(LN(2)/2)*CG85*CJ85*VLOOKUP('Données projet'!$B$12,Paramètres!$A$1:$I$88,3,0)*0.475*44/12</f>
        <v>1.3296450198323021E-2</v>
      </c>
      <c r="CN85" s="24">
        <f t="shared" si="66"/>
        <v>115.72388724170989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projet'!$B$13,Paramètres!$A$1:$I$88,3,0)*VLOOKUP('Données projet'!$B$13,Paramètres!$A$1:$I$88,5,0)</f>
        <v>-4.9658410716801891E-14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146.09202487550647</v>
      </c>
      <c r="CZ85" s="62">
        <f t="shared" si="96"/>
        <v>168.58814676269344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66.938419902783764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66.938419902783764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1.7053025658242404E-13</v>
      </c>
      <c r="DP85" s="18">
        <f>DO85*VLOOKUP('Données projet'!$B$14,Paramètres!$A$1:$I$88,3,0)*VLOOKUP('Données projet'!$B$14,Paramètres!$A$1:$I$88,5,0)</f>
        <v>1.250327841262333E-13</v>
      </c>
      <c r="DQ85" s="14">
        <f t="shared" si="97"/>
        <v>1.8301318724634299E-12</v>
      </c>
      <c r="DR85" s="22">
        <f t="shared" si="70"/>
        <v>3.405245110226996E-12</v>
      </c>
      <c r="DS85" s="62">
        <f t="shared" si="71"/>
        <v>293.33333333333672</v>
      </c>
      <c r="DT85" s="62">
        <f ca="1">AVERAGE(OFFSET($DS$3,0,0,'Données projet'!$E$14+1,1))-AVERAGE(OFFSET($H$3,0,0,'Données projet'!$E$14+1,1))</f>
        <v>116.35584360635318</v>
      </c>
      <c r="DU85" s="62">
        <f t="shared" si="98"/>
        <v>86.38226293640173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80.432903504729254</v>
      </c>
      <c r="EB85" s="23">
        <f>EXP(-LN(2)/25)*EB84+(1-EXP(-LN(2)/25))/(LN(2)/25)*Calculateur!DW85*Calculateur!DY85*VLOOKUP('Données projet'!$B$14,Paramètres!$A$1:$I$88,3,0)*0.475*44/12</f>
        <v>0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80.432903504729254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-40</v>
      </c>
      <c r="O86" s="14">
        <f>N86*VLOOKUP('Données projet'!$B$9,Paramètres!$A$1:$I$88,3,0)*VLOOKUP('Données projet'!$B$9,Paramètres!$A$1:$I$88,5,0)</f>
        <v>-18.72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82.229723373996478</v>
      </c>
      <c r="T86" s="62">
        <f t="shared" si="88"/>
        <v>115.86489547584461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72.985974937371395</v>
      </c>
      <c r="AA86" s="23">
        <f>EXP(-LN(2)/25)*AA85+(1-EXP(-LN(2)/25))/(LN(2)/25)*Calculateur!V86*Calculateur!X86*VLOOKUP('Données projet'!$B$9,Paramètres!$A$1:$I$88,3,0)*0.475*44/12</f>
        <v>12.534694608870502</v>
      </c>
      <c r="AB86" s="23">
        <f>EXP(-LN(2)/2)*AB85+(1-EXP(-LN(2)/2))/(LN(2)/2)*V86*Y86*VLOOKUP('Données projet'!$B$9,Paramètres!$A$1:$I$88,3,0)*0.475*44/12</f>
        <v>6.4644677878928428E-3</v>
      </c>
      <c r="AC86" s="24">
        <f t="shared" si="57"/>
        <v>85.527134014029784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262.78347246606825</v>
      </c>
      <c r="AO86" s="62">
        <f t="shared" si="90"/>
        <v>448.84541017639367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102.68953010574423</v>
      </c>
      <c r="AV86" s="23">
        <f>EXP(-LN(2)/25)*AV85+(1-EXP(-LN(2)/25))/(LN(2)/25)*Calculateur!AQ86*Calculateur!AS86*VLOOKUP('Données projet'!$B$10,Paramètres!$A$1:$I$88,3,0)*0.475*44/12</f>
        <v>20.118623717245232</v>
      </c>
      <c r="AW86" s="23">
        <f>EXP(-LN(2)/2)*AW85+(1-EXP(-LN(2)/2))/(LN(2)/2)*AQ86*AT86*VLOOKUP('Données projet'!$B$10,Paramètres!$A$1:$I$88,3,0)*0.475*44/12</f>
        <v>7.0208925494634166E-5</v>
      </c>
      <c r="AX86" s="23">
        <f t="shared" si="60"/>
        <v>122.80822403191495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projet'!$B$11,Paramètres!$A$1:$I$88,3,0)*VLOOKUP('Données projet'!$B$11,Paramètres!$A$1:$I$88,5,0)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135.14998708332445</v>
      </c>
      <c r="BJ86" s="62">
        <f t="shared" si="92"/>
        <v>245.50083454484513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61.901732828031953</v>
      </c>
      <c r="BQ86" s="23">
        <f>EXP(-LN(2)/25)*BQ85+(1-EXP(-LN(2)/25))/(LN(2)/25)*Calculateur!BL86*Calculateur!BN86*VLOOKUP('Données projet'!$B$11,Paramètres!$A$1:$I$88,3,0)*0.475*44/12</f>
        <v>19.351425857105585</v>
      </c>
      <c r="BR86" s="23">
        <f>EXP(-LN(2)/2)*BR85+(1-EXP(-LN(2)/2))/(LN(2)/2)*BL86*BO86*VLOOKUP('Données projet'!$B$11,Paramètres!$A$1:$I$88,3,0)*0.475*44/12</f>
        <v>1.8140201273048883E-4</v>
      </c>
      <c r="BS86" s="24">
        <f t="shared" si="63"/>
        <v>81.253340087150264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projet'!$B$12,Paramètres!$A$1:$I$88,3,0)*VLOOKUP('Données projet'!$B$12,Paramètres!$A$1:$I$88,5,0)</f>
        <v>6.7984728957526396E-14</v>
      </c>
      <c r="CA86" s="14">
        <f t="shared" si="93"/>
        <v>1.0682447123141398E-12</v>
      </c>
      <c r="CB86" s="22">
        <f t="shared" si="64"/>
        <v>1.978932943548152E-12</v>
      </c>
      <c r="CC86" s="62">
        <f t="shared" si="65"/>
        <v>293.3333333333353</v>
      </c>
      <c r="CD86" s="62">
        <f ca="1">AVERAGE(OFFSET($CC$3,0,0,'Données projet'!$E$12+1,1))-AVERAGE(OFFSET($H$3,0,0,'Données projet'!$E$12+1,1))</f>
        <v>168.16583766359378</v>
      </c>
      <c r="CE86" s="62">
        <f t="shared" si="94"/>
        <v>194.52809733694494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95.501590511440085</v>
      </c>
      <c r="CL86" s="23">
        <f>EXP(-LN(2)/25)*CL85+(1-EXP(-LN(2)/25))/(LN(2)/25)*Calculateur!CG86*Calculateur!CI86*VLOOKUP('Données projet'!$B$12,Paramètres!$A$1:$I$88,3,0)*0.475*44/12</f>
        <v>17.79843271544663</v>
      </c>
      <c r="CM86" s="23">
        <f>EXP(-LN(2)/2)*CM85+(1-EXP(-LN(2)/2))/(LN(2)/2)*CG86*CJ86*VLOOKUP('Données projet'!$B$12,Paramètres!$A$1:$I$88,3,0)*0.475*44/12</f>
        <v>9.4020101009434226E-3</v>
      </c>
      <c r="CN86" s="24">
        <f t="shared" si="66"/>
        <v>113.30942523698765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projet'!$B$13,Paramètres!$A$1:$I$88,3,0)*VLOOKUP('Données projet'!$B$13,Paramètres!$A$1:$I$88,5,0)</f>
        <v>-4.9658410716801891E-14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146.09202487550647</v>
      </c>
      <c r="CZ86" s="62">
        <f t="shared" si="96"/>
        <v>168.58814676269344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65.625798316894844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65.625798316894844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1.7053025658242404E-13</v>
      </c>
      <c r="DP86" s="18">
        <f>DO86*VLOOKUP('Données projet'!$B$14,Paramètres!$A$1:$I$88,3,0)*VLOOKUP('Données projet'!$B$14,Paramètres!$A$1:$I$88,5,0)</f>
        <v>1.250327841262333E-13</v>
      </c>
      <c r="DQ86" s="14">
        <f t="shared" si="97"/>
        <v>1.8301318724634299E-12</v>
      </c>
      <c r="DR86" s="22">
        <f t="shared" si="70"/>
        <v>3.405245110226996E-12</v>
      </c>
      <c r="DS86" s="62">
        <f t="shared" si="71"/>
        <v>293.33333333333672</v>
      </c>
      <c r="DT86" s="62">
        <f ca="1">AVERAGE(OFFSET($DS$3,0,0,'Données projet'!$E$14+1,1))-AVERAGE(OFFSET($H$3,0,0,'Données projet'!$E$14+1,1))</f>
        <v>116.35584360635318</v>
      </c>
      <c r="DU86" s="62">
        <f t="shared" si="98"/>
        <v>86.38226293640173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78.855663326228452</v>
      </c>
      <c r="EB86" s="23">
        <f>EXP(-LN(2)/25)*EB85+(1-EXP(-LN(2)/25))/(LN(2)/25)*Calculateur!DW86*Calculateur!DY86*VLOOKUP('Données projet'!$B$14,Paramètres!$A$1:$I$88,3,0)*0.475*44/12</f>
        <v>0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78.855663326228452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-40</v>
      </c>
      <c r="O87" s="14">
        <f>N87*VLOOKUP('Données projet'!$B$9,Paramètres!$A$1:$I$88,3,0)*VLOOKUP('Données projet'!$B$9,Paramètres!$A$1:$I$88,5,0)</f>
        <v>-18.72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82.229723373996478</v>
      </c>
      <c r="T87" s="62">
        <f t="shared" si="88"/>
        <v>115.86489547584461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71.554764485898559</v>
      </c>
      <c r="AA87" s="23">
        <f>EXP(-LN(2)/25)*AA86+(1-EXP(-LN(2)/25))/(LN(2)/25)*Calculateur!V87*Calculateur!X87*VLOOKUP('Données projet'!$B$9,Paramètres!$A$1:$I$88,3,0)*0.475*44/12</f>
        <v>12.191932725619997</v>
      </c>
      <c r="AB87" s="23">
        <f>EXP(-LN(2)/2)*AB86+(1-EXP(-LN(2)/2))/(LN(2)/2)*V87*Y87*VLOOKUP('Données projet'!$B$9,Paramètres!$A$1:$I$88,3,0)*0.475*44/12</f>
        <v>4.5710690095810292E-3</v>
      </c>
      <c r="AC87" s="24">
        <f t="shared" si="57"/>
        <v>83.751268280528137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262.78347246606825</v>
      </c>
      <c r="AO87" s="62">
        <f t="shared" si="90"/>
        <v>448.84541017639367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100.67585105479931</v>
      </c>
      <c r="AV87" s="23">
        <f>EXP(-LN(2)/25)*AV86+(1-EXP(-LN(2)/25))/(LN(2)/25)*Calculateur!AQ87*Calculateur!AS87*VLOOKUP('Données projet'!$B$10,Paramètres!$A$1:$I$88,3,0)*0.475*44/12</f>
        <v>19.568478893704722</v>
      </c>
      <c r="AW87" s="23">
        <f>EXP(-LN(2)/2)*AW86+(1-EXP(-LN(2)/2))/(LN(2)/2)*AQ87*AT87*VLOOKUP('Données projet'!$B$10,Paramètres!$A$1:$I$88,3,0)*0.475*44/12</f>
        <v>4.96452073170769E-5</v>
      </c>
      <c r="AX87" s="23">
        <f t="shared" si="60"/>
        <v>120.24437959371134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projet'!$B$11,Paramètres!$A$1:$I$88,3,0)*VLOOKUP('Données projet'!$B$11,Paramètres!$A$1:$I$88,5,0)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135.14998708332445</v>
      </c>
      <c r="BJ87" s="62">
        <f t="shared" si="92"/>
        <v>245.50083454484513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60.687877603603141</v>
      </c>
      <c r="BQ87" s="23">
        <f>EXP(-LN(2)/25)*BQ86+(1-EXP(-LN(2)/25))/(LN(2)/25)*Calculateur!BL87*Calculateur!BN87*VLOOKUP('Données projet'!$B$11,Paramètres!$A$1:$I$88,3,0)*0.475*44/12</f>
        <v>18.822260099395777</v>
      </c>
      <c r="BR87" s="23">
        <f>EXP(-LN(2)/2)*BR86+(1-EXP(-LN(2)/2))/(LN(2)/2)*BL87*BO87*VLOOKUP('Données projet'!$B$11,Paramètres!$A$1:$I$88,3,0)*0.475*44/12</f>
        <v>1.2827059332261707E-4</v>
      </c>
      <c r="BS87" s="24">
        <f t="shared" si="63"/>
        <v>79.51026597359224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projet'!$B$12,Paramètres!$A$1:$I$88,3,0)*VLOOKUP('Données projet'!$B$12,Paramètres!$A$1:$I$88,5,0)</f>
        <v>6.7984728957526396E-14</v>
      </c>
      <c r="CA87" s="14">
        <f t="shared" si="93"/>
        <v>1.0682447123141398E-12</v>
      </c>
      <c r="CB87" s="22">
        <f t="shared" si="64"/>
        <v>1.978932943548152E-12</v>
      </c>
      <c r="CC87" s="62">
        <f t="shared" si="65"/>
        <v>293.3333333333353</v>
      </c>
      <c r="CD87" s="62">
        <f ca="1">AVERAGE(OFFSET($CC$3,0,0,'Données projet'!$E$12+1,1))-AVERAGE(OFFSET($H$3,0,0,'Données projet'!$E$12+1,1))</f>
        <v>168.16583766359378</v>
      </c>
      <c r="CE87" s="62">
        <f t="shared" si="94"/>
        <v>194.52809733694494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93.628862571729229</v>
      </c>
      <c r="CL87" s="23">
        <f>EXP(-LN(2)/25)*CL86+(1-EXP(-LN(2)/25))/(LN(2)/25)*Calculateur!CG87*Calculateur!CI87*VLOOKUP('Données projet'!$B$12,Paramètres!$A$1:$I$88,3,0)*0.475*44/12</f>
        <v>17.311733636863845</v>
      </c>
      <c r="CM87" s="23">
        <f>EXP(-LN(2)/2)*CM86+(1-EXP(-LN(2)/2))/(LN(2)/2)*CG87*CJ87*VLOOKUP('Données projet'!$B$12,Paramètres!$A$1:$I$88,3,0)*0.475*44/12</f>
        <v>6.6482250991615104E-3</v>
      </c>
      <c r="CN87" s="24">
        <f t="shared" si="66"/>
        <v>110.94724443369223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projet'!$B$13,Paramètres!$A$1:$I$88,3,0)*VLOOKUP('Données projet'!$B$13,Paramètres!$A$1:$I$88,5,0)</f>
        <v>-4.9658410716801891E-14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146.09202487550647</v>
      </c>
      <c r="CZ87" s="62">
        <f t="shared" si="96"/>
        <v>168.58814676269344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64.338916439685093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64.338916439685093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1.7053025658242404E-13</v>
      </c>
      <c r="DP87" s="18">
        <f>DO87*VLOOKUP('Données projet'!$B$14,Paramètres!$A$1:$I$88,3,0)*VLOOKUP('Données projet'!$B$14,Paramètres!$A$1:$I$88,5,0)</f>
        <v>1.250327841262333E-13</v>
      </c>
      <c r="DQ87" s="14">
        <f t="shared" si="97"/>
        <v>1.8301318724634299E-12</v>
      </c>
      <c r="DR87" s="22">
        <f t="shared" si="70"/>
        <v>3.405245110226996E-12</v>
      </c>
      <c r="DS87" s="62">
        <f t="shared" si="71"/>
        <v>293.33333333333672</v>
      </c>
      <c r="DT87" s="62">
        <f ca="1">AVERAGE(OFFSET($DS$3,0,0,'Données projet'!$E$14+1,1))-AVERAGE(OFFSET($H$3,0,0,'Données projet'!$E$14+1,1))</f>
        <v>116.35584360635318</v>
      </c>
      <c r="DU87" s="62">
        <f t="shared" si="98"/>
        <v>86.38226293640173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77.30935186560653</v>
      </c>
      <c r="EB87" s="23">
        <f>EXP(-LN(2)/25)*EB86+(1-EXP(-LN(2)/25))/(LN(2)/25)*Calculateur!DW87*Calculateur!DY87*VLOOKUP('Données projet'!$B$14,Paramètres!$A$1:$I$88,3,0)*0.475*44/12</f>
        <v>0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77.30935186560653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-40</v>
      </c>
      <c r="O88" s="14">
        <f>N88*VLOOKUP('Données projet'!$B$9,Paramètres!$A$1:$I$88,3,0)*VLOOKUP('Données projet'!$B$9,Paramètres!$A$1:$I$88,5,0)</f>
        <v>-18.72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82.229723373996478</v>
      </c>
      <c r="T88" s="62">
        <f t="shared" si="88"/>
        <v>115.86489547584461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70.151619198426928</v>
      </c>
      <c r="AA88" s="23">
        <f>EXP(-LN(2)/25)*AA87+(1-EXP(-LN(2)/25))/(LN(2)/25)*Calculateur!V88*Calculateur!X88*VLOOKUP('Données projet'!$B$9,Paramètres!$A$1:$I$88,3,0)*0.475*44/12</f>
        <v>11.858543684092041</v>
      </c>
      <c r="AB88" s="23">
        <f>EXP(-LN(2)/2)*AB87+(1-EXP(-LN(2)/2))/(LN(2)/2)*V88*Y88*VLOOKUP('Données projet'!$B$9,Paramètres!$A$1:$I$88,3,0)*0.475*44/12</f>
        <v>3.2322338939464214E-3</v>
      </c>
      <c r="AC88" s="24">
        <f t="shared" si="57"/>
        <v>82.013395116412909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262.78347246606825</v>
      </c>
      <c r="AO88" s="62">
        <f t="shared" si="90"/>
        <v>448.84541017639367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98.701659021820475</v>
      </c>
      <c r="AV88" s="23">
        <f>EXP(-LN(2)/25)*AV87+(1-EXP(-LN(2)/25))/(LN(2)/25)*Calculateur!AQ88*Calculateur!AS88*VLOOKUP('Données projet'!$B$10,Paramètres!$A$1:$I$88,3,0)*0.475*44/12</f>
        <v>19.033377809294784</v>
      </c>
      <c r="AW88" s="23">
        <f>EXP(-LN(2)/2)*AW87+(1-EXP(-LN(2)/2))/(LN(2)/2)*AQ88*AT88*VLOOKUP('Données projet'!$B$10,Paramètres!$A$1:$I$88,3,0)*0.475*44/12</f>
        <v>3.5104462747317083E-5</v>
      </c>
      <c r="AX88" s="23">
        <f t="shared" si="60"/>
        <v>117.73507193557801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projet'!$B$11,Paramètres!$A$1:$I$88,3,0)*VLOOKUP('Données projet'!$B$11,Paramètres!$A$1:$I$88,5,0)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135.14998708332445</v>
      </c>
      <c r="BJ88" s="62">
        <f t="shared" si="92"/>
        <v>245.50083454484513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59.497825339746797</v>
      </c>
      <c r="BQ88" s="23">
        <f>EXP(-LN(2)/25)*BQ87+(1-EXP(-LN(2)/25))/(LN(2)/25)*Calculateur!BL88*Calculateur!BN88*VLOOKUP('Données projet'!$B$11,Paramètres!$A$1:$I$88,3,0)*0.475*44/12</f>
        <v>18.307564407158161</v>
      </c>
      <c r="BR88" s="23">
        <f>EXP(-LN(2)/2)*BR87+(1-EXP(-LN(2)/2))/(LN(2)/2)*BL88*BO88*VLOOKUP('Données projet'!$B$11,Paramètres!$A$1:$I$88,3,0)*0.475*44/12</f>
        <v>9.0701006365244416E-5</v>
      </c>
      <c r="BS88" s="24">
        <f t="shared" si="63"/>
        <v>77.805480447911322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projet'!$B$12,Paramètres!$A$1:$I$88,3,0)*VLOOKUP('Données projet'!$B$12,Paramètres!$A$1:$I$88,5,0)</f>
        <v>6.7984728957526396E-14</v>
      </c>
      <c r="CA88" s="14">
        <f t="shared" si="93"/>
        <v>1.0682447123141398E-12</v>
      </c>
      <c r="CB88" s="22">
        <f t="shared" si="64"/>
        <v>1.978932943548152E-12</v>
      </c>
      <c r="CC88" s="62">
        <f t="shared" si="65"/>
        <v>293.3333333333353</v>
      </c>
      <c r="CD88" s="62">
        <f ca="1">AVERAGE(OFFSET($CC$3,0,0,'Données projet'!$E$12+1,1))-AVERAGE(OFFSET($H$3,0,0,'Données projet'!$E$12+1,1))</f>
        <v>168.16583766359378</v>
      </c>
      <c r="CE88" s="62">
        <f t="shared" si="94"/>
        <v>194.52809733694494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91.792857684664838</v>
      </c>
      <c r="CL88" s="23">
        <f>EXP(-LN(2)/25)*CL87+(1-EXP(-LN(2)/25))/(LN(2)/25)*Calculateur!CG88*Calculateur!CI88*VLOOKUP('Données projet'!$B$12,Paramètres!$A$1:$I$88,3,0)*0.475*44/12</f>
        <v>16.838343370179299</v>
      </c>
      <c r="CM88" s="23">
        <f>EXP(-LN(2)/2)*CM87+(1-EXP(-LN(2)/2))/(LN(2)/2)*CG88*CJ88*VLOOKUP('Données projet'!$B$12,Paramètres!$A$1:$I$88,3,0)*0.475*44/12</f>
        <v>4.7010050504717113E-3</v>
      </c>
      <c r="CN88" s="24">
        <f t="shared" si="66"/>
        <v>108.63590205989462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projet'!$B$13,Paramètres!$A$1:$I$88,3,0)*VLOOKUP('Données projet'!$B$13,Paramètres!$A$1:$I$88,5,0)</f>
        <v>-4.9658410716801891E-14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146.09202487550647</v>
      </c>
      <c r="CZ88" s="62">
        <f t="shared" si="96"/>
        <v>168.58814676269344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63.077269531166984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63.077269531166984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1.7053025658242404E-13</v>
      </c>
      <c r="DP88" s="18">
        <f>DO88*VLOOKUP('Données projet'!$B$14,Paramètres!$A$1:$I$88,3,0)*VLOOKUP('Données projet'!$B$14,Paramètres!$A$1:$I$88,5,0)</f>
        <v>1.250327841262333E-13</v>
      </c>
      <c r="DQ88" s="14">
        <f t="shared" si="97"/>
        <v>1.8301318724634299E-12</v>
      </c>
      <c r="DR88" s="22">
        <f t="shared" si="70"/>
        <v>3.405245110226996E-12</v>
      </c>
      <c r="DS88" s="62">
        <f t="shared" si="71"/>
        <v>293.33333333333672</v>
      </c>
      <c r="DT88" s="62">
        <f ca="1">AVERAGE(OFFSET($DS$3,0,0,'Données projet'!$E$14+1,1))-AVERAGE(OFFSET($H$3,0,0,'Données projet'!$E$14+1,1))</f>
        <v>116.35584360635318</v>
      </c>
      <c r="DU88" s="62">
        <f t="shared" si="98"/>
        <v>86.38226293640173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75.793362629570552</v>
      </c>
      <c r="EB88" s="23">
        <f>EXP(-LN(2)/25)*EB87+(1-EXP(-LN(2)/25))/(LN(2)/25)*Calculateur!DW88*Calculateur!DY88*VLOOKUP('Données projet'!$B$14,Paramètres!$A$1:$I$88,3,0)*0.475*44/12</f>
        <v>0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75.793362629570552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-40</v>
      </c>
      <c r="O89" s="14">
        <f>N89*VLOOKUP('Données projet'!$B$9,Paramètres!$A$1:$I$88,3,0)*VLOOKUP('Données projet'!$B$9,Paramètres!$A$1:$I$88,5,0)</f>
        <v>-18.72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82.229723373996478</v>
      </c>
      <c r="T89" s="62">
        <f t="shared" si="88"/>
        <v>115.86489547584461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68.775988734208497</v>
      </c>
      <c r="AA89" s="23">
        <f>EXP(-LN(2)/25)*AA88+(1-EXP(-LN(2)/25))/(LN(2)/25)*Calculateur!V89*Calculateur!X89*VLOOKUP('Données projet'!$B$9,Paramètres!$A$1:$I$88,3,0)*0.475*44/12</f>
        <v>11.534271183436834</v>
      </c>
      <c r="AB89" s="23">
        <f>EXP(-LN(2)/2)*AB88+(1-EXP(-LN(2)/2))/(LN(2)/2)*V89*Y89*VLOOKUP('Données projet'!$B$9,Paramètres!$A$1:$I$88,3,0)*0.475*44/12</f>
        <v>2.2855345047905146E-3</v>
      </c>
      <c r="AC89" s="24">
        <f t="shared" si="57"/>
        <v>80.312545452150118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262.78347246606825</v>
      </c>
      <c r="AO89" s="62">
        <f t="shared" si="90"/>
        <v>448.84541017639367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96.766179690470125</v>
      </c>
      <c r="AV89" s="23">
        <f>EXP(-LN(2)/25)*AV88+(1-EXP(-LN(2)/25))/(LN(2)/25)*Calculateur!AQ89*Calculateur!AS89*VLOOKUP('Données projet'!$B$10,Paramètres!$A$1:$I$88,3,0)*0.475*44/12</f>
        <v>18.512909092177779</v>
      </c>
      <c r="AW89" s="23">
        <f>EXP(-LN(2)/2)*AW88+(1-EXP(-LN(2)/2))/(LN(2)/2)*AQ89*AT89*VLOOKUP('Données projet'!$B$10,Paramètres!$A$1:$I$88,3,0)*0.475*44/12</f>
        <v>2.482260365853845E-5</v>
      </c>
      <c r="AX89" s="23">
        <f t="shared" si="60"/>
        <v>115.27911360525157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projet'!$B$11,Paramètres!$A$1:$I$88,3,0)*VLOOKUP('Données projet'!$B$11,Paramètres!$A$1:$I$88,5,0)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135.14998708332445</v>
      </c>
      <c r="BJ89" s="62">
        <f t="shared" si="92"/>
        <v>245.50083454484513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58.331109274924472</v>
      </c>
      <c r="BQ89" s="23">
        <f>EXP(-LN(2)/25)*BQ88+(1-EXP(-LN(2)/25))/(LN(2)/25)*Calculateur!BL89*Calculateur!BN89*VLOOKUP('Données projet'!$B$11,Paramètres!$A$1:$I$88,3,0)*0.475*44/12</f>
        <v>17.806943095691452</v>
      </c>
      <c r="BR89" s="23">
        <f>EXP(-LN(2)/2)*BR88+(1-EXP(-LN(2)/2))/(LN(2)/2)*BL89*BO89*VLOOKUP('Données projet'!$B$11,Paramètres!$A$1:$I$88,3,0)*0.475*44/12</f>
        <v>6.4135296661308537E-5</v>
      </c>
      <c r="BS89" s="24">
        <f t="shared" si="63"/>
        <v>76.138116505912592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projet'!$B$12,Paramètres!$A$1:$I$88,3,0)*VLOOKUP('Données projet'!$B$12,Paramètres!$A$1:$I$88,5,0)</f>
        <v>6.7984728957526396E-14</v>
      </c>
      <c r="CA89" s="14">
        <f t="shared" si="93"/>
        <v>1.0682447123141398E-12</v>
      </c>
      <c r="CB89" s="22">
        <f t="shared" si="64"/>
        <v>1.978932943548152E-12</v>
      </c>
      <c r="CC89" s="62">
        <f t="shared" si="65"/>
        <v>293.3333333333353</v>
      </c>
      <c r="CD89" s="62">
        <f ca="1">AVERAGE(OFFSET($CC$3,0,0,'Données projet'!$E$12+1,1))-AVERAGE(OFFSET($H$3,0,0,'Données projet'!$E$12+1,1))</f>
        <v>168.16583766359378</v>
      </c>
      <c r="CE89" s="62">
        <f t="shared" si="94"/>
        <v>194.52809733694494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89.992855733583383</v>
      </c>
      <c r="CL89" s="23">
        <f>EXP(-LN(2)/25)*CL88+(1-EXP(-LN(2)/25))/(LN(2)/25)*Calculateur!CG89*Calculateur!CI89*VLOOKUP('Données projet'!$B$12,Paramètres!$A$1:$I$88,3,0)*0.475*44/12</f>
        <v>16.377897985231751</v>
      </c>
      <c r="CM89" s="23">
        <f>EXP(-LN(2)/2)*CM88+(1-EXP(-LN(2)/2))/(LN(2)/2)*CG89*CJ89*VLOOKUP('Données projet'!$B$12,Paramètres!$A$1:$I$88,3,0)*0.475*44/12</f>
        <v>3.3241125495807552E-3</v>
      </c>
      <c r="CN89" s="24">
        <f t="shared" si="66"/>
        <v>106.37407783136472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projet'!$B$13,Paramètres!$A$1:$I$88,3,0)*VLOOKUP('Données projet'!$B$13,Paramètres!$A$1:$I$88,5,0)</f>
        <v>-4.9658410716801891E-14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146.09202487550647</v>
      </c>
      <c r="CZ89" s="62">
        <f t="shared" si="96"/>
        <v>168.58814676269344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61.840362748996284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61.840362748996284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1.7053025658242404E-13</v>
      </c>
      <c r="DP89" s="18">
        <f>DO89*VLOOKUP('Données projet'!$B$14,Paramètres!$A$1:$I$88,3,0)*VLOOKUP('Données projet'!$B$14,Paramètres!$A$1:$I$88,5,0)</f>
        <v>1.250327841262333E-13</v>
      </c>
      <c r="DQ89" s="14">
        <f t="shared" si="97"/>
        <v>1.8301318724634299E-12</v>
      </c>
      <c r="DR89" s="22">
        <f t="shared" si="70"/>
        <v>3.405245110226996E-12</v>
      </c>
      <c r="DS89" s="62">
        <f t="shared" si="71"/>
        <v>293.33333333333672</v>
      </c>
      <c r="DT89" s="62">
        <f ca="1">AVERAGE(OFFSET($DS$3,0,0,'Données projet'!$E$14+1,1))-AVERAGE(OFFSET($H$3,0,0,'Données projet'!$E$14+1,1))</f>
        <v>116.35584360635318</v>
      </c>
      <c r="DU89" s="62">
        <f t="shared" si="98"/>
        <v>86.38226293640173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74.307101017791112</v>
      </c>
      <c r="EB89" s="23">
        <f>EXP(-LN(2)/25)*EB88+(1-EXP(-LN(2)/25))/(LN(2)/25)*Calculateur!DW89*Calculateur!DY89*VLOOKUP('Données projet'!$B$14,Paramètres!$A$1:$I$88,3,0)*0.475*44/12</f>
        <v>0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74.307101017791112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-40</v>
      </c>
      <c r="O90" s="14">
        <f>N90*VLOOKUP('Données projet'!$B$9,Paramètres!$A$1:$I$88,3,0)*VLOOKUP('Données projet'!$B$9,Paramètres!$A$1:$I$88,5,0)</f>
        <v>-18.72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82.229723373996478</v>
      </c>
      <c r="T90" s="62">
        <f t="shared" si="88"/>
        <v>115.86489547584461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67.42733354434165</v>
      </c>
      <c r="AA90" s="23">
        <f>EXP(-LN(2)/25)*AA89+(1-EXP(-LN(2)/25))/(LN(2)/25)*Calculateur!V90*Calculateur!X90*VLOOKUP('Données projet'!$B$9,Paramètres!$A$1:$I$88,3,0)*0.475*44/12</f>
        <v>11.218865931364794</v>
      </c>
      <c r="AB90" s="23">
        <f>EXP(-LN(2)/2)*AB89+(1-EXP(-LN(2)/2))/(LN(2)/2)*V90*Y90*VLOOKUP('Données projet'!$B$9,Paramètres!$A$1:$I$88,3,0)*0.475*44/12</f>
        <v>1.6161169469732107E-3</v>
      </c>
      <c r="AC90" s="24">
        <f t="shared" si="57"/>
        <v>78.647815592653416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262.78347246606825</v>
      </c>
      <c r="AO90" s="62">
        <f t="shared" si="90"/>
        <v>448.84541017639367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94.868653928281731</v>
      </c>
      <c r="AV90" s="23">
        <f>EXP(-LN(2)/25)*AV89+(1-EXP(-LN(2)/25))/(LN(2)/25)*Calculateur!AQ90*Calculateur!AS90*VLOOKUP('Données projet'!$B$10,Paramètres!$A$1:$I$88,3,0)*0.475*44/12</f>
        <v>18.006672619500598</v>
      </c>
      <c r="AW90" s="23">
        <f>EXP(-LN(2)/2)*AW89+(1-EXP(-LN(2)/2))/(LN(2)/2)*AQ90*AT90*VLOOKUP('Données projet'!$B$10,Paramètres!$A$1:$I$88,3,0)*0.475*44/12</f>
        <v>1.7552231373658541E-5</v>
      </c>
      <c r="AX90" s="23">
        <f t="shared" si="60"/>
        <v>112.87534410001369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projet'!$B$11,Paramètres!$A$1:$I$88,3,0)*VLOOKUP('Données projet'!$B$11,Paramètres!$A$1:$I$88,5,0)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135.14998708332445</v>
      </c>
      <c r="BJ90" s="62">
        <f t="shared" si="92"/>
        <v>245.50083454484513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57.187271800506778</v>
      </c>
      <c r="BQ90" s="23">
        <f>EXP(-LN(2)/25)*BQ89+(1-EXP(-LN(2)/25))/(LN(2)/25)*Calculateur!BL90*Calculateur!BN90*VLOOKUP('Données projet'!$B$11,Paramètres!$A$1:$I$88,3,0)*0.475*44/12</f>
        <v>17.320011300313329</v>
      </c>
      <c r="BR90" s="23">
        <f>EXP(-LN(2)/2)*BR89+(1-EXP(-LN(2)/2))/(LN(2)/2)*BL90*BO90*VLOOKUP('Données projet'!$B$11,Paramètres!$A$1:$I$88,3,0)*0.475*44/12</f>
        <v>4.5350503182622208E-5</v>
      </c>
      <c r="BS90" s="24">
        <f t="shared" si="63"/>
        <v>74.507328451323289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projet'!$B$12,Paramètres!$A$1:$I$88,3,0)*VLOOKUP('Données projet'!$B$12,Paramètres!$A$1:$I$88,5,0)</f>
        <v>6.7984728957526396E-14</v>
      </c>
      <c r="CA90" s="14">
        <f t="shared" si="93"/>
        <v>1.0682447123141398E-12</v>
      </c>
      <c r="CB90" s="22">
        <f t="shared" si="64"/>
        <v>1.978932943548152E-12</v>
      </c>
      <c r="CC90" s="62">
        <f t="shared" si="65"/>
        <v>293.3333333333353</v>
      </c>
      <c r="CD90" s="62">
        <f ca="1">AVERAGE(OFFSET($CC$3,0,0,'Données projet'!$E$12+1,1))-AVERAGE(OFFSET($H$3,0,0,'Données projet'!$E$12+1,1))</f>
        <v>168.16583766359378</v>
      </c>
      <c r="CE90" s="62">
        <f t="shared" si="94"/>
        <v>194.52809733694494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88.228150722869856</v>
      </c>
      <c r="CL90" s="23">
        <f>EXP(-LN(2)/25)*CL89+(1-EXP(-LN(2)/25))/(LN(2)/25)*Calculateur!CG90*Calculateur!CI90*VLOOKUP('Données projet'!$B$12,Paramètres!$A$1:$I$88,3,0)*0.475*44/12</f>
        <v>15.930043503549365</v>
      </c>
      <c r="CM90" s="23">
        <f>EXP(-LN(2)/2)*CM89+(1-EXP(-LN(2)/2))/(LN(2)/2)*CG90*CJ90*VLOOKUP('Données projet'!$B$12,Paramètres!$A$1:$I$88,3,0)*0.475*44/12</f>
        <v>2.3505025252358556E-3</v>
      </c>
      <c r="CN90" s="24">
        <f t="shared" si="66"/>
        <v>104.16054472894446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projet'!$B$13,Paramètres!$A$1:$I$88,3,0)*VLOOKUP('Données projet'!$B$13,Paramètres!$A$1:$I$88,5,0)</f>
        <v>-4.9658410716801891E-14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146.09202487550647</v>
      </c>
      <c r="CZ90" s="62">
        <f t="shared" si="96"/>
        <v>168.58814676269344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60.627710954385314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60.627710954385314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1.7053025658242404E-13</v>
      </c>
      <c r="DP90" s="18">
        <f>DO90*VLOOKUP('Données projet'!$B$14,Paramètres!$A$1:$I$88,3,0)*VLOOKUP('Données projet'!$B$14,Paramètres!$A$1:$I$88,5,0)</f>
        <v>1.250327841262333E-13</v>
      </c>
      <c r="DQ90" s="14">
        <f t="shared" si="97"/>
        <v>1.8301318724634299E-12</v>
      </c>
      <c r="DR90" s="22">
        <f t="shared" si="70"/>
        <v>3.405245110226996E-12</v>
      </c>
      <c r="DS90" s="62">
        <f t="shared" si="71"/>
        <v>293.33333333333672</v>
      </c>
      <c r="DT90" s="62">
        <f ca="1">AVERAGE(OFFSET($DS$3,0,0,'Données projet'!$E$14+1,1))-AVERAGE(OFFSET($H$3,0,0,'Données projet'!$E$14+1,1))</f>
        <v>116.35584360635318</v>
      </c>
      <c r="DU90" s="62">
        <f t="shared" si="98"/>
        <v>86.38226293640173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72.84998408968859</v>
      </c>
      <c r="EB90" s="23">
        <f>EXP(-LN(2)/25)*EB89+(1-EXP(-LN(2)/25))/(LN(2)/25)*Calculateur!DW90*Calculateur!DY90*VLOOKUP('Données projet'!$B$14,Paramètres!$A$1:$I$88,3,0)*0.475*44/12</f>
        <v>0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72.84998408968859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-40</v>
      </c>
      <c r="O91" s="14">
        <f>N91*VLOOKUP('Données projet'!$B$9,Paramètres!$A$1:$I$88,3,0)*VLOOKUP('Données projet'!$B$9,Paramètres!$A$1:$I$88,5,0)</f>
        <v>-18.72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82.229723373996478</v>
      </c>
      <c r="T91" s="62">
        <f t="shared" si="88"/>
        <v>115.86489547584461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66.105124660149656</v>
      </c>
      <c r="AA91" s="23">
        <f>EXP(-LN(2)/25)*AA90+(1-EXP(-LN(2)/25))/(LN(2)/25)*Calculateur!V91*Calculateur!X91*VLOOKUP('Données projet'!$B$9,Paramètres!$A$1:$I$88,3,0)*0.475*44/12</f>
        <v>10.912085452497106</v>
      </c>
      <c r="AB91" s="23">
        <f>EXP(-LN(2)/2)*AB90+(1-EXP(-LN(2)/2))/(LN(2)/2)*V91*Y91*VLOOKUP('Données projet'!$B$9,Paramètres!$A$1:$I$88,3,0)*0.475*44/12</f>
        <v>1.1427672523952573E-3</v>
      </c>
      <c r="AC91" s="24">
        <f t="shared" si="57"/>
        <v>77.018352879899155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262.78347246606825</v>
      </c>
      <c r="AO91" s="62">
        <f t="shared" si="90"/>
        <v>448.84541017639367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93.008337488913412</v>
      </c>
      <c r="AV91" s="23">
        <f>EXP(-LN(2)/25)*AV90+(1-EXP(-LN(2)/25))/(LN(2)/25)*Calculateur!AQ91*Calculateur!AS91*VLOOKUP('Données projet'!$B$10,Paramètres!$A$1:$I$88,3,0)*0.475*44/12</f>
        <v>17.514279209790597</v>
      </c>
      <c r="AW91" s="23">
        <f>EXP(-LN(2)/2)*AW90+(1-EXP(-LN(2)/2))/(LN(2)/2)*AQ91*AT91*VLOOKUP('Données projet'!$B$10,Paramètres!$A$1:$I$88,3,0)*0.475*44/12</f>
        <v>1.2411301829269225E-5</v>
      </c>
      <c r="AX91" s="23">
        <f t="shared" si="60"/>
        <v>110.52262911000584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projet'!$B$11,Paramètres!$A$1:$I$88,3,0)*VLOOKUP('Données projet'!$B$11,Paramètres!$A$1:$I$88,5,0)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135.14998708332445</v>
      </c>
      <c r="BJ91" s="62">
        <f t="shared" si="92"/>
        <v>245.50083454484513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56.065864281290445</v>
      </c>
      <c r="BQ91" s="23">
        <f>EXP(-LN(2)/25)*BQ90+(1-EXP(-LN(2)/25))/(LN(2)/25)*Calculateur!BL91*Calculateur!BN91*VLOOKUP('Données projet'!$B$11,Paramètres!$A$1:$I$88,3,0)*0.475*44/12</f>
        <v>16.846394680486451</v>
      </c>
      <c r="BR91" s="23">
        <f>EXP(-LN(2)/2)*BR90+(1-EXP(-LN(2)/2))/(LN(2)/2)*BL91*BO91*VLOOKUP('Données projet'!$B$11,Paramètres!$A$1:$I$88,3,0)*0.475*44/12</f>
        <v>3.2067648330654269E-5</v>
      </c>
      <c r="BS91" s="24">
        <f t="shared" si="63"/>
        <v>72.912291029425234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projet'!$B$12,Paramètres!$A$1:$I$88,3,0)*VLOOKUP('Données projet'!$B$12,Paramètres!$A$1:$I$88,5,0)</f>
        <v>6.7984728957526396E-14</v>
      </c>
      <c r="CA91" s="14">
        <f t="shared" si="93"/>
        <v>1.0682447123141398E-12</v>
      </c>
      <c r="CB91" s="22">
        <f t="shared" si="64"/>
        <v>1.978932943548152E-12</v>
      </c>
      <c r="CC91" s="62">
        <f t="shared" si="65"/>
        <v>293.3333333333353</v>
      </c>
      <c r="CD91" s="62">
        <f ca="1">AVERAGE(OFFSET($CC$3,0,0,'Données projet'!$E$12+1,1))-AVERAGE(OFFSET($H$3,0,0,'Données projet'!$E$12+1,1))</f>
        <v>168.16583766359378</v>
      </c>
      <c r="CE91" s="62">
        <f t="shared" si="94"/>
        <v>194.52809733694494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86.498050501052646</v>
      </c>
      <c r="CL91" s="23">
        <f>EXP(-LN(2)/25)*CL90+(1-EXP(-LN(2)/25))/(LN(2)/25)*Calculateur!CG91*Calculateur!CI91*VLOOKUP('Données projet'!$B$12,Paramètres!$A$1:$I$88,3,0)*0.475*44/12</f>
        <v>15.494435626220229</v>
      </c>
      <c r="CM91" s="23">
        <f>EXP(-LN(2)/2)*CM90+(1-EXP(-LN(2)/2))/(LN(2)/2)*CG91*CJ91*VLOOKUP('Données projet'!$B$12,Paramètres!$A$1:$I$88,3,0)*0.475*44/12</f>
        <v>1.6620562747903776E-3</v>
      </c>
      <c r="CN91" s="24">
        <f t="shared" si="66"/>
        <v>101.99414818354767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projet'!$B$13,Paramètres!$A$1:$I$88,3,0)*VLOOKUP('Données projet'!$B$13,Paramètres!$A$1:$I$88,5,0)</f>
        <v>-4.9658410716801891E-14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146.09202487550647</v>
      </c>
      <c r="CZ91" s="62">
        <f t="shared" si="96"/>
        <v>168.58814676269344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59.438838521822106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59.438838521822106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1.7053025658242404E-13</v>
      </c>
      <c r="DP91" s="18">
        <f>DO91*VLOOKUP('Données projet'!$B$14,Paramètres!$A$1:$I$88,3,0)*VLOOKUP('Données projet'!$B$14,Paramètres!$A$1:$I$88,5,0)</f>
        <v>1.250327841262333E-13</v>
      </c>
      <c r="DQ91" s="14">
        <f t="shared" si="97"/>
        <v>1.8301318724634299E-12</v>
      </c>
      <c r="DR91" s="22">
        <f t="shared" si="70"/>
        <v>3.405245110226996E-12</v>
      </c>
      <c r="DS91" s="62">
        <f t="shared" si="71"/>
        <v>293.33333333333672</v>
      </c>
      <c r="DT91" s="62">
        <f ca="1">AVERAGE(OFFSET($DS$3,0,0,'Données projet'!$E$14+1,1))-AVERAGE(OFFSET($H$3,0,0,'Données projet'!$E$14+1,1))</f>
        <v>116.35584360635318</v>
      </c>
      <c r="DU91" s="62">
        <f t="shared" si="98"/>
        <v>86.38226293640173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71.421440335792582</v>
      </c>
      <c r="EB91" s="23">
        <f>EXP(-LN(2)/25)*EB90+(1-EXP(-LN(2)/25))/(LN(2)/25)*Calculateur!DW91*Calculateur!DY91*VLOOKUP('Données projet'!$B$14,Paramètres!$A$1:$I$88,3,0)*0.475*44/12</f>
        <v>0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71.421440335792582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-40</v>
      </c>
      <c r="O92" s="14">
        <f>N92*VLOOKUP('Données projet'!$B$9,Paramètres!$A$1:$I$88,3,0)*VLOOKUP('Données projet'!$B$9,Paramètres!$A$1:$I$88,5,0)</f>
        <v>-18.72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82.229723373996478</v>
      </c>
      <c r="T92" s="62">
        <f t="shared" si="88"/>
        <v>115.86489547584461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64.808843485708877</v>
      </c>
      <c r="AA92" s="23">
        <f>EXP(-LN(2)/25)*AA91+(1-EXP(-LN(2)/25))/(LN(2)/25)*Calculateur!V92*Calculateur!X92*VLOOKUP('Données projet'!$B$9,Paramètres!$A$1:$I$88,3,0)*0.475*44/12</f>
        <v>10.613693901956939</v>
      </c>
      <c r="AB92" s="23">
        <f>EXP(-LN(2)/2)*AB91+(1-EXP(-LN(2)/2))/(LN(2)/2)*V92*Y92*VLOOKUP('Données projet'!$B$9,Paramètres!$A$1:$I$88,3,0)*0.475*44/12</f>
        <v>8.0805847348660535E-4</v>
      </c>
      <c r="AC92" s="24">
        <f t="shared" si="57"/>
        <v>75.423345446139294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262.78347246606825</v>
      </c>
      <c r="AO92" s="62">
        <f t="shared" si="90"/>
        <v>448.84541017639367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91.184500720240123</v>
      </c>
      <c r="AV92" s="23">
        <f>EXP(-LN(2)/25)*AV91+(1-EXP(-LN(2)/25))/(LN(2)/25)*Calculateur!AQ92*Calculateur!AS92*VLOOKUP('Données projet'!$B$10,Paramètres!$A$1:$I$88,3,0)*0.475*44/12</f>
        <v>17.035350323762959</v>
      </c>
      <c r="AW92" s="23">
        <f>EXP(-LN(2)/2)*AW91+(1-EXP(-LN(2)/2))/(LN(2)/2)*AQ92*AT92*VLOOKUP('Données projet'!$B$10,Paramètres!$A$1:$I$88,3,0)*0.475*44/12</f>
        <v>8.7761156868292707E-6</v>
      </c>
      <c r="AX92" s="23">
        <f t="shared" si="60"/>
        <v>108.21985982011877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projet'!$B$11,Paramètres!$A$1:$I$88,3,0)*VLOOKUP('Données projet'!$B$11,Paramètres!$A$1:$I$88,5,0)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135.14998708332445</v>
      </c>
      <c r="BJ92" s="62">
        <f t="shared" si="92"/>
        <v>245.50083454484513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54.966446879534899</v>
      </c>
      <c r="BQ92" s="23">
        <f>EXP(-LN(2)/25)*BQ91+(1-EXP(-LN(2)/25))/(LN(2)/25)*Calculateur!BL92*Calculateur!BN92*VLOOKUP('Données projet'!$B$11,Paramètres!$A$1:$I$88,3,0)*0.475*44/12</f>
        <v>16.385729132035156</v>
      </c>
      <c r="BR92" s="23">
        <f>EXP(-LN(2)/2)*BR91+(1-EXP(-LN(2)/2))/(LN(2)/2)*BL92*BO92*VLOOKUP('Données projet'!$B$11,Paramètres!$A$1:$I$88,3,0)*0.475*44/12</f>
        <v>2.2675251591311104E-5</v>
      </c>
      <c r="BS92" s="24">
        <f t="shared" si="63"/>
        <v>71.352198686821637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projet'!$B$12,Paramètres!$A$1:$I$88,3,0)*VLOOKUP('Données projet'!$B$12,Paramètres!$A$1:$I$88,5,0)</f>
        <v>6.7984728957526396E-14</v>
      </c>
      <c r="CA92" s="14">
        <f t="shared" si="93"/>
        <v>1.0682447123141398E-12</v>
      </c>
      <c r="CB92" s="22">
        <f t="shared" si="64"/>
        <v>1.978932943548152E-12</v>
      </c>
      <c r="CC92" s="62">
        <f t="shared" si="65"/>
        <v>293.3333333333353</v>
      </c>
      <c r="CD92" s="62">
        <f ca="1">AVERAGE(OFFSET($CC$3,0,0,'Données projet'!$E$12+1,1))-AVERAGE(OFFSET($H$3,0,0,'Données projet'!$E$12+1,1))</f>
        <v>168.16583766359378</v>
      </c>
      <c r="CE92" s="62">
        <f t="shared" si="94"/>
        <v>194.52809733694494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84.801876489328336</v>
      </c>
      <c r="CL92" s="23">
        <f>EXP(-LN(2)/25)*CL91+(1-EXP(-LN(2)/25))/(LN(2)/25)*Calculateur!CG92*Calculateur!CI92*VLOOKUP('Données projet'!$B$12,Paramètres!$A$1:$I$88,3,0)*0.475*44/12</f>
        <v>15.07073946920428</v>
      </c>
      <c r="CM92" s="23">
        <f>EXP(-LN(2)/2)*CM91+(1-EXP(-LN(2)/2))/(LN(2)/2)*CG92*CJ92*VLOOKUP('Données projet'!$B$12,Paramètres!$A$1:$I$88,3,0)*0.475*44/12</f>
        <v>1.1752512626179278E-3</v>
      </c>
      <c r="CN92" s="24">
        <f t="shared" si="66"/>
        <v>99.873791209795243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projet'!$B$13,Paramètres!$A$1:$I$88,3,0)*VLOOKUP('Données projet'!$B$13,Paramètres!$A$1:$I$88,5,0)</f>
        <v>-4.9658410716801891E-14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146.09202487550647</v>
      </c>
      <c r="CZ92" s="62">
        <f t="shared" si="96"/>
        <v>168.58814676269344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58.273279152520878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58.273279152520878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1.7053025658242404E-13</v>
      </c>
      <c r="DP92" s="18">
        <f>DO92*VLOOKUP('Données projet'!$B$14,Paramètres!$A$1:$I$88,3,0)*VLOOKUP('Données projet'!$B$14,Paramètres!$A$1:$I$88,5,0)</f>
        <v>1.250327841262333E-13</v>
      </c>
      <c r="DQ92" s="14">
        <f t="shared" si="97"/>
        <v>1.8301318724634299E-12</v>
      </c>
      <c r="DR92" s="22">
        <f t="shared" si="70"/>
        <v>3.405245110226996E-12</v>
      </c>
      <c r="DS92" s="62">
        <f t="shared" si="71"/>
        <v>293.33333333333672</v>
      </c>
      <c r="DT92" s="62">
        <f ca="1">AVERAGE(OFFSET($DS$3,0,0,'Données projet'!$E$14+1,1))-AVERAGE(OFFSET($H$3,0,0,'Données projet'!$E$14+1,1))</f>
        <v>116.35584360635318</v>
      </c>
      <c r="DU92" s="62">
        <f t="shared" si="98"/>
        <v>86.38226293640173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70.020909453584821</v>
      </c>
      <c r="EB92" s="23">
        <f>EXP(-LN(2)/25)*EB91+(1-EXP(-LN(2)/25))/(LN(2)/25)*Calculateur!DW92*Calculateur!DY92*VLOOKUP('Données projet'!$B$14,Paramètres!$A$1:$I$88,3,0)*0.475*44/12</f>
        <v>0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70.020909453584821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-40</v>
      </c>
      <c r="O93" s="14">
        <f>N93*VLOOKUP('Données projet'!$B$9,Paramètres!$A$1:$I$88,3,0)*VLOOKUP('Données projet'!$B$9,Paramètres!$A$1:$I$88,5,0)</f>
        <v>-18.72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82.229723373996478</v>
      </c>
      <c r="T93" s="62">
        <f t="shared" si="88"/>
        <v>115.86489547584461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63.537981594445441</v>
      </c>
      <c r="AA93" s="23">
        <f>EXP(-LN(2)/25)*AA92+(1-EXP(-LN(2)/25))/(LN(2)/25)*Calculateur!V93*Calculateur!X93*VLOOKUP('Données projet'!$B$9,Paramètres!$A$1:$I$88,3,0)*0.475*44/12</f>
        <v>10.323461884058021</v>
      </c>
      <c r="AB93" s="23">
        <f>EXP(-LN(2)/2)*AB92+(1-EXP(-LN(2)/2))/(LN(2)/2)*V93*Y93*VLOOKUP('Données projet'!$B$9,Paramètres!$A$1:$I$88,3,0)*0.475*44/12</f>
        <v>5.7138362619762865E-4</v>
      </c>
      <c r="AC93" s="24">
        <f t="shared" si="57"/>
        <v>73.862014862129655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262.78347246606825</v>
      </c>
      <c r="AO93" s="62">
        <f t="shared" si="90"/>
        <v>448.84541017639367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89.396428278169921</v>
      </c>
      <c r="AV93" s="23">
        <f>EXP(-LN(2)/25)*AV92+(1-EXP(-LN(2)/25))/(LN(2)/25)*Calculateur!AQ93*Calculateur!AS93*VLOOKUP('Données projet'!$B$10,Paramètres!$A$1:$I$88,3,0)*0.475*44/12</f>
        <v>16.569517773309521</v>
      </c>
      <c r="AW93" s="23">
        <f>EXP(-LN(2)/2)*AW92+(1-EXP(-LN(2)/2))/(LN(2)/2)*AQ93*AT93*VLOOKUP('Données projet'!$B$10,Paramètres!$A$1:$I$88,3,0)*0.475*44/12</f>
        <v>6.2056509146346125E-6</v>
      </c>
      <c r="AX93" s="23">
        <f t="shared" si="60"/>
        <v>105.96595225713037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projet'!$B$11,Paramètres!$A$1:$I$88,3,0)*VLOOKUP('Données projet'!$B$11,Paramètres!$A$1:$I$88,5,0)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135.14998708332445</v>
      </c>
      <c r="BJ93" s="62">
        <f t="shared" si="92"/>
        <v>245.50083454484513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53.888588382449377</v>
      </c>
      <c r="BQ93" s="23">
        <f>EXP(-LN(2)/25)*BQ92+(1-EXP(-LN(2)/25))/(LN(2)/25)*Calculateur!BL93*Calculateur!BN93*VLOOKUP('Données projet'!$B$11,Paramètres!$A$1:$I$88,3,0)*0.475*44/12</f>
        <v>15.937660507231609</v>
      </c>
      <c r="BR93" s="23">
        <f>EXP(-LN(2)/2)*BR92+(1-EXP(-LN(2)/2))/(LN(2)/2)*BL93*BO93*VLOOKUP('Données projet'!$B$11,Paramètres!$A$1:$I$88,3,0)*0.475*44/12</f>
        <v>1.6033824165327134E-5</v>
      </c>
      <c r="BS93" s="24">
        <f t="shared" si="63"/>
        <v>69.82626492350515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projet'!$B$12,Paramètres!$A$1:$I$88,3,0)*VLOOKUP('Données projet'!$B$12,Paramètres!$A$1:$I$88,5,0)</f>
        <v>6.7984728957526396E-14</v>
      </c>
      <c r="CA93" s="14">
        <f t="shared" si="93"/>
        <v>1.0682447123141398E-12</v>
      </c>
      <c r="CB93" s="22">
        <f t="shared" si="64"/>
        <v>1.978932943548152E-12</v>
      </c>
      <c r="CC93" s="62">
        <f t="shared" si="65"/>
        <v>293.3333333333353</v>
      </c>
      <c r="CD93" s="62">
        <f ca="1">AVERAGE(OFFSET($CC$3,0,0,'Données projet'!$E$12+1,1))-AVERAGE(OFFSET($H$3,0,0,'Données projet'!$E$12+1,1))</f>
        <v>168.16583766359378</v>
      </c>
      <c r="CE93" s="62">
        <f t="shared" si="94"/>
        <v>194.52809733694494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83.138963415409947</v>
      </c>
      <c r="CL93" s="23">
        <f>EXP(-LN(2)/25)*CL92+(1-EXP(-LN(2)/25))/(LN(2)/25)*Calculateur!CG93*Calculateur!CI93*VLOOKUP('Données projet'!$B$12,Paramètres!$A$1:$I$88,3,0)*0.475*44/12</f>
        <v>14.658629305883146</v>
      </c>
      <c r="CM93" s="23">
        <f>EXP(-LN(2)/2)*CM92+(1-EXP(-LN(2)/2))/(LN(2)/2)*CG93*CJ93*VLOOKUP('Données projet'!$B$12,Paramètres!$A$1:$I$88,3,0)*0.475*44/12</f>
        <v>8.310281373951888E-4</v>
      </c>
      <c r="CN93" s="24">
        <f t="shared" si="66"/>
        <v>97.798423749430484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projet'!$B$13,Paramètres!$A$1:$I$88,3,0)*VLOOKUP('Données projet'!$B$13,Paramètres!$A$1:$I$88,5,0)</f>
        <v>-4.9658410716801891E-14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146.09202487550647</v>
      </c>
      <c r="CZ93" s="62">
        <f t="shared" si="96"/>
        <v>168.58814676269344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57.13057569153063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57.13057569153063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1.7053025658242404E-13</v>
      </c>
      <c r="DP93" s="18">
        <f>DO93*VLOOKUP('Données projet'!$B$14,Paramètres!$A$1:$I$88,3,0)*VLOOKUP('Données projet'!$B$14,Paramètres!$A$1:$I$88,5,0)</f>
        <v>1.250327841262333E-13</v>
      </c>
      <c r="DQ93" s="14">
        <f t="shared" si="97"/>
        <v>1.8301318724634299E-12</v>
      </c>
      <c r="DR93" s="22">
        <f t="shared" si="70"/>
        <v>3.405245110226996E-12</v>
      </c>
      <c r="DS93" s="62">
        <f t="shared" si="71"/>
        <v>293.33333333333672</v>
      </c>
      <c r="DT93" s="62">
        <f ca="1">AVERAGE(OFFSET($DS$3,0,0,'Données projet'!$E$14+1,1))-AVERAGE(OFFSET($H$3,0,0,'Données projet'!$E$14+1,1))</f>
        <v>116.35584360635318</v>
      </c>
      <c r="DU93" s="62">
        <f t="shared" si="98"/>
        <v>86.38226293640173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68.647842127737675</v>
      </c>
      <c r="EB93" s="23">
        <f>EXP(-LN(2)/25)*EB92+(1-EXP(-LN(2)/25))/(LN(2)/25)*Calculateur!DW93*Calculateur!DY93*VLOOKUP('Données projet'!$B$14,Paramètres!$A$1:$I$88,3,0)*0.475*44/12</f>
        <v>0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68.647842127737675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-40</v>
      </c>
      <c r="O94" s="14">
        <f>N94*VLOOKUP('Données projet'!$B$9,Paramètres!$A$1:$I$88,3,0)*VLOOKUP('Données projet'!$B$9,Paramètres!$A$1:$I$88,5,0)</f>
        <v>-18.72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82.229723373996478</v>
      </c>
      <c r="T94" s="62">
        <f t="shared" si="88"/>
        <v>115.86489547584461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62.292040529720467</v>
      </c>
      <c r="AA94" s="23">
        <f>EXP(-LN(2)/25)*AA93+(1-EXP(-LN(2)/25))/(LN(2)/25)*Calculateur!V94*Calculateur!X94*VLOOKUP('Données projet'!$B$9,Paramètres!$A$1:$I$88,3,0)*0.475*44/12</f>
        <v>10.041166275951189</v>
      </c>
      <c r="AB94" s="23">
        <f>EXP(-LN(2)/2)*AB93+(1-EXP(-LN(2)/2))/(LN(2)/2)*V94*Y94*VLOOKUP('Données projet'!$B$9,Paramètres!$A$1:$I$88,3,0)*0.475*44/12</f>
        <v>4.0402923674330267E-4</v>
      </c>
      <c r="AC94" s="24">
        <f t="shared" si="57"/>
        <v>72.333610834908399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262.78347246606825</v>
      </c>
      <c r="AO94" s="62">
        <f t="shared" si="90"/>
        <v>448.84541017639367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87.643418846072223</v>
      </c>
      <c r="AV94" s="23">
        <f>EXP(-LN(2)/25)*AV93+(1-EXP(-LN(2)/25))/(LN(2)/25)*Calculateur!AQ94*Calculateur!AS94*VLOOKUP('Données projet'!$B$10,Paramètres!$A$1:$I$88,3,0)*0.475*44/12</f>
        <v>16.116423438445302</v>
      </c>
      <c r="AW94" s="23">
        <f>EXP(-LN(2)/2)*AW93+(1-EXP(-LN(2)/2))/(LN(2)/2)*AQ94*AT94*VLOOKUP('Données projet'!$B$10,Paramètres!$A$1:$I$88,3,0)*0.475*44/12</f>
        <v>4.3880578434146354E-6</v>
      </c>
      <c r="AX94" s="23">
        <f t="shared" si="60"/>
        <v>103.75984667257538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projet'!$B$11,Paramètres!$A$1:$I$88,3,0)*VLOOKUP('Données projet'!$B$11,Paramètres!$A$1:$I$88,5,0)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135.14998708332445</v>
      </c>
      <c r="BJ94" s="62">
        <f t="shared" si="92"/>
        <v>245.50083454484513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52.831866033062937</v>
      </c>
      <c r="BQ94" s="23">
        <f>EXP(-LN(2)/25)*BQ93+(1-EXP(-LN(2)/25))/(LN(2)/25)*Calculateur!BL94*Calculateur!BN94*VLOOKUP('Données projet'!$B$11,Paramètres!$A$1:$I$88,3,0)*0.475*44/12</f>
        <v>15.50184434253622</v>
      </c>
      <c r="BR94" s="23">
        <f>EXP(-LN(2)/2)*BR93+(1-EXP(-LN(2)/2))/(LN(2)/2)*BL94*BO94*VLOOKUP('Données projet'!$B$11,Paramètres!$A$1:$I$88,3,0)*0.475*44/12</f>
        <v>1.1337625795655552E-5</v>
      </c>
      <c r="BS94" s="24">
        <f t="shared" si="63"/>
        <v>68.333721713224946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projet'!$B$12,Paramètres!$A$1:$I$88,3,0)*VLOOKUP('Données projet'!$B$12,Paramètres!$A$1:$I$88,5,0)</f>
        <v>6.7984728957526396E-14</v>
      </c>
      <c r="CA94" s="14">
        <f t="shared" si="93"/>
        <v>1.0682447123141398E-12</v>
      </c>
      <c r="CB94" s="22">
        <f t="shared" si="64"/>
        <v>1.978932943548152E-12</v>
      </c>
      <c r="CC94" s="62">
        <f t="shared" si="65"/>
        <v>293.3333333333353</v>
      </c>
      <c r="CD94" s="62">
        <f ca="1">AVERAGE(OFFSET($CC$3,0,0,'Données projet'!$E$12+1,1))-AVERAGE(OFFSET($H$3,0,0,'Données projet'!$E$12+1,1))</f>
        <v>168.16583766359378</v>
      </c>
      <c r="CE94" s="62">
        <f t="shared" si="94"/>
        <v>194.52809733694494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81.508659052594268</v>
      </c>
      <c r="CL94" s="23">
        <f>EXP(-LN(2)/25)*CL93+(1-EXP(-LN(2)/25))/(LN(2)/25)*Calculateur!CG94*Calculateur!CI94*VLOOKUP('Données projet'!$B$12,Paramètres!$A$1:$I$88,3,0)*0.475*44/12</f>
        <v>14.257788316649959</v>
      </c>
      <c r="CM94" s="23">
        <f>EXP(-LN(2)/2)*CM93+(1-EXP(-LN(2)/2))/(LN(2)/2)*CG94*CJ94*VLOOKUP('Données projet'!$B$12,Paramètres!$A$1:$I$88,3,0)*0.475*44/12</f>
        <v>5.8762563130896391E-4</v>
      </c>
      <c r="CN94" s="24">
        <f t="shared" si="66"/>
        <v>95.767034994875544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projet'!$B$13,Paramètres!$A$1:$I$88,3,0)*VLOOKUP('Données projet'!$B$13,Paramètres!$A$1:$I$88,5,0)</f>
        <v>-4.9658410716801891E-14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146.09202487550647</v>
      </c>
      <c r="CZ94" s="62">
        <f t="shared" si="96"/>
        <v>168.58814676269344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56.01027994843011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56.01027994843011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1.7053025658242404E-13</v>
      </c>
      <c r="DP94" s="18">
        <f>DO94*VLOOKUP('Données projet'!$B$14,Paramètres!$A$1:$I$88,3,0)*VLOOKUP('Données projet'!$B$14,Paramètres!$A$1:$I$88,5,0)</f>
        <v>1.250327841262333E-13</v>
      </c>
      <c r="DQ94" s="14">
        <f t="shared" si="97"/>
        <v>1.8301318724634299E-12</v>
      </c>
      <c r="DR94" s="22">
        <f t="shared" si="70"/>
        <v>3.405245110226996E-12</v>
      </c>
      <c r="DS94" s="62">
        <f t="shared" si="71"/>
        <v>293.33333333333672</v>
      </c>
      <c r="DT94" s="62">
        <f ca="1">AVERAGE(OFFSET($DS$3,0,0,'Données projet'!$E$14+1,1))-AVERAGE(OFFSET($H$3,0,0,'Données projet'!$E$14+1,1))</f>
        <v>116.35584360635318</v>
      </c>
      <c r="DU94" s="62">
        <f t="shared" si="98"/>
        <v>86.38226293640173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67.301699814662015</v>
      </c>
      <c r="EB94" s="23">
        <f>EXP(-LN(2)/25)*EB93+(1-EXP(-LN(2)/25))/(LN(2)/25)*Calculateur!DW94*Calculateur!DY94*VLOOKUP('Données projet'!$B$14,Paramètres!$A$1:$I$88,3,0)*0.475*44/12</f>
        <v>0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67.301699814662015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-40</v>
      </c>
      <c r="O95" s="14">
        <f>N95*VLOOKUP('Données projet'!$B$9,Paramètres!$A$1:$I$88,3,0)*VLOOKUP('Données projet'!$B$9,Paramètres!$A$1:$I$88,5,0)</f>
        <v>-18.72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82.229723373996478</v>
      </c>
      <c r="T95" s="62">
        <f t="shared" si="88"/>
        <v>115.86489547584461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61.070531609325734</v>
      </c>
      <c r="AA95" s="23">
        <f>EXP(-LN(2)/25)*AA94+(1-EXP(-LN(2)/25))/(LN(2)/25)*Calculateur!V95*Calculateur!X95*VLOOKUP('Données projet'!$B$9,Paramètres!$A$1:$I$88,3,0)*0.475*44/12</f>
        <v>9.7665900560933192</v>
      </c>
      <c r="AB95" s="23">
        <f>EXP(-LN(2)/2)*AB94+(1-EXP(-LN(2)/2))/(LN(2)/2)*V95*Y95*VLOOKUP('Données projet'!$B$9,Paramètres!$A$1:$I$88,3,0)*0.475*44/12</f>
        <v>2.8569181309881432E-4</v>
      </c>
      <c r="AC95" s="24">
        <f t="shared" si="57"/>
        <v>70.837407357232152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262.78347246606825</v>
      </c>
      <c r="AO95" s="62">
        <f t="shared" si="90"/>
        <v>448.84541017639367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85.924784859707785</v>
      </c>
      <c r="AV95" s="23">
        <f>EXP(-LN(2)/25)*AV94+(1-EXP(-LN(2)/25))/(LN(2)/25)*Calculateur!AQ95*Calculateur!AS95*VLOOKUP('Données projet'!$B$10,Paramètres!$A$1:$I$88,3,0)*0.475*44/12</f>
        <v>15.675718991995142</v>
      </c>
      <c r="AW95" s="23">
        <f>EXP(-LN(2)/2)*AW94+(1-EXP(-LN(2)/2))/(LN(2)/2)*AQ95*AT95*VLOOKUP('Données projet'!$B$10,Paramètres!$A$1:$I$88,3,0)*0.475*44/12</f>
        <v>3.1028254573173063E-6</v>
      </c>
      <c r="AX95" s="23">
        <f t="shared" si="60"/>
        <v>101.60050695452838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projet'!$B$11,Paramètres!$A$1:$I$88,3,0)*VLOOKUP('Données projet'!$B$11,Paramètres!$A$1:$I$88,5,0)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135.14998708332445</v>
      </c>
      <c r="BJ95" s="62">
        <f t="shared" si="92"/>
        <v>245.50083454484513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51.795865364410972</v>
      </c>
      <c r="BQ95" s="23">
        <f>EXP(-LN(2)/25)*BQ94+(1-EXP(-LN(2)/25))/(LN(2)/25)*Calculateur!BL95*Calculateur!BN95*VLOOKUP('Données projet'!$B$11,Paramètres!$A$1:$I$88,3,0)*0.475*44/12</f>
        <v>15.077945593783003</v>
      </c>
      <c r="BR95" s="23">
        <f>EXP(-LN(2)/2)*BR94+(1-EXP(-LN(2)/2))/(LN(2)/2)*BL95*BO95*VLOOKUP('Données projet'!$B$11,Paramètres!$A$1:$I$88,3,0)*0.475*44/12</f>
        <v>8.0169120826635671E-6</v>
      </c>
      <c r="BS95" s="24">
        <f t="shared" si="63"/>
        <v>66.873818975106047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projet'!$B$12,Paramètres!$A$1:$I$88,3,0)*VLOOKUP('Données projet'!$B$12,Paramètres!$A$1:$I$88,5,0)</f>
        <v>6.7984728957526396E-14</v>
      </c>
      <c r="CA95" s="14">
        <f t="shared" si="93"/>
        <v>1.0682447123141398E-12</v>
      </c>
      <c r="CB95" s="22">
        <f t="shared" si="64"/>
        <v>1.978932943548152E-12</v>
      </c>
      <c r="CC95" s="62">
        <f t="shared" si="65"/>
        <v>293.3333333333353</v>
      </c>
      <c r="CD95" s="62">
        <f ca="1">AVERAGE(OFFSET($CC$3,0,0,'Données projet'!$E$12+1,1))-AVERAGE(OFFSET($H$3,0,0,'Données projet'!$E$12+1,1))</f>
        <v>168.16583766359378</v>
      </c>
      <c r="CE95" s="62">
        <f t="shared" si="94"/>
        <v>194.52809733694494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79.910323963945928</v>
      </c>
      <c r="CL95" s="23">
        <f>EXP(-LN(2)/25)*CL94+(1-EXP(-LN(2)/25))/(LN(2)/25)*Calculateur!CG95*Calculateur!CI95*VLOOKUP('Données projet'!$B$12,Paramètres!$A$1:$I$88,3,0)*0.475*44/12</f>
        <v>13.867908345346665</v>
      </c>
      <c r="CM95" s="23">
        <f>EXP(-LN(2)/2)*CM94+(1-EXP(-LN(2)/2))/(LN(2)/2)*CG95*CJ95*VLOOKUP('Données projet'!$B$12,Paramètres!$A$1:$I$88,3,0)*0.475*44/12</f>
        <v>4.155140686975944E-4</v>
      </c>
      <c r="CN95" s="24">
        <f t="shared" si="66"/>
        <v>93.778647823361283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projet'!$B$13,Paramètres!$A$1:$I$88,3,0)*VLOOKUP('Données projet'!$B$13,Paramètres!$A$1:$I$88,5,0)</f>
        <v>-4.9658410716801891E-14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146.09202487550647</v>
      </c>
      <c r="CZ95" s="62">
        <f t="shared" si="96"/>
        <v>168.58814676269344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54.911952521538858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54.911952521538858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1.7053025658242404E-13</v>
      </c>
      <c r="DP95" s="18">
        <f>DO95*VLOOKUP('Données projet'!$B$14,Paramètres!$A$1:$I$88,3,0)*VLOOKUP('Données projet'!$B$14,Paramètres!$A$1:$I$88,5,0)</f>
        <v>1.250327841262333E-13</v>
      </c>
      <c r="DQ95" s="14">
        <f t="shared" si="97"/>
        <v>1.8301318724634299E-12</v>
      </c>
      <c r="DR95" s="22">
        <f t="shared" si="70"/>
        <v>3.405245110226996E-12</v>
      </c>
      <c r="DS95" s="62">
        <f t="shared" si="71"/>
        <v>293.33333333333672</v>
      </c>
      <c r="DT95" s="62">
        <f ca="1">AVERAGE(OFFSET($DS$3,0,0,'Données projet'!$E$14+1,1))-AVERAGE(OFFSET($H$3,0,0,'Données projet'!$E$14+1,1))</f>
        <v>116.35584360635318</v>
      </c>
      <c r="DU95" s="62">
        <f t="shared" si="98"/>
        <v>86.38226293640173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65.981954531280024</v>
      </c>
      <c r="EB95" s="23">
        <f>EXP(-LN(2)/25)*EB94+(1-EXP(-LN(2)/25))/(LN(2)/25)*Calculateur!DW95*Calculateur!DY95*VLOOKUP('Données projet'!$B$14,Paramètres!$A$1:$I$88,3,0)*0.475*44/12</f>
        <v>0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65.981954531280024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-40</v>
      </c>
      <c r="O96" s="14">
        <f>N96*VLOOKUP('Données projet'!$B$9,Paramètres!$A$1:$I$88,3,0)*VLOOKUP('Données projet'!$B$9,Paramètres!$A$1:$I$88,5,0)</f>
        <v>-18.72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82.229723373996478</v>
      </c>
      <c r="T96" s="62">
        <f t="shared" si="88"/>
        <v>115.86489547584461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59.872975733813071</v>
      </c>
      <c r="AA96" s="23">
        <f>EXP(-LN(2)/25)*AA95+(1-EXP(-LN(2)/25))/(LN(2)/25)*Calculateur!V96*Calculateur!X96*VLOOKUP('Données projet'!$B$9,Paramètres!$A$1:$I$88,3,0)*0.475*44/12</f>
        <v>9.4995221374067977</v>
      </c>
      <c r="AB96" s="23">
        <f>EXP(-LN(2)/2)*AB95+(1-EXP(-LN(2)/2))/(LN(2)/2)*V96*Y96*VLOOKUP('Données projet'!$B$9,Paramètres!$A$1:$I$88,3,0)*0.475*44/12</f>
        <v>2.0201461837165134E-4</v>
      </c>
      <c r="AC96" s="24">
        <f t="shared" si="57"/>
        <v>69.37269988583823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262.78347246606825</v>
      </c>
      <c r="AO96" s="62">
        <f t="shared" si="90"/>
        <v>448.84541017639367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84.239852237552725</v>
      </c>
      <c r="AV96" s="23">
        <f>EXP(-LN(2)/25)*AV95+(1-EXP(-LN(2)/25))/(LN(2)/25)*Calculateur!AQ96*Calculateur!AS96*VLOOKUP('Données projet'!$B$10,Paramètres!$A$1:$I$88,3,0)*0.475*44/12</f>
        <v>15.2470656318088</v>
      </c>
      <c r="AW96" s="23">
        <f>EXP(-LN(2)/2)*AW95+(1-EXP(-LN(2)/2))/(LN(2)/2)*AQ96*AT96*VLOOKUP('Données projet'!$B$10,Paramètres!$A$1:$I$88,3,0)*0.475*44/12</f>
        <v>2.1940289217073177E-6</v>
      </c>
      <c r="AX96" s="23">
        <f t="shared" si="60"/>
        <v>99.486920063390443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projet'!$B$11,Paramètres!$A$1:$I$88,3,0)*VLOOKUP('Données projet'!$B$11,Paramètres!$A$1:$I$88,5,0)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135.14998708332445</v>
      </c>
      <c r="BJ96" s="62">
        <f t="shared" si="92"/>
        <v>245.50083454484513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50.780180036973256</v>
      </c>
      <c r="BQ96" s="23">
        <f>EXP(-LN(2)/25)*BQ95+(1-EXP(-LN(2)/25))/(LN(2)/25)*Calculateur!BL96*Calculateur!BN96*VLOOKUP('Données projet'!$B$11,Paramètres!$A$1:$I$88,3,0)*0.475*44/12</f>
        <v>14.665638378606308</v>
      </c>
      <c r="BR96" s="23">
        <f>EXP(-LN(2)/2)*BR95+(1-EXP(-LN(2)/2))/(LN(2)/2)*BL96*BO96*VLOOKUP('Données projet'!$B$11,Paramètres!$A$1:$I$88,3,0)*0.475*44/12</f>
        <v>5.668812897827776E-6</v>
      </c>
      <c r="BS96" s="24">
        <f t="shared" si="63"/>
        <v>65.44582408439247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projet'!$B$12,Paramètres!$A$1:$I$88,3,0)*VLOOKUP('Données projet'!$B$12,Paramètres!$A$1:$I$88,5,0)</f>
        <v>6.7984728957526396E-14</v>
      </c>
      <c r="CA96" s="14">
        <f t="shared" si="93"/>
        <v>1.0682447123141398E-12</v>
      </c>
      <c r="CB96" s="22">
        <f t="shared" si="64"/>
        <v>1.978932943548152E-12</v>
      </c>
      <c r="CC96" s="62">
        <f t="shared" si="65"/>
        <v>293.3333333333353</v>
      </c>
      <c r="CD96" s="62">
        <f ca="1">AVERAGE(OFFSET($CC$3,0,0,'Données projet'!$E$12+1,1))-AVERAGE(OFFSET($H$3,0,0,'Données projet'!$E$12+1,1))</f>
        <v>168.16583766359378</v>
      </c>
      <c r="CE96" s="62">
        <f t="shared" si="94"/>
        <v>194.52809733694494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78.343331251497844</v>
      </c>
      <c r="CL96" s="23">
        <f>EXP(-LN(2)/25)*CL95+(1-EXP(-LN(2)/25))/(LN(2)/25)*Calculateur!CG96*Calculateur!CI96*VLOOKUP('Données projet'!$B$12,Paramètres!$A$1:$I$88,3,0)*0.475*44/12</f>
        <v>13.488689662361557</v>
      </c>
      <c r="CM96" s="23">
        <f>EXP(-LN(2)/2)*CM95+(1-EXP(-LN(2)/2))/(LN(2)/2)*CG96*CJ96*VLOOKUP('Données projet'!$B$12,Paramètres!$A$1:$I$88,3,0)*0.475*44/12</f>
        <v>2.9381281565448196E-4</v>
      </c>
      <c r="CN96" s="24">
        <f t="shared" si="66"/>
        <v>91.832314726675051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projet'!$B$13,Paramètres!$A$1:$I$88,3,0)*VLOOKUP('Données projet'!$B$13,Paramètres!$A$1:$I$88,5,0)</f>
        <v>-4.9658410716801891E-14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146.09202487550647</v>
      </c>
      <c r="CZ96" s="62">
        <f t="shared" si="96"/>
        <v>168.58814676269344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53.835162625575364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53.835162625575364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1.7053025658242404E-13</v>
      </c>
      <c r="DP96" s="18">
        <f>DO96*VLOOKUP('Données projet'!$B$14,Paramètres!$A$1:$I$88,3,0)*VLOOKUP('Données projet'!$B$14,Paramètres!$A$1:$I$88,5,0)</f>
        <v>1.250327841262333E-13</v>
      </c>
      <c r="DQ96" s="14">
        <f t="shared" si="97"/>
        <v>1.8301318724634299E-12</v>
      </c>
      <c r="DR96" s="22">
        <f t="shared" si="70"/>
        <v>3.405245110226996E-12</v>
      </c>
      <c r="DS96" s="62">
        <f t="shared" si="71"/>
        <v>293.33333333333672</v>
      </c>
      <c r="DT96" s="62">
        <f ca="1">AVERAGE(OFFSET($DS$3,0,0,'Données projet'!$E$14+1,1))-AVERAGE(OFFSET($H$3,0,0,'Données projet'!$E$14+1,1))</f>
        <v>116.35584360635318</v>
      </c>
      <c r="DU96" s="62">
        <f t="shared" si="98"/>
        <v>86.38226293640173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64.68808864794002</v>
      </c>
      <c r="EB96" s="23">
        <f>EXP(-LN(2)/25)*EB95+(1-EXP(-LN(2)/25))/(LN(2)/25)*Calculateur!DW96*Calculateur!DY96*VLOOKUP('Données projet'!$B$14,Paramètres!$A$1:$I$88,3,0)*0.475*44/12</f>
        <v>0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64.68808864794002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-40</v>
      </c>
      <c r="O97" s="14">
        <f>N97*VLOOKUP('Données projet'!$B$9,Paramètres!$A$1:$I$88,3,0)*VLOOKUP('Données projet'!$B$9,Paramètres!$A$1:$I$88,5,0)</f>
        <v>-18.72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82.229723373996478</v>
      </c>
      <c r="T97" s="62">
        <f t="shared" si="88"/>
        <v>115.86489547584461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58.698903198582251</v>
      </c>
      <c r="AA97" s="23">
        <f>EXP(-LN(2)/25)*AA96+(1-EXP(-LN(2)/25))/(LN(2)/25)*Calculateur!V97*Calculateur!X97*VLOOKUP('Données projet'!$B$9,Paramètres!$A$1:$I$88,3,0)*0.475*44/12</f>
        <v>9.2397572050012506</v>
      </c>
      <c r="AB97" s="23">
        <f>EXP(-LN(2)/2)*AB96+(1-EXP(-LN(2)/2))/(LN(2)/2)*V97*Y97*VLOOKUP('Données projet'!$B$9,Paramètres!$A$1:$I$88,3,0)*0.475*44/12</f>
        <v>1.4284590654940716E-4</v>
      </c>
      <c r="AC97" s="24">
        <f t="shared" si="57"/>
        <v>67.93880324949005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262.78347246606825</v>
      </c>
      <c r="AO97" s="62">
        <f t="shared" si="90"/>
        <v>448.84541017639367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82.587960116410699</v>
      </c>
      <c r="AV97" s="23">
        <f>EXP(-LN(2)/25)*AV96+(1-EXP(-LN(2)/25))/(LN(2)/25)*Calculateur!AQ97*Calculateur!AS97*VLOOKUP('Données projet'!$B$10,Paramètres!$A$1:$I$88,3,0)*0.475*44/12</f>
        <v>14.830133820298654</v>
      </c>
      <c r="AW97" s="23">
        <f>EXP(-LN(2)/2)*AW96+(1-EXP(-LN(2)/2))/(LN(2)/2)*AQ97*AT97*VLOOKUP('Données projet'!$B$10,Paramètres!$A$1:$I$88,3,0)*0.475*44/12</f>
        <v>1.5514127286586531E-6</v>
      </c>
      <c r="AX97" s="23">
        <f t="shared" si="60"/>
        <v>97.418095488122077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projet'!$B$11,Paramètres!$A$1:$I$88,3,0)*VLOOKUP('Données projet'!$B$11,Paramètres!$A$1:$I$88,5,0)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135.14998708332445</v>
      </c>
      <c r="BJ97" s="62">
        <f t="shared" si="92"/>
        <v>245.50083454484513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49.784411679299716</v>
      </c>
      <c r="BQ97" s="23">
        <f>EXP(-LN(2)/25)*BQ96+(1-EXP(-LN(2)/25))/(LN(2)/25)*Calculateur!BL97*Calculateur!BN97*VLOOKUP('Données projet'!$B$11,Paramètres!$A$1:$I$88,3,0)*0.475*44/12</f>
        <v>14.264605725910915</v>
      </c>
      <c r="BR97" s="23">
        <f>EXP(-LN(2)/2)*BR96+(1-EXP(-LN(2)/2))/(LN(2)/2)*BL97*BO97*VLOOKUP('Données projet'!$B$11,Paramètres!$A$1:$I$88,3,0)*0.475*44/12</f>
        <v>4.0084560413317836E-6</v>
      </c>
      <c r="BS97" s="24">
        <f t="shared" si="63"/>
        <v>64.049021413666679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projet'!$B$12,Paramètres!$A$1:$I$88,3,0)*VLOOKUP('Données projet'!$B$12,Paramètres!$A$1:$I$88,5,0)</f>
        <v>6.7984728957526396E-14</v>
      </c>
      <c r="CA97" s="14">
        <f t="shared" si="93"/>
        <v>1.0682447123141398E-12</v>
      </c>
      <c r="CB97" s="22">
        <f t="shared" si="64"/>
        <v>1.978932943548152E-12</v>
      </c>
      <c r="CC97" s="62">
        <f t="shared" si="65"/>
        <v>293.3333333333353</v>
      </c>
      <c r="CD97" s="62">
        <f ca="1">AVERAGE(OFFSET($CC$3,0,0,'Données projet'!$E$12+1,1))-AVERAGE(OFFSET($H$3,0,0,'Données projet'!$E$12+1,1))</f>
        <v>168.16583766359378</v>
      </c>
      <c r="CE97" s="62">
        <f t="shared" si="94"/>
        <v>194.52809733694494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76.807066310369692</v>
      </c>
      <c r="CL97" s="23">
        <f>EXP(-LN(2)/25)*CL96+(1-EXP(-LN(2)/25))/(LN(2)/25)*Calculateur!CG97*Calculateur!CI97*VLOOKUP('Données projet'!$B$12,Paramètres!$A$1:$I$88,3,0)*0.475*44/12</f>
        <v>13.119840734204919</v>
      </c>
      <c r="CM97" s="23">
        <f>EXP(-LN(2)/2)*CM96+(1-EXP(-LN(2)/2))/(LN(2)/2)*CG97*CJ97*VLOOKUP('Données projet'!$B$12,Paramètres!$A$1:$I$88,3,0)*0.475*44/12</f>
        <v>2.077570343487972E-4</v>
      </c>
      <c r="CN97" s="24">
        <f t="shared" si="66"/>
        <v>89.927114801608951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projet'!$B$13,Paramètres!$A$1:$I$88,3,0)*VLOOKUP('Données projet'!$B$13,Paramètres!$A$1:$I$88,5,0)</f>
        <v>-4.9658410716801891E-14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146.09202487550647</v>
      </c>
      <c r="CZ97" s="62">
        <f t="shared" si="96"/>
        <v>168.58814676269344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52.779487922694727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52.779487922694727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1.7053025658242404E-13</v>
      </c>
      <c r="DP97" s="18">
        <f>DO97*VLOOKUP('Données projet'!$B$14,Paramètres!$A$1:$I$88,3,0)*VLOOKUP('Données projet'!$B$14,Paramètres!$A$1:$I$88,5,0)</f>
        <v>1.250327841262333E-13</v>
      </c>
      <c r="DQ97" s="14">
        <f t="shared" si="97"/>
        <v>1.8301318724634299E-12</v>
      </c>
      <c r="DR97" s="22">
        <f t="shared" si="70"/>
        <v>3.405245110226996E-12</v>
      </c>
      <c r="DS97" s="62">
        <f t="shared" si="71"/>
        <v>293.33333333333672</v>
      </c>
      <c r="DT97" s="62">
        <f ca="1">AVERAGE(OFFSET($DS$3,0,0,'Données projet'!$E$14+1,1))-AVERAGE(OFFSET($H$3,0,0,'Données projet'!$E$14+1,1))</f>
        <v>116.35584360635318</v>
      </c>
      <c r="DU97" s="62">
        <f t="shared" si="98"/>
        <v>86.38226293640173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63.419594685392049</v>
      </c>
      <c r="EB97" s="23">
        <f>EXP(-LN(2)/25)*EB96+(1-EXP(-LN(2)/25))/(LN(2)/25)*Calculateur!DW97*Calculateur!DY97*VLOOKUP('Données projet'!$B$14,Paramètres!$A$1:$I$88,3,0)*0.475*44/12</f>
        <v>0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63.419594685392049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-40</v>
      </c>
      <c r="O98" s="14">
        <f>N98*VLOOKUP('Données projet'!$B$9,Paramètres!$A$1:$I$88,3,0)*VLOOKUP('Données projet'!$B$9,Paramètres!$A$1:$I$88,5,0)</f>
        <v>-18.72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82.229723373996478</v>
      </c>
      <c r="T98" s="62">
        <f t="shared" si="88"/>
        <v>115.86489547584461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57.54785350965377</v>
      </c>
      <c r="AA98" s="23">
        <f>EXP(-LN(2)/25)*AA97+(1-EXP(-LN(2)/25))/(LN(2)/25)*Calculateur!V98*Calculateur!X98*VLOOKUP('Données projet'!$B$9,Paramètres!$A$1:$I$88,3,0)*0.475*44/12</f>
        <v>8.9870955583327774</v>
      </c>
      <c r="AB98" s="23">
        <f>EXP(-LN(2)/2)*AB97+(1-EXP(-LN(2)/2))/(LN(2)/2)*V98*Y98*VLOOKUP('Données projet'!$B$9,Paramètres!$A$1:$I$88,3,0)*0.475*44/12</f>
        <v>1.0100730918582567E-4</v>
      </c>
      <c r="AC98" s="24">
        <f t="shared" si="57"/>
        <v>66.535050075295729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262.78347246606825</v>
      </c>
      <c r="AO98" s="62">
        <f t="shared" si="90"/>
        <v>448.84541017639367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80.968460592209567</v>
      </c>
      <c r="AV98" s="23">
        <f>EXP(-LN(2)/25)*AV97+(1-EXP(-LN(2)/25))/(LN(2)/25)*Calculateur!AQ98*Calculateur!AS98*VLOOKUP('Données projet'!$B$10,Paramètres!$A$1:$I$88,3,0)*0.475*44/12</f>
        <v>14.424603031099744</v>
      </c>
      <c r="AW98" s="23">
        <f>EXP(-LN(2)/2)*AW97+(1-EXP(-LN(2)/2))/(LN(2)/2)*AQ98*AT98*VLOOKUP('Données projet'!$B$10,Paramètres!$A$1:$I$88,3,0)*0.475*44/12</f>
        <v>1.0970144608536588E-6</v>
      </c>
      <c r="AX98" s="23">
        <f t="shared" si="60"/>
        <v>95.393064720323778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projet'!$B$11,Paramètres!$A$1:$I$88,3,0)*VLOOKUP('Données projet'!$B$11,Paramètres!$A$1:$I$88,5,0)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135.14998708332445</v>
      </c>
      <c r="BJ98" s="62">
        <f t="shared" si="92"/>
        <v>245.50083454484513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48.808169731761431</v>
      </c>
      <c r="BQ98" s="23">
        <f>EXP(-LN(2)/25)*BQ97+(1-EXP(-LN(2)/25))/(LN(2)/25)*Calculateur!BL98*Calculateur!BN98*VLOOKUP('Données projet'!$B$11,Paramètres!$A$1:$I$88,3,0)*0.475*44/12</f>
        <v>13.874539332192867</v>
      </c>
      <c r="BR98" s="23">
        <f>EXP(-LN(2)/2)*BR97+(1-EXP(-LN(2)/2))/(LN(2)/2)*BL98*BO98*VLOOKUP('Données projet'!$B$11,Paramètres!$A$1:$I$88,3,0)*0.475*44/12</f>
        <v>2.834406448913888E-6</v>
      </c>
      <c r="BS98" s="24">
        <f t="shared" si="63"/>
        <v>62.682711898360751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projet'!$B$12,Paramètres!$A$1:$I$88,3,0)*VLOOKUP('Données projet'!$B$12,Paramètres!$A$1:$I$88,5,0)</f>
        <v>6.7984728957526396E-14</v>
      </c>
      <c r="CA98" s="14">
        <f t="shared" si="93"/>
        <v>1.0682447123141398E-12</v>
      </c>
      <c r="CB98" s="22">
        <f t="shared" si="64"/>
        <v>1.978932943548152E-12</v>
      </c>
      <c r="CC98" s="62">
        <f t="shared" si="65"/>
        <v>293.3333333333353</v>
      </c>
      <c r="CD98" s="62">
        <f ca="1">AVERAGE(OFFSET($CC$3,0,0,'Données projet'!$E$12+1,1))-AVERAGE(OFFSET($H$3,0,0,'Données projet'!$E$12+1,1))</f>
        <v>168.16583766359378</v>
      </c>
      <c r="CE98" s="62">
        <f t="shared" si="94"/>
        <v>194.52809733694494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75.300926587707963</v>
      </c>
      <c r="CL98" s="23">
        <f>EXP(-LN(2)/25)*CL97+(1-EXP(-LN(2)/25))/(LN(2)/25)*Calculateur!CG98*Calculateur!CI98*VLOOKUP('Données projet'!$B$12,Paramètres!$A$1:$I$88,3,0)*0.475*44/12</f>
        <v>12.761077999385646</v>
      </c>
      <c r="CM98" s="23">
        <f>EXP(-LN(2)/2)*CM97+(1-EXP(-LN(2)/2))/(LN(2)/2)*CG98*CJ98*VLOOKUP('Données projet'!$B$12,Paramètres!$A$1:$I$88,3,0)*0.475*44/12</f>
        <v>1.4690640782724098E-4</v>
      </c>
      <c r="CN98" s="24">
        <f t="shared" si="66"/>
        <v>88.062151493501432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projet'!$B$13,Paramètres!$A$1:$I$88,3,0)*VLOOKUP('Données projet'!$B$13,Paramètres!$A$1:$I$88,5,0)</f>
        <v>-4.9658410716801891E-14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146.09202487550647</v>
      </c>
      <c r="CZ98" s="62">
        <f t="shared" si="96"/>
        <v>168.58814676269344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51.744514356839588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51.744514356839588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1.7053025658242404E-13</v>
      </c>
      <c r="DP98" s="18">
        <f>DO98*VLOOKUP('Données projet'!$B$14,Paramètres!$A$1:$I$88,3,0)*VLOOKUP('Données projet'!$B$14,Paramètres!$A$1:$I$88,5,0)</f>
        <v>1.250327841262333E-13</v>
      </c>
      <c r="DQ98" s="14">
        <f t="shared" si="97"/>
        <v>1.8301318724634299E-12</v>
      </c>
      <c r="DR98" s="22">
        <f t="shared" si="70"/>
        <v>3.405245110226996E-12</v>
      </c>
      <c r="DS98" s="62">
        <f t="shared" si="71"/>
        <v>293.33333333333672</v>
      </c>
      <c r="DT98" s="62">
        <f ca="1">AVERAGE(OFFSET($DS$3,0,0,'Données projet'!$E$14+1,1))-AVERAGE(OFFSET($H$3,0,0,'Données projet'!$E$14+1,1))</f>
        <v>116.35584360635318</v>
      </c>
      <c r="DU98" s="62">
        <f t="shared" si="98"/>
        <v>86.38226293640173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62.175975115744727</v>
      </c>
      <c r="EB98" s="23">
        <f>EXP(-LN(2)/25)*EB97+(1-EXP(-LN(2)/25))/(LN(2)/25)*Calculateur!DW98*Calculateur!DY98*VLOOKUP('Données projet'!$B$14,Paramètres!$A$1:$I$88,3,0)*0.475*44/12</f>
        <v>0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62.175975115744727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-40</v>
      </c>
      <c r="O99" s="14">
        <f>N99*VLOOKUP('Données projet'!$B$9,Paramètres!$A$1:$I$88,3,0)*VLOOKUP('Données projet'!$B$9,Paramètres!$A$1:$I$88,5,0)</f>
        <v>-18.72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82.229723373996478</v>
      </c>
      <c r="T99" s="62">
        <f t="shared" si="88"/>
        <v>115.86489547584461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56.419375203054194</v>
      </c>
      <c r="AA99" s="23">
        <f>EXP(-LN(2)/25)*AA98+(1-EXP(-LN(2)/25))/(LN(2)/25)*Calculateur!V99*Calculateur!X99*VLOOKUP('Données projet'!$B$9,Paramètres!$A$1:$I$88,3,0)*0.475*44/12</f>
        <v>8.7413429576793522</v>
      </c>
      <c r="AB99" s="23">
        <f>EXP(-LN(2)/2)*AB98+(1-EXP(-LN(2)/2))/(LN(2)/2)*V99*Y99*VLOOKUP('Données projet'!$B$9,Paramètres!$A$1:$I$88,3,0)*0.475*44/12</f>
        <v>7.1422953274703581E-5</v>
      </c>
      <c r="AC99" s="24">
        <f t="shared" si="57"/>
        <v>65.160789583686821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262.78347246606825</v>
      </c>
      <c r="AO99" s="62">
        <f t="shared" si="90"/>
        <v>448.84541017639367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79.380718465880847</v>
      </c>
      <c r="AV99" s="23">
        <f>EXP(-LN(2)/25)*AV98+(1-EXP(-LN(2)/25))/(LN(2)/25)*Calculateur!AQ99*Calculateur!AS99*VLOOKUP('Données projet'!$B$10,Paramètres!$A$1:$I$88,3,0)*0.475*44/12</f>
        <v>14.030161502657416</v>
      </c>
      <c r="AW99" s="23">
        <f>EXP(-LN(2)/2)*AW98+(1-EXP(-LN(2)/2))/(LN(2)/2)*AQ99*AT99*VLOOKUP('Données projet'!$B$10,Paramètres!$A$1:$I$88,3,0)*0.475*44/12</f>
        <v>7.7570636432932656E-7</v>
      </c>
      <c r="AX99" s="23">
        <f t="shared" si="60"/>
        <v>93.410880744244636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projet'!$B$11,Paramètres!$A$1:$I$88,3,0)*VLOOKUP('Données projet'!$B$11,Paramètres!$A$1:$I$88,5,0)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135.14998708332445</v>
      </c>
      <c r="BJ99" s="62">
        <f t="shared" si="92"/>
        <v>245.50083454484513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47.851071293365578</v>
      </c>
      <c r="BQ99" s="23">
        <f>EXP(-LN(2)/25)*BQ98+(1-EXP(-LN(2)/25))/(LN(2)/25)*Calculateur!BL99*Calculateur!BN99*VLOOKUP('Données projet'!$B$11,Paramètres!$A$1:$I$88,3,0)*0.475*44/12</f>
        <v>13.495139324523741</v>
      </c>
      <c r="BR99" s="23">
        <f>EXP(-LN(2)/2)*BR98+(1-EXP(-LN(2)/2))/(LN(2)/2)*BL99*BO99*VLOOKUP('Données projet'!$B$11,Paramètres!$A$1:$I$88,3,0)*0.475*44/12</f>
        <v>2.0042280206658918E-6</v>
      </c>
      <c r="BS99" s="24">
        <f t="shared" si="63"/>
        <v>61.346212622117342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projet'!$B$12,Paramètres!$A$1:$I$88,3,0)*VLOOKUP('Données projet'!$B$12,Paramètres!$A$1:$I$88,5,0)</f>
        <v>6.7984728957526396E-14</v>
      </c>
      <c r="CA99" s="14">
        <f t="shared" si="93"/>
        <v>1.0682447123141398E-12</v>
      </c>
      <c r="CB99" s="22">
        <f t="shared" si="64"/>
        <v>1.978932943548152E-12</v>
      </c>
      <c r="CC99" s="62">
        <f t="shared" si="65"/>
        <v>293.3333333333353</v>
      </c>
      <c r="CD99" s="62">
        <f ca="1">AVERAGE(OFFSET($CC$3,0,0,'Données projet'!$E$12+1,1))-AVERAGE(OFFSET($H$3,0,0,'Données projet'!$E$12+1,1))</f>
        <v>168.16583766359378</v>
      </c>
      <c r="CE99" s="62">
        <f t="shared" si="94"/>
        <v>194.52809733694494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73.824321346353116</v>
      </c>
      <c r="CL99" s="23">
        <f>EXP(-LN(2)/25)*CL98+(1-EXP(-LN(2)/25))/(LN(2)/25)*Calculateur!CG99*Calculateur!CI99*VLOOKUP('Données projet'!$B$12,Paramètres!$A$1:$I$88,3,0)*0.475*44/12</f>
        <v>12.41212565041652</v>
      </c>
      <c r="CM99" s="23">
        <f>EXP(-LN(2)/2)*CM98+(1-EXP(-LN(2)/2))/(LN(2)/2)*CG99*CJ99*VLOOKUP('Données projet'!$B$12,Paramètres!$A$1:$I$88,3,0)*0.475*44/12</f>
        <v>1.038785171743986E-4</v>
      </c>
      <c r="CN99" s="24">
        <f t="shared" si="66"/>
        <v>86.236550875286824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projet'!$B$13,Paramètres!$A$1:$I$88,3,0)*VLOOKUP('Données projet'!$B$13,Paramètres!$A$1:$I$88,5,0)</f>
        <v>-4.9658410716801891E-14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146.09202487550647</v>
      </c>
      <c r="CZ99" s="62">
        <f t="shared" si="96"/>
        <v>168.58814676269344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50.729835991339328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50.729835991339328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1.7053025658242404E-13</v>
      </c>
      <c r="DP99" s="18">
        <f>DO99*VLOOKUP('Données projet'!$B$14,Paramètres!$A$1:$I$88,3,0)*VLOOKUP('Données projet'!$B$14,Paramètres!$A$1:$I$88,5,0)</f>
        <v>1.250327841262333E-13</v>
      </c>
      <c r="DQ99" s="14">
        <f t="shared" si="97"/>
        <v>1.8301318724634299E-12</v>
      </c>
      <c r="DR99" s="22">
        <f t="shared" si="70"/>
        <v>3.405245110226996E-12</v>
      </c>
      <c r="DS99" s="62">
        <f t="shared" si="71"/>
        <v>293.33333333333672</v>
      </c>
      <c r="DT99" s="62">
        <f ca="1">AVERAGE(OFFSET($DS$3,0,0,'Données projet'!$E$14+1,1))-AVERAGE(OFFSET($H$3,0,0,'Données projet'!$E$14+1,1))</f>
        <v>116.35584360635318</v>
      </c>
      <c r="DU99" s="62">
        <f t="shared" si="98"/>
        <v>86.38226293640173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60.956742167325146</v>
      </c>
      <c r="EB99" s="23">
        <f>EXP(-LN(2)/25)*EB98+(1-EXP(-LN(2)/25))/(LN(2)/25)*Calculateur!DW99*Calculateur!DY99*VLOOKUP('Données projet'!$B$14,Paramètres!$A$1:$I$88,3,0)*0.475*44/12</f>
        <v>0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60.956742167325146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-40</v>
      </c>
      <c r="O100" s="14">
        <f>N100*VLOOKUP('Données projet'!$B$9,Paramètres!$A$1:$I$88,3,0)*VLOOKUP('Données projet'!$B$9,Paramètres!$A$1:$I$88,5,0)</f>
        <v>-18.72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82.229723373996478</v>
      </c>
      <c r="T100" s="62">
        <f t="shared" si="88"/>
        <v>115.86489547584461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55.313025667743233</v>
      </c>
      <c r="AA100" s="23">
        <f>EXP(-LN(2)/25)*AA99+(1-EXP(-LN(2)/25))/(LN(2)/25)*Calculateur!V100*Calculateur!X100*VLOOKUP('Données projet'!$B$9,Paramètres!$A$1:$I$88,3,0)*0.475*44/12</f>
        <v>8.5023104748143634</v>
      </c>
      <c r="AB100" s="23">
        <f>EXP(-LN(2)/2)*AB99+(1-EXP(-LN(2)/2))/(LN(2)/2)*V100*Y100*VLOOKUP('Données projet'!$B$9,Paramètres!$A$1:$I$88,3,0)*0.475*44/12</f>
        <v>5.0503654592912834E-5</v>
      </c>
      <c r="AC100" s="24">
        <f t="shared" si="57"/>
        <v>63.81538664621219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262.78347246606825</v>
      </c>
      <c r="AO100" s="62">
        <f t="shared" si="90"/>
        <v>448.84541017639367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77.824110994222366</v>
      </c>
      <c r="AV100" s="23">
        <f>EXP(-LN(2)/25)*AV99+(1-EXP(-LN(2)/25))/(LN(2)/25)*Calculateur!AQ100*Calculateur!AS100*VLOOKUP('Données projet'!$B$10,Paramètres!$A$1:$I$88,3,0)*0.475*44/12</f>
        <v>13.646505998553122</v>
      </c>
      <c r="AW100" s="23">
        <f>EXP(-LN(2)/2)*AW99+(1-EXP(-LN(2)/2))/(LN(2)/2)*AQ100*AT100*VLOOKUP('Données projet'!$B$10,Paramètres!$A$1:$I$88,3,0)*0.475*44/12</f>
        <v>5.4850723042682942E-7</v>
      </c>
      <c r="AX100" s="23">
        <f t="shared" si="60"/>
        <v>91.470617541282721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projet'!$B$11,Paramètres!$A$1:$I$88,3,0)*VLOOKUP('Données projet'!$B$11,Paramètres!$A$1:$I$88,5,0)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135.14998708332445</v>
      </c>
      <c r="BJ100" s="62">
        <f t="shared" si="92"/>
        <v>245.50083454484513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46.912740971574266</v>
      </c>
      <c r="BQ100" s="23">
        <f>EXP(-LN(2)/25)*BQ99+(1-EXP(-LN(2)/25))/(LN(2)/25)*Calculateur!BL100*Calculateur!BN100*VLOOKUP('Données projet'!$B$11,Paramètres!$A$1:$I$88,3,0)*0.475*44/12</f>
        <v>13.126114030016106</v>
      </c>
      <c r="BR100" s="23">
        <f>EXP(-LN(2)/2)*BR99+(1-EXP(-LN(2)/2))/(LN(2)/2)*BL100*BO100*VLOOKUP('Données projet'!$B$11,Paramètres!$A$1:$I$88,3,0)*0.475*44/12</f>
        <v>1.417203224456944E-6</v>
      </c>
      <c r="BS100" s="24">
        <f t="shared" si="63"/>
        <v>60.038856418793593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projet'!$B$12,Paramètres!$A$1:$I$88,3,0)*VLOOKUP('Données projet'!$B$12,Paramètres!$A$1:$I$88,5,0)</f>
        <v>6.7984728957526396E-14</v>
      </c>
      <c r="CA100" s="14">
        <f t="shared" si="93"/>
        <v>1.0682447123141398E-12</v>
      </c>
      <c r="CB100" s="22">
        <f t="shared" si="64"/>
        <v>1.978932943548152E-12</v>
      </c>
      <c r="CC100" s="62">
        <f t="shared" si="65"/>
        <v>293.3333333333353</v>
      </c>
      <c r="CD100" s="62">
        <f ca="1">AVERAGE(OFFSET($CC$3,0,0,'Données projet'!$E$12+1,1))-AVERAGE(OFFSET($H$3,0,0,'Données projet'!$E$12+1,1))</f>
        <v>168.16583766359378</v>
      </c>
      <c r="CE100" s="62">
        <f t="shared" si="94"/>
        <v>194.52809733694494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72.37667143314097</v>
      </c>
      <c r="CL100" s="23">
        <f>EXP(-LN(2)/25)*CL99+(1-EXP(-LN(2)/25))/(LN(2)/25)*Calculateur!CG100*Calculateur!CI100*VLOOKUP('Données projet'!$B$12,Paramètres!$A$1:$I$88,3,0)*0.475*44/12</f>
        <v>12.072715421780561</v>
      </c>
      <c r="CM100" s="23">
        <f>EXP(-LN(2)/2)*CM99+(1-EXP(-LN(2)/2))/(LN(2)/2)*CG100*CJ100*VLOOKUP('Données projet'!$B$12,Paramètres!$A$1:$I$88,3,0)*0.475*44/12</f>
        <v>7.3453203913620489E-5</v>
      </c>
      <c r="CN100" s="24">
        <f t="shared" si="66"/>
        <v>84.449460308125438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projet'!$B$13,Paramètres!$A$1:$I$88,3,0)*VLOOKUP('Données projet'!$B$13,Paramètres!$A$1:$I$88,5,0)</f>
        <v>-4.9658410716801891E-14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146.09202487550647</v>
      </c>
      <c r="CZ100" s="62">
        <f t="shared" si="96"/>
        <v>168.58814676269344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49.735054849693839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49.735054849693839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1.7053025658242404E-13</v>
      </c>
      <c r="DP100" s="18">
        <f>DO100*VLOOKUP('Données projet'!$B$14,Paramètres!$A$1:$I$88,3,0)*VLOOKUP('Données projet'!$B$14,Paramètres!$A$1:$I$88,5,0)</f>
        <v>1.250327841262333E-13</v>
      </c>
      <c r="DQ100" s="14">
        <f t="shared" si="97"/>
        <v>1.8301318724634299E-12</v>
      </c>
      <c r="DR100" s="22">
        <f t="shared" si="70"/>
        <v>3.405245110226996E-12</v>
      </c>
      <c r="DS100" s="62">
        <f t="shared" si="71"/>
        <v>293.33333333333672</v>
      </c>
      <c r="DT100" s="62">
        <f ca="1">AVERAGE(OFFSET($DS$3,0,0,'Données projet'!$E$14+1,1))-AVERAGE(OFFSET($H$3,0,0,'Données projet'!$E$14+1,1))</f>
        <v>116.35584360635318</v>
      </c>
      <c r="DU100" s="62">
        <f t="shared" si="98"/>
        <v>86.38226293640173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59.761417633365404</v>
      </c>
      <c r="EB100" s="23">
        <f>EXP(-LN(2)/25)*EB99+(1-EXP(-LN(2)/25))/(LN(2)/25)*Calculateur!DW100*Calculateur!DY100*VLOOKUP('Données projet'!$B$14,Paramètres!$A$1:$I$88,3,0)*0.475*44/12</f>
        <v>0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59.761417633365404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-40</v>
      </c>
      <c r="O101" s="14">
        <f>N101*VLOOKUP('Données projet'!$B$9,Paramètres!$A$1:$I$88,3,0)*VLOOKUP('Données projet'!$B$9,Paramètres!$A$1:$I$88,5,0)</f>
        <v>-18.72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82.229723373996478</v>
      </c>
      <c r="T101" s="62">
        <f t="shared" si="88"/>
        <v>115.86489547584461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54.228370972013131</v>
      </c>
      <c r="AA101" s="23">
        <f>EXP(-LN(2)/25)*AA100+(1-EXP(-LN(2)/25))/(LN(2)/25)*Calculateur!V101*Calculateur!X101*VLOOKUP('Données projet'!$B$9,Paramètres!$A$1:$I$88,3,0)*0.475*44/12</f>
        <v>8.2698143477634893</v>
      </c>
      <c r="AB101" s="23">
        <f>EXP(-LN(2)/2)*AB100+(1-EXP(-LN(2)/2))/(LN(2)/2)*V101*Y101*VLOOKUP('Données projet'!$B$9,Paramètres!$A$1:$I$88,3,0)*0.475*44/12</f>
        <v>3.5711476637351791E-5</v>
      </c>
      <c r="AC101" s="24">
        <f t="shared" si="57"/>
        <v>62.498221031253259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262.78347246606825</v>
      </c>
      <c r="AO101" s="62">
        <f t="shared" si="90"/>
        <v>448.84541017639367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76.2980276456463</v>
      </c>
      <c r="AV101" s="23">
        <f>EXP(-LN(2)/25)*AV100+(1-EXP(-LN(2)/25))/(LN(2)/25)*Calculateur!AQ101*Calculateur!AS101*VLOOKUP('Données projet'!$B$10,Paramètres!$A$1:$I$88,3,0)*0.475*44/12</f>
        <v>13.273341574384126</v>
      </c>
      <c r="AW101" s="23">
        <f>EXP(-LN(2)/2)*AW100+(1-EXP(-LN(2)/2))/(LN(2)/2)*AQ101*AT101*VLOOKUP('Données projet'!$B$10,Paramètres!$A$1:$I$88,3,0)*0.475*44/12</f>
        <v>3.8785318216466328E-7</v>
      </c>
      <c r="AX101" s="23">
        <f t="shared" si="60"/>
        <v>89.571369607883597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projet'!$B$11,Paramètres!$A$1:$I$88,3,0)*VLOOKUP('Données projet'!$B$11,Paramètres!$A$1:$I$88,5,0)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135.14998708332445</v>
      </c>
      <c r="BJ101" s="62">
        <f t="shared" si="92"/>
        <v>245.50083454484513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45.992810735068296</v>
      </c>
      <c r="BQ101" s="23">
        <f>EXP(-LN(2)/25)*BQ100+(1-EXP(-LN(2)/25))/(LN(2)/25)*Calculateur!BL101*Calculateur!BN101*VLOOKUP('Données projet'!$B$11,Paramètres!$A$1:$I$88,3,0)*0.475*44/12</f>
        <v>12.767179751592979</v>
      </c>
      <c r="BR101" s="23">
        <f>EXP(-LN(2)/2)*BR100+(1-EXP(-LN(2)/2))/(LN(2)/2)*BL101*BO101*VLOOKUP('Données projet'!$B$11,Paramètres!$A$1:$I$88,3,0)*0.475*44/12</f>
        <v>1.0021140103329459E-6</v>
      </c>
      <c r="BS101" s="24">
        <f t="shared" si="63"/>
        <v>58.759991488775285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projet'!$B$12,Paramètres!$A$1:$I$88,3,0)*VLOOKUP('Données projet'!$B$12,Paramètres!$A$1:$I$88,5,0)</f>
        <v>6.7984728957526396E-14</v>
      </c>
      <c r="CA101" s="14">
        <f t="shared" si="93"/>
        <v>1.0682447123141398E-12</v>
      </c>
      <c r="CB101" s="22">
        <f t="shared" si="64"/>
        <v>1.978932943548152E-12</v>
      </c>
      <c r="CC101" s="62">
        <f t="shared" si="65"/>
        <v>293.3333333333353</v>
      </c>
      <c r="CD101" s="62">
        <f ca="1">AVERAGE(OFFSET($CC$3,0,0,'Données projet'!$E$12+1,1))-AVERAGE(OFFSET($H$3,0,0,'Données projet'!$E$12+1,1))</f>
        <v>168.16583766359378</v>
      </c>
      <c r="CE101" s="62">
        <f t="shared" si="94"/>
        <v>194.52809733694494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70.957409051747646</v>
      </c>
      <c r="CL101" s="23">
        <f>EXP(-LN(2)/25)*CL100+(1-EXP(-LN(2)/25))/(LN(2)/25)*Calculateur!CG101*Calculateur!CI101*VLOOKUP('Données projet'!$B$12,Paramètres!$A$1:$I$88,3,0)*0.475*44/12</f>
        <v>11.74258638369546</v>
      </c>
      <c r="CM101" s="23">
        <f>EXP(-LN(2)/2)*CM100+(1-EXP(-LN(2)/2))/(LN(2)/2)*CG101*CJ101*VLOOKUP('Données projet'!$B$12,Paramètres!$A$1:$I$88,3,0)*0.475*44/12</f>
        <v>5.19392585871993E-5</v>
      </c>
      <c r="CN101" s="24">
        <f t="shared" si="66"/>
        <v>82.700047374701683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projet'!$B$13,Paramètres!$A$1:$I$88,3,0)*VLOOKUP('Données projet'!$B$13,Paramètres!$A$1:$I$88,5,0)</f>
        <v>-4.9658410716801891E-14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146.09202487550647</v>
      </c>
      <c r="CZ101" s="62">
        <f t="shared" si="96"/>
        <v>168.58814676269344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48.759780759479433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48.759780759479433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1.7053025658242404E-13</v>
      </c>
      <c r="DP101" s="18">
        <f>DO101*VLOOKUP('Données projet'!$B$14,Paramètres!$A$1:$I$88,3,0)*VLOOKUP('Données projet'!$B$14,Paramètres!$A$1:$I$88,5,0)</f>
        <v>1.250327841262333E-13</v>
      </c>
      <c r="DQ101" s="14">
        <f t="shared" si="97"/>
        <v>1.8301318724634299E-12</v>
      </c>
      <c r="DR101" s="22">
        <f t="shared" si="70"/>
        <v>3.405245110226996E-12</v>
      </c>
      <c r="DS101" s="62">
        <f t="shared" si="71"/>
        <v>293.33333333333672</v>
      </c>
      <c r="DT101" s="62">
        <f ca="1">AVERAGE(OFFSET($DS$3,0,0,'Données projet'!$E$14+1,1))-AVERAGE(OFFSET($H$3,0,0,'Données projet'!$E$14+1,1))</f>
        <v>116.35584360635318</v>
      </c>
      <c r="DU101" s="62">
        <f t="shared" si="98"/>
        <v>86.38226293640173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58.589532684440641</v>
      </c>
      <c r="EB101" s="23">
        <f>EXP(-LN(2)/25)*EB100+(1-EXP(-LN(2)/25))/(LN(2)/25)*Calculateur!DW101*Calculateur!DY101*VLOOKUP('Données projet'!$B$14,Paramètres!$A$1:$I$88,3,0)*0.475*44/12</f>
        <v>0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58.589532684440641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-40</v>
      </c>
      <c r="O102" s="14">
        <f>N102*VLOOKUP('Données projet'!$B$9,Paramètres!$A$1:$I$88,3,0)*VLOOKUP('Données projet'!$B$9,Paramètres!$A$1:$I$88,5,0)</f>
        <v>-18.72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82.229723373996478</v>
      </c>
      <c r="T102" s="62">
        <f t="shared" si="88"/>
        <v>115.86489547584461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53.164985693292259</v>
      </c>
      <c r="AA102" s="23">
        <f>EXP(-LN(2)/25)*AA101+(1-EXP(-LN(2)/25))/(LN(2)/25)*Calculateur!V102*Calculateur!X102*VLOOKUP('Données projet'!$B$9,Paramètres!$A$1:$I$88,3,0)*0.475*44/12</f>
        <v>8.043675839533261</v>
      </c>
      <c r="AB102" s="23">
        <f>EXP(-LN(2)/2)*AB101+(1-EXP(-LN(2)/2))/(LN(2)/2)*V102*Y102*VLOOKUP('Données projet'!$B$9,Paramètres!$A$1:$I$88,3,0)*0.475*44/12</f>
        <v>2.5251827296456417E-5</v>
      </c>
      <c r="AC102" s="24">
        <f t="shared" si="57"/>
        <v>61.208686784652812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262.78347246606825</v>
      </c>
      <c r="AO102" s="62">
        <f t="shared" si="90"/>
        <v>448.84541017639367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74.801869860716877</v>
      </c>
      <c r="AV102" s="23">
        <f>EXP(-LN(2)/25)*AV101+(1-EXP(-LN(2)/25))/(LN(2)/25)*Calculateur!AQ102*Calculateur!AS102*VLOOKUP('Données projet'!$B$10,Paramètres!$A$1:$I$88,3,0)*0.475*44/12</f>
        <v>12.910381351017895</v>
      </c>
      <c r="AW102" s="23">
        <f>EXP(-LN(2)/2)*AW101+(1-EXP(-LN(2)/2))/(LN(2)/2)*AQ102*AT102*VLOOKUP('Données projet'!$B$10,Paramètres!$A$1:$I$88,3,0)*0.475*44/12</f>
        <v>2.7425361521341471E-7</v>
      </c>
      <c r="AX102" s="23">
        <f t="shared" si="60"/>
        <v>87.712251485988375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projet'!$B$11,Paramètres!$A$1:$I$88,3,0)*VLOOKUP('Données projet'!$B$11,Paramètres!$A$1:$I$88,5,0)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135.14998708332445</v>
      </c>
      <c r="BJ102" s="62">
        <f t="shared" si="92"/>
        <v>245.50083454484513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45.09091976939817</v>
      </c>
      <c r="BQ102" s="23">
        <f>EXP(-LN(2)/25)*BQ101+(1-EXP(-LN(2)/25))/(LN(2)/25)*Calculateur!BL102*Calculateur!BN102*VLOOKUP('Données projet'!$B$11,Paramètres!$A$1:$I$88,3,0)*0.475*44/12</f>
        <v>12.418060549888866</v>
      </c>
      <c r="BR102" s="23">
        <f>EXP(-LN(2)/2)*BR101+(1-EXP(-LN(2)/2))/(LN(2)/2)*BL102*BO102*VLOOKUP('Données projet'!$B$11,Paramètres!$A$1:$I$88,3,0)*0.475*44/12</f>
        <v>7.08601612228472E-7</v>
      </c>
      <c r="BS102" s="24">
        <f t="shared" si="63"/>
        <v>57.508981027888645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projet'!$B$12,Paramètres!$A$1:$I$88,3,0)*VLOOKUP('Données projet'!$B$12,Paramètres!$A$1:$I$88,5,0)</f>
        <v>6.7984728957526396E-14</v>
      </c>
      <c r="CA102" s="14">
        <f t="shared" si="93"/>
        <v>1.0682447123141398E-12</v>
      </c>
      <c r="CB102" s="22">
        <f t="shared" si="64"/>
        <v>1.978932943548152E-12</v>
      </c>
      <c r="CC102" s="62">
        <f t="shared" si="65"/>
        <v>293.3333333333353</v>
      </c>
      <c r="CD102" s="62">
        <f ca="1">AVERAGE(OFFSET($CC$3,0,0,'Données projet'!$E$12+1,1))-AVERAGE(OFFSET($H$3,0,0,'Données projet'!$E$12+1,1))</f>
        <v>168.16583766359378</v>
      </c>
      <c r="CE102" s="62">
        <f t="shared" si="94"/>
        <v>194.52809733694494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69.565977539988879</v>
      </c>
      <c r="CL102" s="23">
        <f>EXP(-LN(2)/25)*CL101+(1-EXP(-LN(2)/25))/(LN(2)/25)*Calculateur!CG102*Calculateur!CI102*VLOOKUP('Données projet'!$B$12,Paramètres!$A$1:$I$88,3,0)*0.475*44/12</f>
        <v>11.421484741517528</v>
      </c>
      <c r="CM102" s="23">
        <f>EXP(-LN(2)/2)*CM101+(1-EXP(-LN(2)/2))/(LN(2)/2)*CG102*CJ102*VLOOKUP('Données projet'!$B$12,Paramètres!$A$1:$I$88,3,0)*0.475*44/12</f>
        <v>3.6726601956810245E-5</v>
      </c>
      <c r="CN102" s="24">
        <f t="shared" si="66"/>
        <v>80.987499008108372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projet'!$B$13,Paramètres!$A$1:$I$88,3,0)*VLOOKUP('Données projet'!$B$13,Paramètres!$A$1:$I$88,5,0)</f>
        <v>-4.9658410716801891E-14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146.09202487550647</v>
      </c>
      <c r="CZ102" s="62">
        <f t="shared" si="96"/>
        <v>168.58814676269344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47.803631199315674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47.803631199315674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1.7053025658242404E-13</v>
      </c>
      <c r="DP102" s="18">
        <f>DO102*VLOOKUP('Données projet'!$B$14,Paramètres!$A$1:$I$88,3,0)*VLOOKUP('Données projet'!$B$14,Paramètres!$A$1:$I$88,5,0)</f>
        <v>1.250327841262333E-13</v>
      </c>
      <c r="DQ102" s="14">
        <f t="shared" si="97"/>
        <v>1.8301318724634299E-12</v>
      </c>
      <c r="DR102" s="22">
        <f t="shared" si="70"/>
        <v>3.405245110226996E-12</v>
      </c>
      <c r="DS102" s="62">
        <f t="shared" si="71"/>
        <v>293.33333333333672</v>
      </c>
      <c r="DT102" s="62">
        <f ca="1">AVERAGE(OFFSET($DS$3,0,0,'Données projet'!$E$14+1,1))-AVERAGE(OFFSET($H$3,0,0,'Données projet'!$E$14+1,1))</f>
        <v>116.35584360635318</v>
      </c>
      <c r="DU102" s="62">
        <f t="shared" si="98"/>
        <v>86.38226293640173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57.440627684585053</v>
      </c>
      <c r="EB102" s="23">
        <f>EXP(-LN(2)/25)*EB101+(1-EXP(-LN(2)/25))/(LN(2)/25)*Calculateur!DW102*Calculateur!DY102*VLOOKUP('Données projet'!$B$14,Paramètres!$A$1:$I$88,3,0)*0.475*44/12</f>
        <v>0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57.440627684585053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-40</v>
      </c>
      <c r="O103" s="14">
        <f>N103*VLOOKUP('Données projet'!$B$9,Paramètres!$A$1:$I$88,3,0)*VLOOKUP('Données projet'!$B$9,Paramètres!$A$1:$I$88,5,0)</f>
        <v>-18.72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82.229723373996478</v>
      </c>
      <c r="T103" s="62">
        <f t="shared" si="88"/>
        <v>115.86489547584461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52.122452751286126</v>
      </c>
      <c r="AA103" s="23">
        <f>EXP(-LN(2)/25)*AA102+(1-EXP(-LN(2)/25))/(LN(2)/25)*Calculateur!V103*Calculateur!X103*VLOOKUP('Données projet'!$B$9,Paramètres!$A$1:$I$88,3,0)*0.475*44/12</f>
        <v>7.8237211007026959</v>
      </c>
      <c r="AB103" s="23">
        <f>EXP(-LN(2)/2)*AB102+(1-EXP(-LN(2)/2))/(LN(2)/2)*V103*Y103*VLOOKUP('Données projet'!$B$9,Paramètres!$A$1:$I$88,3,0)*0.475*44/12</f>
        <v>1.7855738318675895E-5</v>
      </c>
      <c r="AC103" s="24">
        <f t="shared" si="57"/>
        <v>59.946191707727145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262.78347246606825</v>
      </c>
      <c r="AO103" s="62">
        <f t="shared" si="90"/>
        <v>448.84541017639367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73.335050817383774</v>
      </c>
      <c r="AV103" s="23">
        <f>EXP(-LN(2)/25)*AV102+(1-EXP(-LN(2)/25))/(LN(2)/25)*Calculateur!AQ103*Calculateur!AS103*VLOOKUP('Données projet'!$B$10,Paramètres!$A$1:$I$88,3,0)*0.475*44/12</f>
        <v>12.557346294046862</v>
      </c>
      <c r="AW103" s="23">
        <f>EXP(-LN(2)/2)*AW102+(1-EXP(-LN(2)/2))/(LN(2)/2)*AQ103*AT103*VLOOKUP('Données projet'!$B$10,Paramètres!$A$1:$I$88,3,0)*0.475*44/12</f>
        <v>1.9392659108233164E-7</v>
      </c>
      <c r="AX103" s="23">
        <f t="shared" si="60"/>
        <v>85.892397305357235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projet'!$B$11,Paramètres!$A$1:$I$88,3,0)*VLOOKUP('Données projet'!$B$11,Paramètres!$A$1:$I$88,5,0)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135.14998708332445</v>
      </c>
      <c r="BJ103" s="62">
        <f t="shared" si="92"/>
        <v>245.50083454484513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44.206714335465662</v>
      </c>
      <c r="BQ103" s="23">
        <f>EXP(-LN(2)/25)*BQ102+(1-EXP(-LN(2)/25))/(LN(2)/25)*Calculateur!BL103*Calculateur!BN103*VLOOKUP('Données projet'!$B$11,Paramètres!$A$1:$I$88,3,0)*0.475*44/12</f>
        <v>12.078488031114732</v>
      </c>
      <c r="BR103" s="23">
        <f>EXP(-LN(2)/2)*BR102+(1-EXP(-LN(2)/2))/(LN(2)/2)*BL103*BO103*VLOOKUP('Données projet'!$B$11,Paramètres!$A$1:$I$88,3,0)*0.475*44/12</f>
        <v>5.0105700516647295E-7</v>
      </c>
      <c r="BS103" s="24">
        <f t="shared" si="63"/>
        <v>56.285202867637395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projet'!$B$12,Paramètres!$A$1:$I$88,3,0)*VLOOKUP('Données projet'!$B$12,Paramètres!$A$1:$I$88,5,0)</f>
        <v>6.7984728957526396E-14</v>
      </c>
      <c r="CA103" s="14">
        <f t="shared" si="93"/>
        <v>1.0682447123141398E-12</v>
      </c>
      <c r="CB103" s="22">
        <f t="shared" si="64"/>
        <v>1.978932943548152E-12</v>
      </c>
      <c r="CC103" s="62">
        <f t="shared" si="65"/>
        <v>293.3333333333353</v>
      </c>
      <c r="CD103" s="62">
        <f ca="1">AVERAGE(OFFSET($CC$3,0,0,'Données projet'!$E$12+1,1))-AVERAGE(OFFSET($H$3,0,0,'Données projet'!$E$12+1,1))</f>
        <v>168.16583766359378</v>
      </c>
      <c r="CE103" s="62">
        <f t="shared" si="94"/>
        <v>194.52809733694494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68.201831151486275</v>
      </c>
      <c r="CL103" s="23">
        <f>EXP(-LN(2)/25)*CL102+(1-EXP(-LN(2)/25))/(LN(2)/25)*Calculateur!CG103*Calculateur!CI103*VLOOKUP('Données projet'!$B$12,Paramètres!$A$1:$I$88,3,0)*0.475*44/12</f>
        <v>11.109163640630953</v>
      </c>
      <c r="CM103" s="23">
        <f>EXP(-LN(2)/2)*CM102+(1-EXP(-LN(2)/2))/(LN(2)/2)*CG103*CJ103*VLOOKUP('Données projet'!$B$12,Paramètres!$A$1:$I$88,3,0)*0.475*44/12</f>
        <v>2.596962929359965E-5</v>
      </c>
      <c r="CN103" s="24">
        <f t="shared" si="66"/>
        <v>79.311020761746519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projet'!$B$13,Paramètres!$A$1:$I$88,3,0)*VLOOKUP('Données projet'!$B$13,Paramètres!$A$1:$I$88,5,0)</f>
        <v>-4.9658410716801891E-14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146.09202487550647</v>
      </c>
      <c r="CZ103" s="62">
        <f t="shared" si="96"/>
        <v>168.58814676269344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46.86623114883308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46.86623114883308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1.7053025658242404E-13</v>
      </c>
      <c r="DP103" s="18">
        <f>DO103*VLOOKUP('Données projet'!$B$14,Paramètres!$A$1:$I$88,3,0)*VLOOKUP('Données projet'!$B$14,Paramètres!$A$1:$I$88,5,0)</f>
        <v>1.250327841262333E-13</v>
      </c>
      <c r="DQ103" s="14">
        <f t="shared" si="97"/>
        <v>1.8301318724634299E-12</v>
      </c>
      <c r="DR103" s="22">
        <f t="shared" si="70"/>
        <v>3.405245110226996E-12</v>
      </c>
      <c r="DS103" s="62">
        <f t="shared" si="71"/>
        <v>293.33333333333672</v>
      </c>
      <c r="DT103" s="62">
        <f ca="1">AVERAGE(OFFSET($DS$3,0,0,'Données projet'!$E$14+1,1))-AVERAGE(OFFSET($H$3,0,0,'Données projet'!$E$14+1,1))</f>
        <v>116.35584360635318</v>
      </c>
      <c r="DU103" s="62">
        <f t="shared" si="98"/>
        <v>86.38226293640173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56.314252011013778</v>
      </c>
      <c r="EB103" s="23">
        <f>EXP(-LN(2)/25)*EB102+(1-EXP(-LN(2)/25))/(LN(2)/25)*Calculateur!DW103*Calculateur!DY103*VLOOKUP('Données projet'!$B$14,Paramètres!$A$1:$I$88,3,0)*0.475*44/12</f>
        <v>0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56.314252011013778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-40</v>
      </c>
      <c r="O104" s="14">
        <f>N104*VLOOKUP('Données projet'!$B$9,Paramètres!$A$1:$I$88,3,0)*VLOOKUP('Données projet'!$B$9,Paramètres!$A$1:$I$88,5,0)</f>
        <v>-18.72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82.229723373996478</v>
      </c>
      <c r="T104" s="62">
        <f t="shared" si="88"/>
        <v>115.86489547584461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51.100363244390429</v>
      </c>
      <c r="AA104" s="23">
        <f>EXP(-LN(2)/25)*AA103+(1-EXP(-LN(2)/25))/(LN(2)/25)*Calculateur!V104*Calculateur!X104*VLOOKUP('Données projet'!$B$9,Paramètres!$A$1:$I$88,3,0)*0.475*44/12</f>
        <v>7.609781035772369</v>
      </c>
      <c r="AB104" s="23">
        <f>EXP(-LN(2)/2)*AB103+(1-EXP(-LN(2)/2))/(LN(2)/2)*V104*Y104*VLOOKUP('Données projet'!$B$9,Paramètres!$A$1:$I$88,3,0)*0.475*44/12</f>
        <v>1.2625913648228209E-5</v>
      </c>
      <c r="AC104" s="24">
        <f t="shared" si="57"/>
        <v>58.710156906076449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262.78347246606825</v>
      </c>
      <c r="AO104" s="62">
        <f t="shared" si="90"/>
        <v>448.84541017639367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71.896995200819163</v>
      </c>
      <c r="AV104" s="23">
        <f>EXP(-LN(2)/25)*AV103+(1-EXP(-LN(2)/25))/(LN(2)/25)*Calculateur!AQ104*Calculateur!AS104*VLOOKUP('Données projet'!$B$10,Paramètres!$A$1:$I$88,3,0)*0.475*44/12</f>
        <v>12.21396499927401</v>
      </c>
      <c r="AW104" s="23">
        <f>EXP(-LN(2)/2)*AW103+(1-EXP(-LN(2)/2))/(LN(2)/2)*AQ104*AT104*VLOOKUP('Données projet'!$B$10,Paramètres!$A$1:$I$88,3,0)*0.475*44/12</f>
        <v>1.3712680760670736E-7</v>
      </c>
      <c r="AX104" s="23">
        <f t="shared" si="60"/>
        <v>84.110960337219979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projet'!$B$11,Paramètres!$A$1:$I$88,3,0)*VLOOKUP('Données projet'!$B$11,Paramètres!$A$1:$I$88,5,0)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135.14998708332445</v>
      </c>
      <c r="BJ104" s="62">
        <f t="shared" si="92"/>
        <v>245.50083454484513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43.339847630780504</v>
      </c>
      <c r="BQ104" s="23">
        <f>EXP(-LN(2)/25)*BQ103+(1-EXP(-LN(2)/25))/(LN(2)/25)*Calculateur!BL104*Calculateur!BN104*VLOOKUP('Données projet'!$B$11,Paramètres!$A$1:$I$88,3,0)*0.475*44/12</f>
        <v>11.74820114072382</v>
      </c>
      <c r="BR104" s="23">
        <f>EXP(-LN(2)/2)*BR103+(1-EXP(-LN(2)/2))/(LN(2)/2)*BL104*BO104*VLOOKUP('Données projet'!$B$11,Paramètres!$A$1:$I$88,3,0)*0.475*44/12</f>
        <v>3.54300806114236E-7</v>
      </c>
      <c r="BS104" s="24">
        <f t="shared" si="63"/>
        <v>55.088049125805135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projet'!$B$12,Paramètres!$A$1:$I$88,3,0)*VLOOKUP('Données projet'!$B$12,Paramètres!$A$1:$I$88,5,0)</f>
        <v>6.7984728957526396E-14</v>
      </c>
      <c r="CA104" s="14">
        <f t="shared" si="93"/>
        <v>1.0682447123141398E-12</v>
      </c>
      <c r="CB104" s="22">
        <f t="shared" si="64"/>
        <v>1.978932943548152E-12</v>
      </c>
      <c r="CC104" s="62">
        <f t="shared" si="65"/>
        <v>293.3333333333353</v>
      </c>
      <c r="CD104" s="62">
        <f ca="1">AVERAGE(OFFSET($CC$3,0,0,'Données projet'!$E$12+1,1))-AVERAGE(OFFSET($H$3,0,0,'Données projet'!$E$12+1,1))</f>
        <v>168.16583766359378</v>
      </c>
      <c r="CE104" s="62">
        <f t="shared" si="94"/>
        <v>194.52809733694494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66.864434841615065</v>
      </c>
      <c r="CL104" s="23">
        <f>EXP(-LN(2)/25)*CL103+(1-EXP(-LN(2)/25))/(LN(2)/25)*Calculateur!CG104*Calculateur!CI104*VLOOKUP('Données projet'!$B$12,Paramètres!$A$1:$I$88,3,0)*0.475*44/12</f>
        <v>10.805382976672375</v>
      </c>
      <c r="CM104" s="23">
        <f>EXP(-LN(2)/2)*CM103+(1-EXP(-LN(2)/2))/(LN(2)/2)*CG104*CJ104*VLOOKUP('Données projet'!$B$12,Paramètres!$A$1:$I$88,3,0)*0.475*44/12</f>
        <v>1.8363300978405122E-5</v>
      </c>
      <c r="CN104" s="24">
        <f t="shared" si="66"/>
        <v>77.669836181588423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projet'!$B$13,Paramètres!$A$1:$I$88,3,0)*VLOOKUP('Données projet'!$B$13,Paramètres!$A$1:$I$88,5,0)</f>
        <v>-4.9658410716801891E-14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146.09202487550647</v>
      </c>
      <c r="CZ104" s="62">
        <f t="shared" si="96"/>
        <v>168.58814676269344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45.947212941582876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45.947212941582876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1.7053025658242404E-13</v>
      </c>
      <c r="DP104" s="18">
        <f>DO104*VLOOKUP('Données projet'!$B$14,Paramètres!$A$1:$I$88,3,0)*VLOOKUP('Données projet'!$B$14,Paramètres!$A$1:$I$88,5,0)</f>
        <v>1.250327841262333E-13</v>
      </c>
      <c r="DQ104" s="14">
        <f t="shared" si="97"/>
        <v>1.8301318724634299E-12</v>
      </c>
      <c r="DR104" s="22">
        <f t="shared" si="70"/>
        <v>3.405245110226996E-12</v>
      </c>
      <c r="DS104" s="62">
        <f t="shared" si="71"/>
        <v>293.33333333333672</v>
      </c>
      <c r="DT104" s="62">
        <f ca="1">AVERAGE(OFFSET($DS$3,0,0,'Données projet'!$E$14+1,1))-AVERAGE(OFFSET($H$3,0,0,'Données projet'!$E$14+1,1))</f>
        <v>116.35584360635318</v>
      </c>
      <c r="DU104" s="62">
        <f t="shared" si="98"/>
        <v>86.38226293640173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55.209963877379913</v>
      </c>
      <c r="EB104" s="23">
        <f>EXP(-LN(2)/25)*EB103+(1-EXP(-LN(2)/25))/(LN(2)/25)*Calculateur!DW104*Calculateur!DY104*VLOOKUP('Données projet'!$B$14,Paramètres!$A$1:$I$88,3,0)*0.475*44/12</f>
        <v>0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55.209963877379913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-40</v>
      </c>
      <c r="O105" s="14">
        <f>N105*VLOOKUP('Données projet'!$B$9,Paramètres!$A$1:$I$88,3,0)*VLOOKUP('Données projet'!$B$9,Paramètres!$A$1:$I$88,5,0)</f>
        <v>-18.72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82.229723373996478</v>
      </c>
      <c r="T105" s="62">
        <f t="shared" si="88"/>
        <v>115.86489547584461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50.09831628931191</v>
      </c>
      <c r="AA105" s="23">
        <f>EXP(-LN(2)/25)*AA104+(1-EXP(-LN(2)/25))/(LN(2)/25)*Calculateur!V105*Calculateur!X105*VLOOKUP('Données projet'!$B$9,Paramètres!$A$1:$I$88,3,0)*0.475*44/12</f>
        <v>7.4016911731681816</v>
      </c>
      <c r="AB105" s="23">
        <f>EXP(-LN(2)/2)*AB104+(1-EXP(-LN(2)/2))/(LN(2)/2)*V105*Y105*VLOOKUP('Données projet'!$B$9,Paramètres!$A$1:$I$88,3,0)*0.475*44/12</f>
        <v>8.9278691593379477E-6</v>
      </c>
      <c r="AC105" s="24">
        <f t="shared" si="57"/>
        <v>57.500016390349252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262.78347246606825</v>
      </c>
      <c r="AO105" s="62">
        <f t="shared" si="90"/>
        <v>448.84541017639367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70.487138977768069</v>
      </c>
      <c r="AV105" s="23">
        <f>EXP(-LN(2)/25)*AV104+(1-EXP(-LN(2)/25))/(LN(2)/25)*Calculateur!AQ105*Calculateur!AS105*VLOOKUP('Données projet'!$B$10,Paramètres!$A$1:$I$88,3,0)*0.475*44/12</f>
        <v>11.879973484064358</v>
      </c>
      <c r="AW105" s="23">
        <f>EXP(-LN(2)/2)*AW104+(1-EXP(-LN(2)/2))/(LN(2)/2)*AQ105*AT105*VLOOKUP('Données projet'!$B$10,Paramètres!$A$1:$I$88,3,0)*0.475*44/12</f>
        <v>9.696329554116582E-8</v>
      </c>
      <c r="AX105" s="23">
        <f t="shared" si="60"/>
        <v>82.367112558795711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projet'!$B$11,Paramètres!$A$1:$I$88,3,0)*VLOOKUP('Données projet'!$B$11,Paramètres!$A$1:$I$88,5,0)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135.14998708332445</v>
      </c>
      <c r="BJ105" s="62">
        <f t="shared" si="92"/>
        <v>245.50083454484513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42.489979653437743</v>
      </c>
      <c r="BQ105" s="23">
        <f>EXP(-LN(2)/25)*BQ104+(1-EXP(-LN(2)/25))/(LN(2)/25)*Calculateur!BL105*Calculateur!BN105*VLOOKUP('Données projet'!$B$11,Paramètres!$A$1:$I$88,3,0)*0.475*44/12</f>
        <v>11.42694596271968</v>
      </c>
      <c r="BR105" s="23">
        <f>EXP(-LN(2)/2)*BR104+(1-EXP(-LN(2)/2))/(LN(2)/2)*BL105*BO105*VLOOKUP('Données projet'!$B$11,Paramètres!$A$1:$I$88,3,0)*0.475*44/12</f>
        <v>2.5052850258323647E-7</v>
      </c>
      <c r="BS105" s="24">
        <f t="shared" si="63"/>
        <v>53.916925866685922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projet'!$B$12,Paramètres!$A$1:$I$88,3,0)*VLOOKUP('Données projet'!$B$12,Paramètres!$A$1:$I$88,5,0)</f>
        <v>6.7984728957526396E-14</v>
      </c>
      <c r="CA105" s="14">
        <f t="shared" si="93"/>
        <v>1.0682447123141398E-12</v>
      </c>
      <c r="CB105" s="22">
        <f t="shared" si="64"/>
        <v>1.978932943548152E-12</v>
      </c>
      <c r="CC105" s="62">
        <f t="shared" si="65"/>
        <v>293.3333333333353</v>
      </c>
      <c r="CD105" s="62">
        <f ca="1">AVERAGE(OFFSET($CC$3,0,0,'Données projet'!$E$12+1,1))-AVERAGE(OFFSET($H$3,0,0,'Données projet'!$E$12+1,1))</f>
        <v>168.16583766359378</v>
      </c>
      <c r="CE105" s="62">
        <f t="shared" si="94"/>
        <v>194.52809733694494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65.55326405764923</v>
      </c>
      <c r="CL105" s="23">
        <f>EXP(-LN(2)/25)*CL104+(1-EXP(-LN(2)/25))/(LN(2)/25)*Calculateur!CG105*Calculateur!CI105*VLOOKUP('Données projet'!$B$12,Paramètres!$A$1:$I$88,3,0)*0.475*44/12</f>
        <v>10.509909210944874</v>
      </c>
      <c r="CM105" s="23">
        <f>EXP(-LN(2)/2)*CM104+(1-EXP(-LN(2)/2))/(LN(2)/2)*CG105*CJ105*VLOOKUP('Données projet'!$B$12,Paramètres!$A$1:$I$88,3,0)*0.475*44/12</f>
        <v>1.2984814646799825E-5</v>
      </c>
      <c r="CN105" s="24">
        <f t="shared" si="66"/>
        <v>76.063186253408745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projet'!$B$13,Paramètres!$A$1:$I$88,3,0)*VLOOKUP('Données projet'!$B$13,Paramètres!$A$1:$I$88,5,0)</f>
        <v>-4.9658410716801891E-14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146.09202487550647</v>
      </c>
      <c r="CZ105" s="62">
        <f t="shared" si="96"/>
        <v>168.58814676269344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45.04621612083109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45.04621612083109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1.7053025658242404E-13</v>
      </c>
      <c r="DP105" s="18">
        <f>DO105*VLOOKUP('Données projet'!$B$14,Paramètres!$A$1:$I$88,3,0)*VLOOKUP('Données projet'!$B$14,Paramètres!$A$1:$I$88,5,0)</f>
        <v>1.250327841262333E-13</v>
      </c>
      <c r="DQ105" s="14">
        <f t="shared" si="97"/>
        <v>1.8301318724634299E-12</v>
      </c>
      <c r="DR105" s="22">
        <f t="shared" si="70"/>
        <v>3.405245110226996E-12</v>
      </c>
      <c r="DS105" s="62">
        <f t="shared" si="71"/>
        <v>293.33333333333672</v>
      </c>
      <c r="DT105" s="62">
        <f ca="1">AVERAGE(OFFSET($DS$3,0,0,'Données projet'!$E$14+1,1))-AVERAGE(OFFSET($H$3,0,0,'Données projet'!$E$14+1,1))</f>
        <v>116.35584360635318</v>
      </c>
      <c r="DU105" s="62">
        <f t="shared" si="98"/>
        <v>86.38226293640173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54.127330160497351</v>
      </c>
      <c r="EB105" s="23">
        <f>EXP(-LN(2)/25)*EB104+(1-EXP(-LN(2)/25))/(LN(2)/25)*Calculateur!DW105*Calculateur!DY105*VLOOKUP('Données projet'!$B$14,Paramètres!$A$1:$I$88,3,0)*0.475*44/12</f>
        <v>0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54.127330160497351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-40</v>
      </c>
      <c r="O106" s="14">
        <f>N106*VLOOKUP('Données projet'!$B$9,Paramètres!$A$1:$I$88,3,0)*VLOOKUP('Données projet'!$B$9,Paramètres!$A$1:$I$88,5,0)</f>
        <v>-18.72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82.229723373996478</v>
      </c>
      <c r="T106" s="62">
        <f t="shared" si="88"/>
        <v>115.86489547584461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49.115918863834189</v>
      </c>
      <c r="AA106" s="23">
        <f>EXP(-LN(2)/25)*AA105+(1-EXP(-LN(2)/25))/(LN(2)/25)*Calculateur!V106*Calculateur!X106*VLOOKUP('Données projet'!$B$9,Paramètres!$A$1:$I$88,3,0)*0.475*44/12</f>
        <v>7.1992915387998755</v>
      </c>
      <c r="AB106" s="23">
        <f>EXP(-LN(2)/2)*AB105+(1-EXP(-LN(2)/2))/(LN(2)/2)*V106*Y106*VLOOKUP('Données projet'!$B$9,Paramètres!$A$1:$I$88,3,0)*0.475*44/12</f>
        <v>6.3129568241141043E-6</v>
      </c>
      <c r="AC106" s="24">
        <f t="shared" si="57"/>
        <v>56.315216715590893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262.78347246606825</v>
      </c>
      <c r="AO106" s="62">
        <f t="shared" si="90"/>
        <v>448.84541017639367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69.104929175323619</v>
      </c>
      <c r="AV106" s="23">
        <f>EXP(-LN(2)/25)*AV105+(1-EXP(-LN(2)/25))/(LN(2)/25)*Calculateur!AQ106*Calculateur!AS106*VLOOKUP('Données projet'!$B$10,Paramètres!$A$1:$I$88,3,0)*0.475*44/12</f>
        <v>11.555114984401964</v>
      </c>
      <c r="AW106" s="23">
        <f>EXP(-LN(2)/2)*AW105+(1-EXP(-LN(2)/2))/(LN(2)/2)*AQ106*AT106*VLOOKUP('Données projet'!$B$10,Paramètres!$A$1:$I$88,3,0)*0.475*44/12</f>
        <v>6.8563403803353678E-8</v>
      </c>
      <c r="AX106" s="23">
        <f t="shared" si="60"/>
        <v>80.660044228288996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projet'!$B$11,Paramètres!$A$1:$I$88,3,0)*VLOOKUP('Données projet'!$B$11,Paramètres!$A$1:$I$88,5,0)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135.14998708332445</v>
      </c>
      <c r="BJ106" s="62">
        <f t="shared" si="92"/>
        <v>245.50083454484513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41.656777068762395</v>
      </c>
      <c r="BQ106" s="23">
        <f>EXP(-LN(2)/25)*BQ105+(1-EXP(-LN(2)/25))/(LN(2)/25)*Calculateur!BL106*Calculateur!BN106*VLOOKUP('Données projet'!$B$11,Paramètres!$A$1:$I$88,3,0)*0.475*44/12</f>
        <v>11.114475524452139</v>
      </c>
      <c r="BR106" s="23">
        <f>EXP(-LN(2)/2)*BR105+(1-EXP(-LN(2)/2))/(LN(2)/2)*BL106*BO106*VLOOKUP('Données projet'!$B$11,Paramètres!$A$1:$I$88,3,0)*0.475*44/12</f>
        <v>1.77150403057118E-7</v>
      </c>
      <c r="BS106" s="24">
        <f t="shared" si="63"/>
        <v>52.771252770364939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projet'!$B$12,Paramètres!$A$1:$I$88,3,0)*VLOOKUP('Données projet'!$B$12,Paramètres!$A$1:$I$88,5,0)</f>
        <v>6.7984728957526396E-14</v>
      </c>
      <c r="CA106" s="14">
        <f t="shared" si="93"/>
        <v>1.0682447123141398E-12</v>
      </c>
      <c r="CB106" s="22">
        <f t="shared" si="64"/>
        <v>1.978932943548152E-12</v>
      </c>
      <c r="CC106" s="62">
        <f t="shared" si="65"/>
        <v>293.3333333333353</v>
      </c>
      <c r="CD106" s="62">
        <f ca="1">AVERAGE(OFFSET($CC$3,0,0,'Données projet'!$E$12+1,1))-AVERAGE(OFFSET($H$3,0,0,'Données projet'!$E$12+1,1))</f>
        <v>168.16583766359378</v>
      </c>
      <c r="CE106" s="62">
        <f t="shared" si="94"/>
        <v>194.52809733694494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64.26780453302176</v>
      </c>
      <c r="CL106" s="23">
        <f>EXP(-LN(2)/25)*CL105+(1-EXP(-LN(2)/25))/(LN(2)/25)*Calculateur!CG106*Calculateur!CI106*VLOOKUP('Données projet'!$B$12,Paramètres!$A$1:$I$88,3,0)*0.475*44/12</f>
        <v>10.222515190879482</v>
      </c>
      <c r="CM106" s="23">
        <f>EXP(-LN(2)/2)*CM105+(1-EXP(-LN(2)/2))/(LN(2)/2)*CG106*CJ106*VLOOKUP('Données projet'!$B$12,Paramètres!$A$1:$I$88,3,0)*0.475*44/12</f>
        <v>9.1816504892025611E-6</v>
      </c>
      <c r="CN106" s="24">
        <f t="shared" si="66"/>
        <v>74.490328905551721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projet'!$B$13,Paramètres!$A$1:$I$88,3,0)*VLOOKUP('Données projet'!$B$13,Paramètres!$A$1:$I$88,5,0)</f>
        <v>-4.9658410716801891E-14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146.09202487550647</v>
      </c>
      <c r="CZ106" s="62">
        <f t="shared" si="96"/>
        <v>168.58814676269344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44.162887298180451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44.162887298180451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1.7053025658242404E-13</v>
      </c>
      <c r="DP106" s="18">
        <f>DO106*VLOOKUP('Données projet'!$B$14,Paramètres!$A$1:$I$88,3,0)*VLOOKUP('Données projet'!$B$14,Paramètres!$A$1:$I$88,5,0)</f>
        <v>1.250327841262333E-13</v>
      </c>
      <c r="DQ106" s="14">
        <f t="shared" si="97"/>
        <v>1.8301318724634299E-12</v>
      </c>
      <c r="DR106" s="22">
        <f t="shared" si="70"/>
        <v>3.405245110226996E-12</v>
      </c>
      <c r="DS106" s="62">
        <f t="shared" si="71"/>
        <v>293.33333333333672</v>
      </c>
      <c r="DT106" s="62">
        <f ca="1">AVERAGE(OFFSET($DS$3,0,0,'Données projet'!$E$14+1,1))-AVERAGE(OFFSET($H$3,0,0,'Données projet'!$E$14+1,1))</f>
        <v>116.35584360635318</v>
      </c>
      <c r="DU106" s="62">
        <f t="shared" si="98"/>
        <v>86.38226293640173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53.065926230461493</v>
      </c>
      <c r="EB106" s="23">
        <f>EXP(-LN(2)/25)*EB105+(1-EXP(-LN(2)/25))/(LN(2)/25)*Calculateur!DW106*Calculateur!DY106*VLOOKUP('Données projet'!$B$14,Paramètres!$A$1:$I$88,3,0)*0.475*44/12</f>
        <v>0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53.065926230461493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-40</v>
      </c>
      <c r="O107" s="14">
        <f>N107*VLOOKUP('Données projet'!$B$9,Paramètres!$A$1:$I$88,3,0)*VLOOKUP('Données projet'!$B$9,Paramètres!$A$1:$I$88,5,0)</f>
        <v>-18.72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82.229723373996478</v>
      </c>
      <c r="T107" s="62">
        <f t="shared" si="88"/>
        <v>115.86489547584461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48.152785652666822</v>
      </c>
      <c r="AA107" s="23">
        <f>EXP(-LN(2)/25)*AA106+(1-EXP(-LN(2)/25))/(LN(2)/25)*Calculateur!V107*Calculateur!X107*VLOOKUP('Données projet'!$B$9,Paramètres!$A$1:$I$88,3,0)*0.475*44/12</f>
        <v>7.0024265330771049</v>
      </c>
      <c r="AB107" s="23">
        <f>EXP(-LN(2)/2)*AB106+(1-EXP(-LN(2)/2))/(LN(2)/2)*V107*Y107*VLOOKUP('Données projet'!$B$9,Paramètres!$A$1:$I$88,3,0)*0.475*44/12</f>
        <v>4.4639345796689738E-6</v>
      </c>
      <c r="AC107" s="24">
        <f t="shared" si="57"/>
        <v>55.155216649678508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262.78347246606825</v>
      </c>
      <c r="AO107" s="62">
        <f t="shared" si="90"/>
        <v>448.84541017639367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67.749823664040363</v>
      </c>
      <c r="AV107" s="23">
        <f>EXP(-LN(2)/25)*AV106+(1-EXP(-LN(2)/25))/(LN(2)/25)*Calculateur!AQ107*Calculateur!AS107*VLOOKUP('Données projet'!$B$10,Paramètres!$A$1:$I$88,3,0)*0.475*44/12</f>
        <v>11.239139757496405</v>
      </c>
      <c r="AW107" s="23">
        <f>EXP(-LN(2)/2)*AW106+(1-EXP(-LN(2)/2))/(LN(2)/2)*AQ107*AT107*VLOOKUP('Données projet'!$B$10,Paramètres!$A$1:$I$88,3,0)*0.475*44/12</f>
        <v>4.848164777058291E-8</v>
      </c>
      <c r="AX107" s="23">
        <f t="shared" si="60"/>
        <v>78.988963470018419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projet'!$B$11,Paramètres!$A$1:$I$88,3,0)*VLOOKUP('Données projet'!$B$11,Paramètres!$A$1:$I$88,5,0)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135.14998708332445</v>
      </c>
      <c r="BJ107" s="62">
        <f t="shared" si="92"/>
        <v>245.50083454484513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40.839913078569133</v>
      </c>
      <c r="BQ107" s="23">
        <f>EXP(-LN(2)/25)*BQ106+(1-EXP(-LN(2)/25))/(LN(2)/25)*Calculateur!BL107*Calculateur!BN107*VLOOKUP('Données projet'!$B$11,Paramètres!$A$1:$I$88,3,0)*0.475*44/12</f>
        <v>10.810549606751129</v>
      </c>
      <c r="BR107" s="23">
        <f>EXP(-LN(2)/2)*BR106+(1-EXP(-LN(2)/2))/(LN(2)/2)*BL107*BO107*VLOOKUP('Données projet'!$B$11,Paramètres!$A$1:$I$88,3,0)*0.475*44/12</f>
        <v>1.2526425129161824E-7</v>
      </c>
      <c r="BS107" s="24">
        <f t="shared" si="63"/>
        <v>51.650462810584514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projet'!$B$12,Paramètres!$A$1:$I$88,3,0)*VLOOKUP('Données projet'!$B$12,Paramètres!$A$1:$I$88,5,0)</f>
        <v>6.7984728957526396E-14</v>
      </c>
      <c r="CA107" s="14">
        <f t="shared" si="93"/>
        <v>1.0682447123141398E-12</v>
      </c>
      <c r="CB107" s="22">
        <f t="shared" si="64"/>
        <v>1.978932943548152E-12</v>
      </c>
      <c r="CC107" s="62">
        <f t="shared" si="65"/>
        <v>293.3333333333353</v>
      </c>
      <c r="CD107" s="62">
        <f ca="1">AVERAGE(OFFSET($CC$3,0,0,'Données projet'!$E$12+1,1))-AVERAGE(OFFSET($H$3,0,0,'Données projet'!$E$12+1,1))</f>
        <v>168.16583766359378</v>
      </c>
      <c r="CE107" s="62">
        <f t="shared" si="94"/>
        <v>194.52809733694494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63.007552085619338</v>
      </c>
      <c r="CL107" s="23">
        <f>EXP(-LN(2)/25)*CL106+(1-EXP(-LN(2)/25))/(LN(2)/25)*Calculateur!CG107*Calculateur!CI107*VLOOKUP('Données projet'!$B$12,Paramètres!$A$1:$I$88,3,0)*0.475*44/12</f>
        <v>9.942979975406173</v>
      </c>
      <c r="CM107" s="23">
        <f>EXP(-LN(2)/2)*CM106+(1-EXP(-LN(2)/2))/(LN(2)/2)*CG107*CJ107*VLOOKUP('Données projet'!$B$12,Paramètres!$A$1:$I$88,3,0)*0.475*44/12</f>
        <v>6.4924073233999125E-6</v>
      </c>
      <c r="CN107" s="24">
        <f t="shared" si="66"/>
        <v>72.950538553432835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projet'!$B$13,Paramètres!$A$1:$I$88,3,0)*VLOOKUP('Données projet'!$B$13,Paramètres!$A$1:$I$88,5,0)</f>
        <v>-4.9658410716801891E-14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146.09202487550647</v>
      </c>
      <c r="CZ107" s="62">
        <f t="shared" si="96"/>
        <v>168.58814676269344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43.296880014964607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43.296880014964607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1.7053025658242404E-13</v>
      </c>
      <c r="DP107" s="18">
        <f>DO107*VLOOKUP('Données projet'!$B$14,Paramètres!$A$1:$I$88,3,0)*VLOOKUP('Données projet'!$B$14,Paramètres!$A$1:$I$88,5,0)</f>
        <v>1.250327841262333E-13</v>
      </c>
      <c r="DQ107" s="14">
        <f t="shared" si="97"/>
        <v>1.8301318724634299E-12</v>
      </c>
      <c r="DR107" s="22">
        <f t="shared" si="70"/>
        <v>3.405245110226996E-12</v>
      </c>
      <c r="DS107" s="62">
        <f t="shared" si="71"/>
        <v>293.33333333333672</v>
      </c>
      <c r="DT107" s="62">
        <f ca="1">AVERAGE(OFFSET($DS$3,0,0,'Données projet'!$E$14+1,1))-AVERAGE(OFFSET($H$3,0,0,'Données projet'!$E$14+1,1))</f>
        <v>116.35584360635318</v>
      </c>
      <c r="DU107" s="62">
        <f t="shared" si="98"/>
        <v>86.38226293640173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52.025335784101166</v>
      </c>
      <c r="EB107" s="23">
        <f>EXP(-LN(2)/25)*EB106+(1-EXP(-LN(2)/25))/(LN(2)/25)*Calculateur!DW107*Calculateur!DY107*VLOOKUP('Données projet'!$B$14,Paramètres!$A$1:$I$88,3,0)*0.475*44/12</f>
        <v>0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52.025335784101166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-40</v>
      </c>
      <c r="O108" s="14">
        <f>N108*VLOOKUP('Données projet'!$B$9,Paramètres!$A$1:$I$88,3,0)*VLOOKUP('Données projet'!$B$9,Paramètres!$A$1:$I$88,5,0)</f>
        <v>-18.72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82.229723373996478</v>
      </c>
      <c r="T108" s="62">
        <f t="shared" si="88"/>
        <v>115.86489547584461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47.208538896317194</v>
      </c>
      <c r="AA108" s="23">
        <f>EXP(-LN(2)/25)*AA107+(1-EXP(-LN(2)/25))/(LN(2)/25)*Calculateur!V108*Calculateur!X108*VLOOKUP('Données projet'!$B$9,Paramètres!$A$1:$I$88,3,0)*0.475*44/12</f>
        <v>6.810944811288504</v>
      </c>
      <c r="AB108" s="23">
        <f>EXP(-LN(2)/2)*AB107+(1-EXP(-LN(2)/2))/(LN(2)/2)*V108*Y108*VLOOKUP('Données projet'!$B$9,Paramètres!$A$1:$I$88,3,0)*0.475*44/12</f>
        <v>3.1564784120570521E-6</v>
      </c>
      <c r="AC108" s="24">
        <f t="shared" si="57"/>
        <v>54.019486864084115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262.78347246606825</v>
      </c>
      <c r="AO108" s="62">
        <f t="shared" si="90"/>
        <v>448.84541017639367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66.421290945300626</v>
      </c>
      <c r="AV108" s="23">
        <f>EXP(-LN(2)/25)*AV107+(1-EXP(-LN(2)/25))/(LN(2)/25)*Calculateur!AQ108*Calculateur!AS108*VLOOKUP('Données projet'!$B$10,Paramètres!$A$1:$I$88,3,0)*0.475*44/12</f>
        <v>10.931804889786994</v>
      </c>
      <c r="AW108" s="23">
        <f>EXP(-LN(2)/2)*AW107+(1-EXP(-LN(2)/2))/(LN(2)/2)*AQ108*AT108*VLOOKUP('Données projet'!$B$10,Paramètres!$A$1:$I$88,3,0)*0.475*44/12</f>
        <v>3.4281701901676839E-8</v>
      </c>
      <c r="AX108" s="23">
        <f t="shared" si="60"/>
        <v>77.353095869369312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projet'!$B$11,Paramètres!$A$1:$I$88,3,0)*VLOOKUP('Données projet'!$B$11,Paramètres!$A$1:$I$88,5,0)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135.14998708332445</v>
      </c>
      <c r="BJ108" s="62">
        <f t="shared" si="92"/>
        <v>245.50083454484513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40.03906729298572</v>
      </c>
      <c r="BQ108" s="23">
        <f>EXP(-LN(2)/25)*BQ107+(1-EXP(-LN(2)/25))/(LN(2)/25)*Calculateur!BL108*Calculateur!BN108*VLOOKUP('Données projet'!$B$11,Paramètres!$A$1:$I$88,3,0)*0.475*44/12</f>
        <v>10.514934559252424</v>
      </c>
      <c r="BR108" s="23">
        <f>EXP(-LN(2)/2)*BR107+(1-EXP(-LN(2)/2))/(LN(2)/2)*BL108*BO108*VLOOKUP('Données projet'!$B$11,Paramètres!$A$1:$I$88,3,0)*0.475*44/12</f>
        <v>8.8575201528559E-8</v>
      </c>
      <c r="BS108" s="24">
        <f t="shared" si="63"/>
        <v>50.554001940813343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projet'!$B$12,Paramètres!$A$1:$I$88,3,0)*VLOOKUP('Données projet'!$B$12,Paramètres!$A$1:$I$88,5,0)</f>
        <v>6.7984728957526396E-14</v>
      </c>
      <c r="CA108" s="14">
        <f t="shared" si="93"/>
        <v>1.0682447123141398E-12</v>
      </c>
      <c r="CB108" s="22">
        <f t="shared" si="64"/>
        <v>1.978932943548152E-12</v>
      </c>
      <c r="CC108" s="62">
        <f t="shared" si="65"/>
        <v>293.3333333333353</v>
      </c>
      <c r="CD108" s="62">
        <f ca="1">AVERAGE(OFFSET($CC$3,0,0,'Données projet'!$E$12+1,1))-AVERAGE(OFFSET($H$3,0,0,'Données projet'!$E$12+1,1))</f>
        <v>168.16583766359378</v>
      </c>
      <c r="CE108" s="62">
        <f t="shared" si="94"/>
        <v>194.52809733694494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61.772012420032389</v>
      </c>
      <c r="CL108" s="23">
        <f>EXP(-LN(2)/25)*CL107+(1-EXP(-LN(2)/25))/(LN(2)/25)*Calculateur!CG108*Calculateur!CI108*VLOOKUP('Données projet'!$B$12,Paramètres!$A$1:$I$88,3,0)*0.475*44/12</f>
        <v>9.6710886651000987</v>
      </c>
      <c r="CM108" s="23">
        <f>EXP(-LN(2)/2)*CM107+(1-EXP(-LN(2)/2))/(LN(2)/2)*CG108*CJ108*VLOOKUP('Données projet'!$B$12,Paramètres!$A$1:$I$88,3,0)*0.475*44/12</f>
        <v>4.5908252446012806E-6</v>
      </c>
      <c r="CN108" s="24">
        <f t="shared" si="66"/>
        <v>71.443105675957725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projet'!$B$13,Paramètres!$A$1:$I$88,3,0)*VLOOKUP('Données projet'!$B$13,Paramètres!$A$1:$I$88,5,0)</f>
        <v>-4.9658410716801891E-14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146.09202487550647</v>
      </c>
      <c r="CZ108" s="62">
        <f t="shared" si="96"/>
        <v>168.58814676269344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42.447854606360337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42.447854606360337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1.7053025658242404E-13</v>
      </c>
      <c r="DP108" s="18">
        <f>DO108*VLOOKUP('Données projet'!$B$14,Paramètres!$A$1:$I$88,3,0)*VLOOKUP('Données projet'!$B$14,Paramètres!$A$1:$I$88,5,0)</f>
        <v>1.250327841262333E-13</v>
      </c>
      <c r="DQ108" s="14">
        <f t="shared" si="97"/>
        <v>1.8301318724634299E-12</v>
      </c>
      <c r="DR108" s="22">
        <f t="shared" si="70"/>
        <v>3.405245110226996E-12</v>
      </c>
      <c r="DS108" s="62">
        <f t="shared" si="71"/>
        <v>293.33333333333672</v>
      </c>
      <c r="DT108" s="62">
        <f ca="1">AVERAGE(OFFSET($DS$3,0,0,'Données projet'!$E$14+1,1))-AVERAGE(OFFSET($H$3,0,0,'Données projet'!$E$14+1,1))</f>
        <v>116.35584360635318</v>
      </c>
      <c r="DU108" s="62">
        <f t="shared" si="98"/>
        <v>86.38226293640173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51.005150681696463</v>
      </c>
      <c r="EB108" s="23">
        <f>EXP(-LN(2)/25)*EB107+(1-EXP(-LN(2)/25))/(LN(2)/25)*Calculateur!DW108*Calculateur!DY108*VLOOKUP('Données projet'!$B$14,Paramètres!$A$1:$I$88,3,0)*0.475*44/12</f>
        <v>0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51.005150681696463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-40</v>
      </c>
      <c r="O109" s="14">
        <f>N109*VLOOKUP('Données projet'!$B$9,Paramètres!$A$1:$I$88,3,0)*VLOOKUP('Données projet'!$B$9,Paramètres!$A$1:$I$88,5,0)</f>
        <v>-18.72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82.229723373996478</v>
      </c>
      <c r="T109" s="62">
        <f t="shared" si="88"/>
        <v>115.86489547584461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46.282808242925931</v>
      </c>
      <c r="AA109" s="23">
        <f>EXP(-LN(2)/25)*AA108+(1-EXP(-LN(2)/25))/(LN(2)/25)*Calculateur!V109*Calculateur!X109*VLOOKUP('Données projet'!$B$9,Paramètres!$A$1:$I$88,3,0)*0.475*44/12</f>
        <v>6.6246991672517987</v>
      </c>
      <c r="AB109" s="23">
        <f>EXP(-LN(2)/2)*AB108+(1-EXP(-LN(2)/2))/(LN(2)/2)*V109*Y109*VLOOKUP('Données projet'!$B$9,Paramètres!$A$1:$I$88,3,0)*0.475*44/12</f>
        <v>2.2319672898344869E-6</v>
      </c>
      <c r="AC109" s="24">
        <f t="shared" si="57"/>
        <v>52.907509642145016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262.78347246606825</v>
      </c>
      <c r="AO109" s="62">
        <f t="shared" si="90"/>
        <v>448.84541017639367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65.118809942850433</v>
      </c>
      <c r="AV109" s="23">
        <f>EXP(-LN(2)/25)*AV108+(1-EXP(-LN(2)/25))/(LN(2)/25)*Calculateur!AQ109*Calculateur!AS109*VLOOKUP('Données projet'!$B$10,Paramètres!$A$1:$I$88,3,0)*0.475*44/12</f>
        <v>10.632874110197134</v>
      </c>
      <c r="AW109" s="23">
        <f>EXP(-LN(2)/2)*AW108+(1-EXP(-LN(2)/2))/(LN(2)/2)*AQ109*AT109*VLOOKUP('Données projet'!$B$10,Paramètres!$A$1:$I$88,3,0)*0.475*44/12</f>
        <v>2.4240823885291455E-8</v>
      </c>
      <c r="AX109" s="23">
        <f t="shared" si="60"/>
        <v>75.751684077288388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projet'!$B$11,Paramètres!$A$1:$I$88,3,0)*VLOOKUP('Données projet'!$B$11,Paramètres!$A$1:$I$88,5,0)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135.14998708332445</v>
      </c>
      <c r="BJ109" s="62">
        <f t="shared" si="92"/>
        <v>245.50083454484513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39.253925604789906</v>
      </c>
      <c r="BQ109" s="23">
        <f>EXP(-LN(2)/25)*BQ108+(1-EXP(-LN(2)/25))/(LN(2)/25)*Calculateur!BL109*Calculateur!BN109*VLOOKUP('Données projet'!$B$11,Paramètres!$A$1:$I$88,3,0)*0.475*44/12</f>
        <v>10.227403120773291</v>
      </c>
      <c r="BR109" s="23">
        <f>EXP(-LN(2)/2)*BR108+(1-EXP(-LN(2)/2))/(LN(2)/2)*BL109*BO109*VLOOKUP('Données projet'!$B$11,Paramètres!$A$1:$I$88,3,0)*0.475*44/12</f>
        <v>6.2632125645809118E-8</v>
      </c>
      <c r="BS109" s="24">
        <f t="shared" si="63"/>
        <v>49.48132878819532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projet'!$B$12,Paramètres!$A$1:$I$88,3,0)*VLOOKUP('Données projet'!$B$12,Paramètres!$A$1:$I$88,5,0)</f>
        <v>6.7984728957526396E-14</v>
      </c>
      <c r="CA109" s="14">
        <f t="shared" si="93"/>
        <v>1.0682447123141398E-12</v>
      </c>
      <c r="CB109" s="22">
        <f t="shared" si="64"/>
        <v>1.978932943548152E-12</v>
      </c>
      <c r="CC109" s="62">
        <f t="shared" si="65"/>
        <v>293.3333333333353</v>
      </c>
      <c r="CD109" s="62">
        <f ca="1">AVERAGE(OFFSET($CC$3,0,0,'Données projet'!$E$12+1,1))-AVERAGE(OFFSET($H$3,0,0,'Données projet'!$E$12+1,1))</f>
        <v>168.16583766359378</v>
      </c>
      <c r="CE109" s="62">
        <f t="shared" si="94"/>
        <v>194.52809733694494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60.560700933682817</v>
      </c>
      <c r="CL109" s="23">
        <f>EXP(-LN(2)/25)*CL108+(1-EXP(-LN(2)/25))/(LN(2)/25)*Calculateur!CG109*Calculateur!CI109*VLOOKUP('Données projet'!$B$12,Paramètres!$A$1:$I$88,3,0)*0.475*44/12</f>
        <v>9.406632236972488</v>
      </c>
      <c r="CM109" s="23">
        <f>EXP(-LN(2)/2)*CM108+(1-EXP(-LN(2)/2))/(LN(2)/2)*CG109*CJ109*VLOOKUP('Données projet'!$B$12,Paramètres!$A$1:$I$88,3,0)*0.475*44/12</f>
        <v>3.2462036616999562E-6</v>
      </c>
      <c r="CN109" s="24">
        <f t="shared" si="66"/>
        <v>69.96733641685897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projet'!$B$13,Paramètres!$A$1:$I$88,3,0)*VLOOKUP('Données projet'!$B$13,Paramètres!$A$1:$I$88,5,0)</f>
        <v>-4.9658410716801891E-14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146.09202487550647</v>
      </c>
      <c r="CZ109" s="62">
        <f t="shared" si="96"/>
        <v>168.58814676269344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41.615478068164435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41.615478068164435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1.7053025658242404E-13</v>
      </c>
      <c r="DP109" s="18">
        <f>DO109*VLOOKUP('Données projet'!$B$14,Paramètres!$A$1:$I$88,3,0)*VLOOKUP('Données projet'!$B$14,Paramètres!$A$1:$I$88,5,0)</f>
        <v>1.250327841262333E-13</v>
      </c>
      <c r="DQ109" s="14">
        <f t="shared" si="97"/>
        <v>1.8301318724634299E-12</v>
      </c>
      <c r="DR109" s="22">
        <f t="shared" si="70"/>
        <v>3.405245110226996E-12</v>
      </c>
      <c r="DS109" s="62">
        <f t="shared" si="71"/>
        <v>293.33333333333672</v>
      </c>
      <c r="DT109" s="62">
        <f ca="1">AVERAGE(OFFSET($DS$3,0,0,'Données projet'!$E$14+1,1))-AVERAGE(OFFSET($H$3,0,0,'Données projet'!$E$14+1,1))</f>
        <v>116.35584360635318</v>
      </c>
      <c r="DU109" s="62">
        <f t="shared" si="98"/>
        <v>86.38226293640173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50.004970786898447</v>
      </c>
      <c r="EB109" s="23">
        <f>EXP(-LN(2)/25)*EB108+(1-EXP(-LN(2)/25))/(LN(2)/25)*Calculateur!DW109*Calculateur!DY109*VLOOKUP('Données projet'!$B$14,Paramètres!$A$1:$I$88,3,0)*0.475*44/12</f>
        <v>0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50.004970786898447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-40</v>
      </c>
      <c r="O110" s="14">
        <f>N110*VLOOKUP('Données projet'!$B$9,Paramètres!$A$1:$I$88,3,0)*VLOOKUP('Données projet'!$B$9,Paramètres!$A$1:$I$88,5,0)</f>
        <v>-18.72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82.229723373996478</v>
      </c>
      <c r="T110" s="62">
        <f t="shared" si="88"/>
        <v>115.86489547584461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45.375230603007729</v>
      </c>
      <c r="AA110" s="23">
        <f>EXP(-LN(2)/25)*AA109+(1-EXP(-LN(2)/25))/(LN(2)/25)*Calculateur!V110*Calculateur!X110*VLOOKUP('Données projet'!$B$9,Paramètres!$A$1:$I$88,3,0)*0.475*44/12</f>
        <v>6.4435464201455099</v>
      </c>
      <c r="AB110" s="23">
        <f>EXP(-LN(2)/2)*AB109+(1-EXP(-LN(2)/2))/(LN(2)/2)*V110*Y110*VLOOKUP('Données projet'!$B$9,Paramètres!$A$1:$I$88,3,0)*0.475*44/12</f>
        <v>1.5782392060285261E-6</v>
      </c>
      <c r="AC110" s="24">
        <f t="shared" si="57"/>
        <v>51.818778601392445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262.78347246606825</v>
      </c>
      <c r="AO110" s="62">
        <f t="shared" si="90"/>
        <v>448.84541017639367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63.841869798423318</v>
      </c>
      <c r="AV110" s="23">
        <f>EXP(-LN(2)/25)*AV109+(1-EXP(-LN(2)/25))/(LN(2)/25)*Calculateur!AQ110*Calculateur!AS110*VLOOKUP('Données projet'!$B$10,Paramètres!$A$1:$I$88,3,0)*0.475*44/12</f>
        <v>10.342117608495245</v>
      </c>
      <c r="AW110" s="23">
        <f>EXP(-LN(2)/2)*AW109+(1-EXP(-LN(2)/2))/(LN(2)/2)*AQ110*AT110*VLOOKUP('Données projet'!$B$10,Paramètres!$A$1:$I$88,3,0)*0.475*44/12</f>
        <v>1.7140850950838419E-8</v>
      </c>
      <c r="AX110" s="23">
        <f t="shared" si="60"/>
        <v>74.18398742405941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projet'!$B$11,Paramètres!$A$1:$I$88,3,0)*VLOOKUP('Données projet'!$B$11,Paramètres!$A$1:$I$88,5,0)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135.14998708332445</v>
      </c>
      <c r="BJ110" s="62">
        <f t="shared" si="92"/>
        <v>245.50083454484513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38.484180066210463</v>
      </c>
      <c r="BQ110" s="23">
        <f>EXP(-LN(2)/25)*BQ109+(1-EXP(-LN(2)/25))/(LN(2)/25)*Calculateur!BL110*Calculateur!BN110*VLOOKUP('Données projet'!$B$11,Paramètres!$A$1:$I$88,3,0)*0.475*44/12</f>
        <v>9.9477342445999906</v>
      </c>
      <c r="BR110" s="23">
        <f>EXP(-LN(2)/2)*BR109+(1-EXP(-LN(2)/2))/(LN(2)/2)*BL110*BO110*VLOOKUP('Données projet'!$B$11,Paramètres!$A$1:$I$88,3,0)*0.475*44/12</f>
        <v>4.42876007642795E-8</v>
      </c>
      <c r="BS110" s="24">
        <f t="shared" si="63"/>
        <v>48.431914355098058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projet'!$B$12,Paramètres!$A$1:$I$88,3,0)*VLOOKUP('Données projet'!$B$12,Paramètres!$A$1:$I$88,5,0)</f>
        <v>6.7984728957526396E-14</v>
      </c>
      <c r="CA110" s="14">
        <f t="shared" si="93"/>
        <v>1.0682447123141398E-12</v>
      </c>
      <c r="CB110" s="22">
        <f t="shared" si="64"/>
        <v>1.978932943548152E-12</v>
      </c>
      <c r="CC110" s="62">
        <f t="shared" si="65"/>
        <v>293.3333333333353</v>
      </c>
      <c r="CD110" s="62">
        <f ca="1">AVERAGE(OFFSET($CC$3,0,0,'Données projet'!$E$12+1,1))-AVERAGE(OFFSET($H$3,0,0,'Données projet'!$E$12+1,1))</f>
        <v>168.16583766359378</v>
      </c>
      <c r="CE110" s="62">
        <f t="shared" si="94"/>
        <v>194.52809733694494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59.373142526753504</v>
      </c>
      <c r="CL110" s="23">
        <f>EXP(-LN(2)/25)*CL109+(1-EXP(-LN(2)/25))/(LN(2)/25)*Calculateur!CG110*Calculateur!CI110*VLOOKUP('Données projet'!$B$12,Paramètres!$A$1:$I$88,3,0)*0.475*44/12</f>
        <v>9.1494073837791845</v>
      </c>
      <c r="CM110" s="23">
        <f>EXP(-LN(2)/2)*CM109+(1-EXP(-LN(2)/2))/(LN(2)/2)*CG110*CJ110*VLOOKUP('Données projet'!$B$12,Paramètres!$A$1:$I$88,3,0)*0.475*44/12</f>
        <v>2.2954126223006403E-6</v>
      </c>
      <c r="CN110" s="24">
        <f t="shared" si="66"/>
        <v>68.522552205945317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projet'!$B$13,Paramètres!$A$1:$I$88,3,0)*VLOOKUP('Données projet'!$B$13,Paramètres!$A$1:$I$88,5,0)</f>
        <v>-4.9658410716801891E-14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146.09202487550647</v>
      </c>
      <c r="CZ110" s="62">
        <f t="shared" si="96"/>
        <v>168.58814676269344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40.799423926182996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40.799423926182996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1.7053025658242404E-13</v>
      </c>
      <c r="DP110" s="18">
        <f>DO110*VLOOKUP('Données projet'!$B$14,Paramètres!$A$1:$I$88,3,0)*VLOOKUP('Données projet'!$B$14,Paramètres!$A$1:$I$88,5,0)</f>
        <v>1.250327841262333E-13</v>
      </c>
      <c r="DQ110" s="14">
        <f t="shared" si="97"/>
        <v>1.8301318724634299E-12</v>
      </c>
      <c r="DR110" s="22">
        <f t="shared" si="70"/>
        <v>3.405245110226996E-12</v>
      </c>
      <c r="DS110" s="62">
        <f t="shared" si="71"/>
        <v>293.33333333333672</v>
      </c>
      <c r="DT110" s="62">
        <f ca="1">AVERAGE(OFFSET($DS$3,0,0,'Données projet'!$E$14+1,1))-AVERAGE(OFFSET($H$3,0,0,'Données projet'!$E$14+1,1))</f>
        <v>116.35584360635318</v>
      </c>
      <c r="DU110" s="62">
        <f t="shared" si="98"/>
        <v>86.38226293640173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49.02440380978792</v>
      </c>
      <c r="EB110" s="23">
        <f>EXP(-LN(2)/25)*EB109+(1-EXP(-LN(2)/25))/(LN(2)/25)*Calculateur!DW110*Calculateur!DY110*VLOOKUP('Données projet'!$B$14,Paramètres!$A$1:$I$88,3,0)*0.475*44/12</f>
        <v>0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49.02440380978792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-40</v>
      </c>
      <c r="O111" s="14">
        <f>N111*VLOOKUP('Données projet'!$B$9,Paramètres!$A$1:$I$88,3,0)*VLOOKUP('Données projet'!$B$9,Paramètres!$A$1:$I$88,5,0)</f>
        <v>-18.72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82.229723373996478</v>
      </c>
      <c r="T111" s="62">
        <f t="shared" si="88"/>
        <v>115.86489547584461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44.485450007040619</v>
      </c>
      <c r="AA111" s="23">
        <f>EXP(-LN(2)/25)*AA110+(1-EXP(-LN(2)/25))/(LN(2)/25)*Calculateur!V111*Calculateur!X111*VLOOKUP('Données projet'!$B$9,Paramètres!$A$1:$I$88,3,0)*0.475*44/12</f>
        <v>6.2673473044352512</v>
      </c>
      <c r="AB111" s="23">
        <f>EXP(-LN(2)/2)*AB110+(1-EXP(-LN(2)/2))/(LN(2)/2)*V111*Y111*VLOOKUP('Données projet'!$B$9,Paramètres!$A$1:$I$88,3,0)*0.475*44/12</f>
        <v>1.1159836449172435E-6</v>
      </c>
      <c r="AC111" s="24">
        <f t="shared" si="57"/>
        <v>50.752798427459517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262.78347246606825</v>
      </c>
      <c r="AO111" s="62">
        <f t="shared" si="90"/>
        <v>448.84541017639367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62.58996967137184</v>
      </c>
      <c r="AV111" s="23">
        <f>EXP(-LN(2)/25)*AV110+(1-EXP(-LN(2)/25))/(LN(2)/25)*Calculateur!AQ111*Calculateur!AS111*VLOOKUP('Données projet'!$B$10,Paramètres!$A$1:$I$88,3,0)*0.475*44/12</f>
        <v>10.059311858622616</v>
      </c>
      <c r="AW111" s="23">
        <f>EXP(-LN(2)/2)*AW110+(1-EXP(-LN(2)/2))/(LN(2)/2)*AQ111*AT111*VLOOKUP('Données projet'!$B$10,Paramètres!$A$1:$I$88,3,0)*0.475*44/12</f>
        <v>1.2120411942645728E-8</v>
      </c>
      <c r="AX111" s="23">
        <f t="shared" si="60"/>
        <v>72.649281542114863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projet'!$B$11,Paramètres!$A$1:$I$88,3,0)*VLOOKUP('Données projet'!$B$11,Paramètres!$A$1:$I$88,5,0)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135.14998708332445</v>
      </c>
      <c r="BJ111" s="62">
        <f t="shared" si="92"/>
        <v>245.50083454484513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37.729528768144149</v>
      </c>
      <c r="BQ111" s="23">
        <f>EXP(-LN(2)/25)*BQ110+(1-EXP(-LN(2)/25))/(LN(2)/25)*Calculateur!BL111*Calculateur!BN111*VLOOKUP('Données projet'!$B$11,Paramètres!$A$1:$I$88,3,0)*0.475*44/12</f>
        <v>9.6757129285527963</v>
      </c>
      <c r="BR111" s="23">
        <f>EXP(-LN(2)/2)*BR110+(1-EXP(-LN(2)/2))/(LN(2)/2)*BL111*BO111*VLOOKUP('Données projet'!$B$11,Paramètres!$A$1:$I$88,3,0)*0.475*44/12</f>
        <v>3.1316062822904559E-8</v>
      </c>
      <c r="BS111" s="24">
        <f t="shared" si="63"/>
        <v>47.40524172801301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projet'!$B$12,Paramètres!$A$1:$I$88,3,0)*VLOOKUP('Données projet'!$B$12,Paramètres!$A$1:$I$88,5,0)</f>
        <v>6.7984728957526396E-14</v>
      </c>
      <c r="CA111" s="14">
        <f t="shared" si="93"/>
        <v>1.0682447123141398E-12</v>
      </c>
      <c r="CB111" s="22">
        <f t="shared" si="64"/>
        <v>1.978932943548152E-12</v>
      </c>
      <c r="CC111" s="62">
        <f t="shared" si="65"/>
        <v>293.3333333333353</v>
      </c>
      <c r="CD111" s="62">
        <f ca="1">AVERAGE(OFFSET($CC$3,0,0,'Données projet'!$E$12+1,1))-AVERAGE(OFFSET($H$3,0,0,'Données projet'!$E$12+1,1))</f>
        <v>168.16583766359378</v>
      </c>
      <c r="CE111" s="62">
        <f t="shared" si="94"/>
        <v>194.52809733694494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58.208871415844968</v>
      </c>
      <c r="CL111" s="23">
        <f>EXP(-LN(2)/25)*CL110+(1-EXP(-LN(2)/25))/(LN(2)/25)*Calculateur!CG111*Calculateur!CI111*VLOOKUP('Données projet'!$B$12,Paramètres!$A$1:$I$88,3,0)*0.475*44/12</f>
        <v>8.8992163577233203</v>
      </c>
      <c r="CM111" s="23">
        <f>EXP(-LN(2)/2)*CM110+(1-EXP(-LN(2)/2))/(LN(2)/2)*CG111*CJ111*VLOOKUP('Données projet'!$B$12,Paramètres!$A$1:$I$88,3,0)*0.475*44/12</f>
        <v>1.6231018308499781E-6</v>
      </c>
      <c r="CN111" s="24">
        <f t="shared" si="66"/>
        <v>67.108089396670124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projet'!$B$13,Paramètres!$A$1:$I$88,3,0)*VLOOKUP('Données projet'!$B$13,Paramètres!$A$1:$I$88,5,0)</f>
        <v>-4.9658410716801891E-14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146.09202487550647</v>
      </c>
      <c r="CZ111" s="62">
        <f t="shared" si="96"/>
        <v>168.58814676269344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39.999372108181937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39.999372108181937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1.7053025658242404E-13</v>
      </c>
      <c r="DP111" s="18">
        <f>DO111*VLOOKUP('Données projet'!$B$14,Paramètres!$A$1:$I$88,3,0)*VLOOKUP('Données projet'!$B$14,Paramètres!$A$1:$I$88,5,0)</f>
        <v>1.250327841262333E-13</v>
      </c>
      <c r="DQ111" s="14">
        <f t="shared" si="97"/>
        <v>1.8301318724634299E-12</v>
      </c>
      <c r="DR111" s="22">
        <f t="shared" si="70"/>
        <v>3.405245110226996E-12</v>
      </c>
      <c r="DS111" s="62">
        <f t="shared" si="71"/>
        <v>293.33333333333672</v>
      </c>
      <c r="DT111" s="62">
        <f ca="1">AVERAGE(OFFSET($DS$3,0,0,'Données projet'!$E$14+1,1))-AVERAGE(OFFSET($H$3,0,0,'Données projet'!$E$14+1,1))</f>
        <v>116.35584360635318</v>
      </c>
      <c r="DU111" s="62">
        <f t="shared" si="98"/>
        <v>86.38226293640173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48.063065153011735</v>
      </c>
      <c r="EB111" s="23">
        <f>EXP(-LN(2)/25)*EB110+(1-EXP(-LN(2)/25))/(LN(2)/25)*Calculateur!DW111*Calculateur!DY111*VLOOKUP('Données projet'!$B$14,Paramètres!$A$1:$I$88,3,0)*0.475*44/12</f>
        <v>0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48.063065153011735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-40</v>
      </c>
      <c r="O112" s="14">
        <f>N112*VLOOKUP('Données projet'!$B$9,Paramètres!$A$1:$I$88,3,0)*VLOOKUP('Données projet'!$B$9,Paramètres!$A$1:$I$88,5,0)</f>
        <v>-18.72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82.229723373996478</v>
      </c>
      <c r="T112" s="62">
        <f t="shared" si="88"/>
        <v>115.86489547584461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43.61311746584785</v>
      </c>
      <c r="AA112" s="23">
        <f>EXP(-LN(2)/25)*AA111+(1-EXP(-LN(2)/25))/(LN(2)/25)*Calculateur!V112*Calculateur!X112*VLOOKUP('Données projet'!$B$9,Paramètres!$A$1:$I$88,3,0)*0.475*44/12</f>
        <v>6.0959663628099987</v>
      </c>
      <c r="AB112" s="23">
        <f>EXP(-LN(2)/2)*AB111+(1-EXP(-LN(2)/2))/(LN(2)/2)*V112*Y112*VLOOKUP('Données projet'!$B$9,Paramètres!$A$1:$I$88,3,0)*0.475*44/12</f>
        <v>7.8911960301426303E-7</v>
      </c>
      <c r="AC112" s="24">
        <f t="shared" si="57"/>
        <v>49.709084617777449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262.78347246606825</v>
      </c>
      <c r="AO112" s="62">
        <f t="shared" si="90"/>
        <v>448.84541017639367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61.362618542228162</v>
      </c>
      <c r="AV112" s="23">
        <f>EXP(-LN(2)/25)*AV111+(1-EXP(-LN(2)/25))/(LN(2)/25)*Calculateur!AQ112*Calculateur!AS112*VLOOKUP('Données projet'!$B$10,Paramètres!$A$1:$I$88,3,0)*0.475*44/12</f>
        <v>9.7842394468523608</v>
      </c>
      <c r="AW112" s="23">
        <f>EXP(-LN(2)/2)*AW111+(1-EXP(-LN(2)/2))/(LN(2)/2)*AQ112*AT112*VLOOKUP('Données projet'!$B$10,Paramètres!$A$1:$I$88,3,0)*0.475*44/12</f>
        <v>8.5704254754192097E-9</v>
      </c>
      <c r="AX112" s="23">
        <f t="shared" si="60"/>
        <v>71.146857997650955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projet'!$B$11,Paramètres!$A$1:$I$88,3,0)*VLOOKUP('Données projet'!$B$11,Paramètres!$A$1:$I$88,5,0)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135.14998708332445</v>
      </c>
      <c r="BJ112" s="62">
        <f t="shared" si="92"/>
        <v>245.50083454484513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36.989675721741072</v>
      </c>
      <c r="BQ112" s="23">
        <f>EXP(-LN(2)/25)*BQ111+(1-EXP(-LN(2)/25))/(LN(2)/25)*Calculateur!BL112*Calculateur!BN112*VLOOKUP('Données projet'!$B$11,Paramètres!$A$1:$I$88,3,0)*0.475*44/12</f>
        <v>9.411130049697892</v>
      </c>
      <c r="BR112" s="23">
        <f>EXP(-LN(2)/2)*BR111+(1-EXP(-LN(2)/2))/(LN(2)/2)*BL112*BO112*VLOOKUP('Données projet'!$B$11,Paramètres!$A$1:$I$88,3,0)*0.475*44/12</f>
        <v>2.214380038213975E-8</v>
      </c>
      <c r="BS112" s="24">
        <f t="shared" si="63"/>
        <v>46.400805793582769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projet'!$B$12,Paramètres!$A$1:$I$88,3,0)*VLOOKUP('Données projet'!$B$12,Paramètres!$A$1:$I$88,5,0)</f>
        <v>6.7984728957526396E-14</v>
      </c>
      <c r="CA112" s="14">
        <f t="shared" si="93"/>
        <v>1.0682447123141398E-12</v>
      </c>
      <c r="CB112" s="22">
        <f t="shared" si="64"/>
        <v>1.978932943548152E-12</v>
      </c>
      <c r="CC112" s="62">
        <f t="shared" si="65"/>
        <v>293.3333333333353</v>
      </c>
      <c r="CD112" s="62">
        <f ca="1">AVERAGE(OFFSET($CC$3,0,0,'Données projet'!$E$12+1,1))-AVERAGE(OFFSET($H$3,0,0,'Données projet'!$E$12+1,1))</f>
        <v>168.16583766359378</v>
      </c>
      <c r="CE112" s="62">
        <f t="shared" si="94"/>
        <v>194.52809733694494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57.067430951286092</v>
      </c>
      <c r="CL112" s="23">
        <f>EXP(-LN(2)/25)*CL111+(1-EXP(-LN(2)/25))/(LN(2)/25)*Calculateur!CG112*Calculateur!CI112*VLOOKUP('Données projet'!$B$12,Paramètres!$A$1:$I$88,3,0)*0.475*44/12</f>
        <v>8.6558668184319281</v>
      </c>
      <c r="CM112" s="23">
        <f>EXP(-LN(2)/2)*CM111+(1-EXP(-LN(2)/2))/(LN(2)/2)*CG112*CJ112*VLOOKUP('Données projet'!$B$12,Paramètres!$A$1:$I$88,3,0)*0.475*44/12</f>
        <v>1.1477063111503201E-6</v>
      </c>
      <c r="CN112" s="24">
        <f t="shared" si="66"/>
        <v>65.72329891742433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projet'!$B$13,Paramètres!$A$1:$I$88,3,0)*VLOOKUP('Données projet'!$B$13,Paramètres!$A$1:$I$88,5,0)</f>
        <v>-4.9658410716801891E-14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146.09202487550647</v>
      </c>
      <c r="CZ112" s="62">
        <f t="shared" si="96"/>
        <v>168.58814676269344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39.215008818348451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39.215008818348451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1.7053025658242404E-13</v>
      </c>
      <c r="DP112" s="18">
        <f>DO112*VLOOKUP('Données projet'!$B$14,Paramètres!$A$1:$I$88,3,0)*VLOOKUP('Données projet'!$B$14,Paramètres!$A$1:$I$88,5,0)</f>
        <v>1.250327841262333E-13</v>
      </c>
      <c r="DQ112" s="14">
        <f t="shared" si="97"/>
        <v>1.8301318724634299E-12</v>
      </c>
      <c r="DR112" s="22">
        <f t="shared" si="70"/>
        <v>3.405245110226996E-12</v>
      </c>
      <c r="DS112" s="62">
        <f t="shared" si="71"/>
        <v>293.33333333333672</v>
      </c>
      <c r="DT112" s="62">
        <f ca="1">AVERAGE(OFFSET($DS$3,0,0,'Données projet'!$E$14+1,1))-AVERAGE(OFFSET($H$3,0,0,'Données projet'!$E$14+1,1))</f>
        <v>116.35584360635318</v>
      </c>
      <c r="DU112" s="62">
        <f t="shared" si="98"/>
        <v>86.38226293640173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47.120577760936243</v>
      </c>
      <c r="EB112" s="23">
        <f>EXP(-LN(2)/25)*EB111+(1-EXP(-LN(2)/25))/(LN(2)/25)*Calculateur!DW112*Calculateur!DY112*VLOOKUP('Données projet'!$B$14,Paramètres!$A$1:$I$88,3,0)*0.475*44/12</f>
        <v>0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47.120577760936243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-40</v>
      </c>
      <c r="O113" s="14">
        <f>N113*VLOOKUP('Données projet'!$B$9,Paramètres!$A$1:$I$88,3,0)*VLOOKUP('Données projet'!$B$9,Paramètres!$A$1:$I$88,5,0)</f>
        <v>-18.72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82.229723373996478</v>
      </c>
      <c r="T113" s="62">
        <f t="shared" si="88"/>
        <v>115.86489547584461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42.75789083371756</v>
      </c>
      <c r="AA113" s="23">
        <f>EXP(-LN(2)/25)*AA112+(1-EXP(-LN(2)/25))/(LN(2)/25)*Calculateur!V113*Calculateur!X113*VLOOKUP('Données projet'!$B$9,Paramètres!$A$1:$I$88,3,0)*0.475*44/12</f>
        <v>5.9292718420460204</v>
      </c>
      <c r="AB113" s="23">
        <f>EXP(-LN(2)/2)*AB112+(1-EXP(-LN(2)/2))/(LN(2)/2)*V113*Y113*VLOOKUP('Données projet'!$B$9,Paramètres!$A$1:$I$88,3,0)*0.475*44/12</f>
        <v>5.5799182245862173E-7</v>
      </c>
      <c r="AC113" s="24">
        <f t="shared" si="57"/>
        <v>48.687163233755406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262.78347246606825</v>
      </c>
      <c r="AO113" s="62">
        <f t="shared" si="90"/>
        <v>448.84541017639367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60.159335020116721</v>
      </c>
      <c r="AV113" s="23">
        <f>EXP(-LN(2)/25)*AV112+(1-EXP(-LN(2)/25))/(LN(2)/25)*Calculateur!AQ113*Calculateur!AS113*VLOOKUP('Données projet'!$B$10,Paramètres!$A$1:$I$88,3,0)*0.475*44/12</f>
        <v>9.5166889046473919</v>
      </c>
      <c r="AW113" s="23">
        <f>EXP(-LN(2)/2)*AW112+(1-EXP(-LN(2)/2))/(LN(2)/2)*AQ113*AT113*VLOOKUP('Données projet'!$B$10,Paramètres!$A$1:$I$88,3,0)*0.475*44/12</f>
        <v>6.0602059713228638E-9</v>
      </c>
      <c r="AX113" s="23">
        <f t="shared" si="60"/>
        <v>69.676023930824314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projet'!$B$11,Paramètres!$A$1:$I$88,3,0)*VLOOKUP('Données projet'!$B$11,Paramètres!$A$1:$I$88,5,0)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135.14998708332445</v>
      </c>
      <c r="BJ113" s="62">
        <f t="shared" si="92"/>
        <v>245.50083454484513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36.264330742312161</v>
      </c>
      <c r="BQ113" s="23">
        <f>EXP(-LN(2)/25)*BQ112+(1-EXP(-LN(2)/25))/(LN(2)/25)*Calculateur!BL113*Calculateur!BN113*VLOOKUP('Données projet'!$B$11,Paramètres!$A$1:$I$88,3,0)*0.475*44/12</f>
        <v>9.1537822035790839</v>
      </c>
      <c r="BR113" s="23">
        <f>EXP(-LN(2)/2)*BR112+(1-EXP(-LN(2)/2))/(LN(2)/2)*BL113*BO113*VLOOKUP('Données projet'!$B$11,Paramètres!$A$1:$I$88,3,0)*0.475*44/12</f>
        <v>1.565803141145228E-8</v>
      </c>
      <c r="BS113" s="24">
        <f t="shared" si="63"/>
        <v>45.418112961549276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projet'!$B$12,Paramètres!$A$1:$I$88,3,0)*VLOOKUP('Données projet'!$B$12,Paramètres!$A$1:$I$88,5,0)</f>
        <v>6.7984728957526396E-14</v>
      </c>
      <c r="CA113" s="14">
        <f t="shared" si="93"/>
        <v>1.0682447123141398E-12</v>
      </c>
      <c r="CB113" s="22">
        <f t="shared" si="64"/>
        <v>1.978932943548152E-12</v>
      </c>
      <c r="CC113" s="62">
        <f t="shared" si="65"/>
        <v>293.3333333333353</v>
      </c>
      <c r="CD113" s="62">
        <f ca="1">AVERAGE(OFFSET($CC$3,0,0,'Données projet'!$E$12+1,1))-AVERAGE(OFFSET($H$3,0,0,'Données projet'!$E$12+1,1))</f>
        <v>168.16583766359378</v>
      </c>
      <c r="CE113" s="62">
        <f t="shared" si="94"/>
        <v>194.52809733694494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55.948373438027275</v>
      </c>
      <c r="CL113" s="23">
        <f>EXP(-LN(2)/25)*CL112+(1-EXP(-LN(2)/25))/(LN(2)/25)*Calculateur!CG113*Calculateur!CI113*VLOOKUP('Données projet'!$B$12,Paramètres!$A$1:$I$88,3,0)*0.475*44/12</f>
        <v>8.4191716850896547</v>
      </c>
      <c r="CM113" s="23">
        <f>EXP(-LN(2)/2)*CM112+(1-EXP(-LN(2)/2))/(LN(2)/2)*CG113*CJ113*VLOOKUP('Données projet'!$B$12,Paramètres!$A$1:$I$88,3,0)*0.475*44/12</f>
        <v>8.1155091542498906E-7</v>
      </c>
      <c r="CN113" s="24">
        <f t="shared" si="66"/>
        <v>64.367545934667845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projet'!$B$13,Paramètres!$A$1:$I$88,3,0)*VLOOKUP('Données projet'!$B$13,Paramètres!$A$1:$I$88,5,0)</f>
        <v>-4.9658410716801891E-14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146.09202487550647</v>
      </c>
      <c r="CZ113" s="62">
        <f t="shared" si="96"/>
        <v>168.58814676269344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38.446026414214231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38.446026414214231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1.7053025658242404E-13</v>
      </c>
      <c r="DP113" s="18">
        <f>DO113*VLOOKUP('Données projet'!$B$14,Paramètres!$A$1:$I$88,3,0)*VLOOKUP('Données projet'!$B$14,Paramètres!$A$1:$I$88,5,0)</f>
        <v>1.250327841262333E-13</v>
      </c>
      <c r="DQ113" s="14">
        <f t="shared" si="97"/>
        <v>1.8301318724634299E-12</v>
      </c>
      <c r="DR113" s="22">
        <f t="shared" si="70"/>
        <v>3.405245110226996E-12</v>
      </c>
      <c r="DS113" s="62">
        <f t="shared" si="71"/>
        <v>293.33333333333672</v>
      </c>
      <c r="DT113" s="62">
        <f ca="1">AVERAGE(OFFSET($DS$3,0,0,'Données projet'!$E$14+1,1))-AVERAGE(OFFSET($H$3,0,0,'Données projet'!$E$14+1,1))</f>
        <v>116.35584360635318</v>
      </c>
      <c r="DU113" s="62">
        <f t="shared" si="98"/>
        <v>86.38226293640173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46.196571971758807</v>
      </c>
      <c r="EB113" s="23">
        <f>EXP(-LN(2)/25)*EB112+(1-EXP(-LN(2)/25))/(LN(2)/25)*Calculateur!DW113*Calculateur!DY113*VLOOKUP('Données projet'!$B$14,Paramètres!$A$1:$I$88,3,0)*0.475*44/12</f>
        <v>0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46.196571971758807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-40</v>
      </c>
      <c r="O114" s="14">
        <f>N114*VLOOKUP('Données projet'!$B$9,Paramètres!$A$1:$I$88,3,0)*VLOOKUP('Données projet'!$B$9,Paramètres!$A$1:$I$88,5,0)</f>
        <v>-18.72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82.229723373996478</v>
      </c>
      <c r="T114" s="62">
        <f t="shared" si="88"/>
        <v>115.86489547584461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41.919434674206606</v>
      </c>
      <c r="AA114" s="23">
        <f>EXP(-LN(2)/25)*AA113+(1-EXP(-LN(2)/25))/(LN(2)/25)*Calculateur!V114*Calculateur!X114*VLOOKUP('Données projet'!$B$9,Paramètres!$A$1:$I$88,3,0)*0.475*44/12</f>
        <v>5.7671355917184171</v>
      </c>
      <c r="AB114" s="23">
        <f>EXP(-LN(2)/2)*AB113+(1-EXP(-LN(2)/2))/(LN(2)/2)*V114*Y114*VLOOKUP('Données projet'!$B$9,Paramètres!$A$1:$I$88,3,0)*0.475*44/12</f>
        <v>3.9455980150713152E-7</v>
      </c>
      <c r="AC114" s="24">
        <f t="shared" si="57"/>
        <v>47.686570660484819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262.78347246606825</v>
      </c>
      <c r="AO114" s="62">
        <f t="shared" si="90"/>
        <v>448.84541017639367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58.979647153943404</v>
      </c>
      <c r="AV114" s="23">
        <f>EXP(-LN(2)/25)*AV113+(1-EXP(-LN(2)/25))/(LN(2)/25)*Calculateur!AQ114*Calculateur!AS114*VLOOKUP('Données projet'!$B$10,Paramètres!$A$1:$I$88,3,0)*0.475*44/12</f>
        <v>9.2564545460888894</v>
      </c>
      <c r="AW114" s="23">
        <f>EXP(-LN(2)/2)*AW113+(1-EXP(-LN(2)/2))/(LN(2)/2)*AQ114*AT114*VLOOKUP('Données projet'!$B$10,Paramètres!$A$1:$I$88,3,0)*0.475*44/12</f>
        <v>4.2852127377096049E-9</v>
      </c>
      <c r="AX114" s="23">
        <f t="shared" si="60"/>
        <v>68.236101704317505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projet'!$B$11,Paramètres!$A$1:$I$88,3,0)*VLOOKUP('Données projet'!$B$11,Paramètres!$A$1:$I$88,5,0)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135.14998708332445</v>
      </c>
      <c r="BJ114" s="62">
        <f t="shared" si="92"/>
        <v>245.50083454484513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35.553209335513095</v>
      </c>
      <c r="BQ114" s="23">
        <f>EXP(-LN(2)/25)*BQ113+(1-EXP(-LN(2)/25))/(LN(2)/25)*Calculateur!BL114*Calculateur!BN114*VLOOKUP('Données projet'!$B$11,Paramètres!$A$1:$I$88,3,0)*0.475*44/12</f>
        <v>8.9034715478457294</v>
      </c>
      <c r="BR114" s="23">
        <f>EXP(-LN(2)/2)*BR113+(1-EXP(-LN(2)/2))/(LN(2)/2)*BL114*BO114*VLOOKUP('Données projet'!$B$11,Paramètres!$A$1:$I$88,3,0)*0.475*44/12</f>
        <v>1.1071900191069875E-8</v>
      </c>
      <c r="BS114" s="24">
        <f t="shared" si="63"/>
        <v>44.456680894430725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projet'!$B$12,Paramètres!$A$1:$I$88,3,0)*VLOOKUP('Données projet'!$B$12,Paramètres!$A$1:$I$88,5,0)</f>
        <v>6.7984728957526396E-14</v>
      </c>
      <c r="CA114" s="14">
        <f t="shared" si="93"/>
        <v>1.0682447123141398E-12</v>
      </c>
      <c r="CB114" s="22">
        <f t="shared" si="64"/>
        <v>1.978932943548152E-12</v>
      </c>
      <c r="CC114" s="62">
        <f t="shared" si="65"/>
        <v>293.3333333333353</v>
      </c>
      <c r="CD114" s="62">
        <f ca="1">AVERAGE(OFFSET($CC$3,0,0,'Données projet'!$E$12+1,1))-AVERAGE(OFFSET($H$3,0,0,'Données projet'!$E$12+1,1))</f>
        <v>168.16583766359378</v>
      </c>
      <c r="CE114" s="62">
        <f t="shared" si="94"/>
        <v>194.52809733694494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54.85125996004578</v>
      </c>
      <c r="CL114" s="23">
        <f>EXP(-LN(2)/25)*CL113+(1-EXP(-LN(2)/25))/(LN(2)/25)*Calculateur!CG114*Calculateur!CI114*VLOOKUP('Données projet'!$B$12,Paramètres!$A$1:$I$88,3,0)*0.475*44/12</f>
        <v>8.1889489926158809</v>
      </c>
      <c r="CM114" s="23">
        <f>EXP(-LN(2)/2)*CM113+(1-EXP(-LN(2)/2))/(LN(2)/2)*CG114*CJ114*VLOOKUP('Données projet'!$B$12,Paramètres!$A$1:$I$88,3,0)*0.475*44/12</f>
        <v>5.7385315557516007E-7</v>
      </c>
      <c r="CN114" s="24">
        <f t="shared" si="66"/>
        <v>63.040209526514815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projet'!$B$13,Paramètres!$A$1:$I$88,3,0)*VLOOKUP('Données projet'!$B$13,Paramètres!$A$1:$I$88,5,0)</f>
        <v>-4.9658410716801891E-14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146.09202487550647</v>
      </c>
      <c r="CZ114" s="62">
        <f t="shared" si="96"/>
        <v>168.58814676269344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37.692123285992132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37.692123285992132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1.7053025658242404E-13</v>
      </c>
      <c r="DP114" s="18">
        <f>DO114*VLOOKUP('Données projet'!$B$14,Paramètres!$A$1:$I$88,3,0)*VLOOKUP('Données projet'!$B$14,Paramètres!$A$1:$I$88,5,0)</f>
        <v>1.250327841262333E-13</v>
      </c>
      <c r="DQ114" s="14">
        <f t="shared" si="97"/>
        <v>1.8301318724634299E-12</v>
      </c>
      <c r="DR114" s="22">
        <f t="shared" si="70"/>
        <v>3.405245110226996E-12</v>
      </c>
      <c r="DS114" s="62">
        <f t="shared" si="71"/>
        <v>293.33333333333672</v>
      </c>
      <c r="DT114" s="62">
        <f ca="1">AVERAGE(OFFSET($DS$3,0,0,'Données projet'!$E$14+1,1))-AVERAGE(OFFSET($H$3,0,0,'Données projet'!$E$14+1,1))</f>
        <v>116.35584360635318</v>
      </c>
      <c r="DU114" s="62">
        <f t="shared" si="98"/>
        <v>86.38226293640173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45.290685372519256</v>
      </c>
      <c r="EB114" s="23">
        <f>EXP(-LN(2)/25)*EB113+(1-EXP(-LN(2)/25))/(LN(2)/25)*Calculateur!DW114*Calculateur!DY114*VLOOKUP('Données projet'!$B$14,Paramètres!$A$1:$I$88,3,0)*0.475*44/12</f>
        <v>0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45.290685372519256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-40</v>
      </c>
      <c r="O115" s="14">
        <f>N115*VLOOKUP('Données projet'!$B$9,Paramètres!$A$1:$I$88,3,0)*VLOOKUP('Données projet'!$B$9,Paramètres!$A$1:$I$88,5,0)</f>
        <v>-18.72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82.229723373996478</v>
      </c>
      <c r="T115" s="62">
        <f t="shared" si="88"/>
        <v>115.86489547584461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41.097420128575905</v>
      </c>
      <c r="AA115" s="23">
        <f>EXP(-LN(2)/25)*AA114+(1-EXP(-LN(2)/25))/(LN(2)/25)*Calculateur!V115*Calculateur!X115*VLOOKUP('Données projet'!$B$9,Paramètres!$A$1:$I$88,3,0)*0.475*44/12</f>
        <v>5.6094329656823971</v>
      </c>
      <c r="AB115" s="23">
        <f>EXP(-LN(2)/2)*AB114+(1-EXP(-LN(2)/2))/(LN(2)/2)*V115*Y115*VLOOKUP('Données projet'!$B$9,Paramètres!$A$1:$I$88,3,0)*0.475*44/12</f>
        <v>2.7899591122931086E-7</v>
      </c>
      <c r="AC115" s="24">
        <f t="shared" si="57"/>
        <v>46.706853373254212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262.78347246606825</v>
      </c>
      <c r="AO115" s="62">
        <f t="shared" si="90"/>
        <v>448.84541017639367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57.8230922472872</v>
      </c>
      <c r="AV115" s="23">
        <f>EXP(-LN(2)/25)*AV114+(1-EXP(-LN(2)/25))/(LN(2)/25)*Calculateur!AQ115*Calculateur!AS115*VLOOKUP('Données projet'!$B$10,Paramètres!$A$1:$I$88,3,0)*0.475*44/12</f>
        <v>9.0033363097502992</v>
      </c>
      <c r="AW115" s="23">
        <f>EXP(-LN(2)/2)*AW114+(1-EXP(-LN(2)/2))/(LN(2)/2)*AQ115*AT115*VLOOKUP('Données projet'!$B$10,Paramètres!$A$1:$I$88,3,0)*0.475*44/12</f>
        <v>3.0301029856614319E-9</v>
      </c>
      <c r="AX115" s="23">
        <f t="shared" si="60"/>
        <v>66.826428560067612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projet'!$B$11,Paramètres!$A$1:$I$88,3,0)*VLOOKUP('Données projet'!$B$11,Paramètres!$A$1:$I$88,5,0)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135.14998708332445</v>
      </c>
      <c r="BJ115" s="62">
        <f t="shared" si="92"/>
        <v>245.50083454484513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34.856032585760133</v>
      </c>
      <c r="BQ115" s="23">
        <f>EXP(-LN(2)/25)*BQ114+(1-EXP(-LN(2)/25))/(LN(2)/25)*Calculateur!BL115*Calculateur!BN115*VLOOKUP('Données projet'!$B$11,Paramètres!$A$1:$I$88,3,0)*0.475*44/12</f>
        <v>8.660005650156668</v>
      </c>
      <c r="BR115" s="23">
        <f>EXP(-LN(2)/2)*BR114+(1-EXP(-LN(2)/2))/(LN(2)/2)*BL115*BO115*VLOOKUP('Données projet'!$B$11,Paramètres!$A$1:$I$88,3,0)*0.475*44/12</f>
        <v>7.8290157057261398E-9</v>
      </c>
      <c r="BS115" s="24">
        <f t="shared" si="63"/>
        <v>43.516038243745818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projet'!$B$12,Paramètres!$A$1:$I$88,3,0)*VLOOKUP('Données projet'!$B$12,Paramètres!$A$1:$I$88,5,0)</f>
        <v>6.7984728957526396E-14</v>
      </c>
      <c r="CA115" s="14">
        <f t="shared" si="93"/>
        <v>1.0682447123141398E-12</v>
      </c>
      <c r="CB115" s="22">
        <f t="shared" si="64"/>
        <v>1.978932943548152E-12</v>
      </c>
      <c r="CC115" s="62">
        <f t="shared" si="65"/>
        <v>293.3333333333353</v>
      </c>
      <c r="CD115" s="62">
        <f ca="1">AVERAGE(OFFSET($CC$3,0,0,'Données projet'!$E$12+1,1))-AVERAGE(OFFSET($H$3,0,0,'Données projet'!$E$12+1,1))</f>
        <v>168.16583766359378</v>
      </c>
      <c r="CE115" s="62">
        <f t="shared" si="94"/>
        <v>194.52809733694494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53.775660208194353</v>
      </c>
      <c r="CL115" s="23">
        <f>EXP(-LN(2)/25)*CL114+(1-EXP(-LN(2)/25))/(LN(2)/25)*Calculateur!CG115*Calculateur!CI115*VLOOKUP('Données projet'!$B$12,Paramètres!$A$1:$I$88,3,0)*0.475*44/12</f>
        <v>7.965021751774688</v>
      </c>
      <c r="CM115" s="23">
        <f>EXP(-LN(2)/2)*CM114+(1-EXP(-LN(2)/2))/(LN(2)/2)*CG115*CJ115*VLOOKUP('Données projet'!$B$12,Paramètres!$A$1:$I$88,3,0)*0.475*44/12</f>
        <v>4.0577545771249453E-7</v>
      </c>
      <c r="CN115" s="24">
        <f t="shared" si="66"/>
        <v>61.740682365744497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projet'!$B$13,Paramètres!$A$1:$I$88,3,0)*VLOOKUP('Données projet'!$B$13,Paramètres!$A$1:$I$88,5,0)</f>
        <v>-4.9658410716801891E-14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146.09202487550647</v>
      </c>
      <c r="CZ115" s="62">
        <f t="shared" si="96"/>
        <v>168.58814676269344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36.953003738278966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36.953003738278966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1.7053025658242404E-13</v>
      </c>
      <c r="DP115" s="18">
        <f>DO115*VLOOKUP('Données projet'!$B$14,Paramètres!$A$1:$I$88,3,0)*VLOOKUP('Données projet'!$B$14,Paramètres!$A$1:$I$88,5,0)</f>
        <v>1.250327841262333E-13</v>
      </c>
      <c r="DQ115" s="14">
        <f t="shared" si="97"/>
        <v>1.8301318724634299E-12</v>
      </c>
      <c r="DR115" s="22">
        <f t="shared" si="70"/>
        <v>3.405245110226996E-12</v>
      </c>
      <c r="DS115" s="62">
        <f t="shared" si="71"/>
        <v>293.33333333333672</v>
      </c>
      <c r="DT115" s="62">
        <f ca="1">AVERAGE(OFFSET($DS$3,0,0,'Données projet'!$E$14+1,1))-AVERAGE(OFFSET($H$3,0,0,'Données projet'!$E$14+1,1))</f>
        <v>116.35584360635318</v>
      </c>
      <c r="DU115" s="62">
        <f t="shared" si="98"/>
        <v>86.38226293640173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44.40256265695453</v>
      </c>
      <c r="EB115" s="23">
        <f>EXP(-LN(2)/25)*EB114+(1-EXP(-LN(2)/25))/(LN(2)/25)*Calculateur!DW115*Calculateur!DY115*VLOOKUP('Données projet'!$B$14,Paramètres!$A$1:$I$88,3,0)*0.475*44/12</f>
        <v>0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44.40256265695453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-40</v>
      </c>
      <c r="O116" s="14">
        <f>N116*VLOOKUP('Données projet'!$B$9,Paramètres!$A$1:$I$88,3,0)*VLOOKUP('Données projet'!$B$9,Paramètres!$A$1:$I$88,5,0)</f>
        <v>-18.72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82.229723373996478</v>
      </c>
      <c r="T116" s="62">
        <f t="shared" si="88"/>
        <v>115.86489547584461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40.291524786805653</v>
      </c>
      <c r="AA116" s="23">
        <f>EXP(-LN(2)/25)*AA115+(1-EXP(-LN(2)/25))/(LN(2)/25)*Calculateur!V116*Calculateur!X116*VLOOKUP('Données projet'!$B$9,Paramètres!$A$1:$I$88,3,0)*0.475*44/12</f>
        <v>5.4560427262485529</v>
      </c>
      <c r="AB116" s="23">
        <f>EXP(-LN(2)/2)*AB115+(1-EXP(-LN(2)/2))/(LN(2)/2)*V116*Y116*VLOOKUP('Données projet'!$B$9,Paramètres!$A$1:$I$88,3,0)*0.475*44/12</f>
        <v>1.9727990075356576E-7</v>
      </c>
      <c r="AC116" s="24">
        <f t="shared" si="57"/>
        <v>45.74756771033411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262.78347246606825</v>
      </c>
      <c r="AO116" s="62">
        <f t="shared" si="90"/>
        <v>448.84541017639367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56.689216676921681</v>
      </c>
      <c r="AV116" s="23">
        <f>EXP(-LN(2)/25)*AV115+(1-EXP(-LN(2)/25))/(LN(2)/25)*Calculateur!AQ116*Calculateur!AS116*VLOOKUP('Données projet'!$B$10,Paramètres!$A$1:$I$88,3,0)*0.475*44/12</f>
        <v>8.7571396048952987</v>
      </c>
      <c r="AW116" s="23">
        <f>EXP(-LN(2)/2)*AW115+(1-EXP(-LN(2)/2))/(LN(2)/2)*AQ116*AT116*VLOOKUP('Données projet'!$B$10,Paramètres!$A$1:$I$88,3,0)*0.475*44/12</f>
        <v>2.1426063688548024E-9</v>
      </c>
      <c r="AX116" s="23">
        <f t="shared" si="60"/>
        <v>65.446356283959588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projet'!$B$11,Paramètres!$A$1:$I$88,3,0)*VLOOKUP('Données projet'!$B$11,Paramètres!$A$1:$I$88,5,0)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135.14998708332445</v>
      </c>
      <c r="BJ116" s="62">
        <f t="shared" si="92"/>
        <v>245.50083454484513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34.172527046833999</v>
      </c>
      <c r="BQ116" s="23">
        <f>EXP(-LN(2)/25)*BQ115+(1-EXP(-LN(2)/25))/(LN(2)/25)*Calculateur!BL116*Calculateur!BN116*VLOOKUP('Données projet'!$B$11,Paramètres!$A$1:$I$88,3,0)*0.475*44/12</f>
        <v>8.4231973402432292</v>
      </c>
      <c r="BR116" s="23">
        <f>EXP(-LN(2)/2)*BR115+(1-EXP(-LN(2)/2))/(LN(2)/2)*BL116*BO116*VLOOKUP('Données projet'!$B$11,Paramètres!$A$1:$I$88,3,0)*0.475*44/12</f>
        <v>5.5359500955349375E-9</v>
      </c>
      <c r="BS116" s="24">
        <f t="shared" si="63"/>
        <v>42.595724392613178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projet'!$B$12,Paramètres!$A$1:$I$88,3,0)*VLOOKUP('Données projet'!$B$12,Paramètres!$A$1:$I$88,5,0)</f>
        <v>6.7984728957526396E-14</v>
      </c>
      <c r="CA116" s="14">
        <f t="shared" si="93"/>
        <v>1.0682447123141398E-12</v>
      </c>
      <c r="CB116" s="22">
        <f t="shared" si="64"/>
        <v>1.978932943548152E-12</v>
      </c>
      <c r="CC116" s="62">
        <f t="shared" si="65"/>
        <v>293.3333333333353</v>
      </c>
      <c r="CD116" s="62">
        <f ca="1">AVERAGE(OFFSET($CC$3,0,0,'Données projet'!$E$12+1,1))-AVERAGE(OFFSET($H$3,0,0,'Données projet'!$E$12+1,1))</f>
        <v>168.16583766359378</v>
      </c>
      <c r="CE116" s="62">
        <f t="shared" si="94"/>
        <v>194.52809733694494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52.721152311425669</v>
      </c>
      <c r="CL116" s="23">
        <f>EXP(-LN(2)/25)*CL115+(1-EXP(-LN(2)/25))/(LN(2)/25)*Calculateur!CG116*Calculateur!CI116*VLOOKUP('Données projet'!$B$12,Paramètres!$A$1:$I$88,3,0)*0.475*44/12</f>
        <v>7.7472178131101197</v>
      </c>
      <c r="CM116" s="23">
        <f>EXP(-LN(2)/2)*CM115+(1-EXP(-LN(2)/2))/(LN(2)/2)*CG116*CJ116*VLOOKUP('Données projet'!$B$12,Paramètres!$A$1:$I$88,3,0)*0.475*44/12</f>
        <v>2.8692657778758004E-7</v>
      </c>
      <c r="CN116" s="24">
        <f t="shared" si="66"/>
        <v>60.468370411462367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projet'!$B$13,Paramètres!$A$1:$I$88,3,0)*VLOOKUP('Données projet'!$B$13,Paramètres!$A$1:$I$88,5,0)</f>
        <v>-4.9658410716801891E-14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146.09202487550647</v>
      </c>
      <c r="CZ116" s="62">
        <f t="shared" si="96"/>
        <v>168.58814676269344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36.228377874078042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36.228377874078042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1.7053025658242404E-13</v>
      </c>
      <c r="DP116" s="18">
        <f>DO116*VLOOKUP('Données projet'!$B$14,Paramètres!$A$1:$I$88,3,0)*VLOOKUP('Données projet'!$B$14,Paramètres!$A$1:$I$88,5,0)</f>
        <v>1.250327841262333E-13</v>
      </c>
      <c r="DQ116" s="14">
        <f t="shared" si="97"/>
        <v>1.8301318724634299E-12</v>
      </c>
      <c r="DR116" s="22">
        <f t="shared" si="70"/>
        <v>3.405245110226996E-12</v>
      </c>
      <c r="DS116" s="62">
        <f t="shared" si="71"/>
        <v>293.33333333333672</v>
      </c>
      <c r="DT116" s="62">
        <f ca="1">AVERAGE(OFFSET($DS$3,0,0,'Données projet'!$E$14+1,1))-AVERAGE(OFFSET($H$3,0,0,'Données projet'!$E$14+1,1))</f>
        <v>116.35584360635318</v>
      </c>
      <c r="DU116" s="62">
        <f t="shared" si="98"/>
        <v>86.38226293640173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43.531855486140657</v>
      </c>
      <c r="EB116" s="23">
        <f>EXP(-LN(2)/25)*EB115+(1-EXP(-LN(2)/25))/(LN(2)/25)*Calculateur!DW116*Calculateur!DY116*VLOOKUP('Données projet'!$B$14,Paramètres!$A$1:$I$88,3,0)*0.475*44/12</f>
        <v>0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43.531855486140657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-40</v>
      </c>
      <c r="O117" s="14">
        <f>N117*VLOOKUP('Données projet'!$B$9,Paramètres!$A$1:$I$88,3,0)*VLOOKUP('Données projet'!$B$9,Paramètres!$A$1:$I$88,5,0)</f>
        <v>-18.72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82.229723373996478</v>
      </c>
      <c r="T117" s="62">
        <f t="shared" si="88"/>
        <v>115.86489547584461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39.501432561139893</v>
      </c>
      <c r="AA117" s="23">
        <f>EXP(-LN(2)/25)*AA116+(1-EXP(-LN(2)/25))/(LN(2)/25)*Calculateur!V117*Calculateur!X117*VLOOKUP('Données projet'!$B$9,Paramètres!$A$1:$I$88,3,0)*0.475*44/12</f>
        <v>5.3068469509784695</v>
      </c>
      <c r="AB117" s="23">
        <f>EXP(-LN(2)/2)*AB116+(1-EXP(-LN(2)/2))/(LN(2)/2)*V117*Y117*VLOOKUP('Données projet'!$B$9,Paramètres!$A$1:$I$88,3,0)*0.475*44/12</f>
        <v>1.3949795561465543E-7</v>
      </c>
      <c r="AC117" s="24">
        <f t="shared" si="57"/>
        <v>44.808279651616317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262.78347246606825</v>
      </c>
      <c r="AO117" s="62">
        <f t="shared" si="90"/>
        <v>448.84541017639367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55.577575714895225</v>
      </c>
      <c r="AV117" s="23">
        <f>EXP(-LN(2)/25)*AV116+(1-EXP(-LN(2)/25))/(LN(2)/25)*Calculateur!AQ117*Calculateur!AS117*VLOOKUP('Données projet'!$B$10,Paramètres!$A$1:$I$88,3,0)*0.475*44/12</f>
        <v>8.5176751618814794</v>
      </c>
      <c r="AW117" s="23">
        <f>EXP(-LN(2)/2)*AW116+(1-EXP(-LN(2)/2))/(LN(2)/2)*AQ117*AT117*VLOOKUP('Données projet'!$B$10,Paramètres!$A$1:$I$88,3,0)*0.475*44/12</f>
        <v>1.5150514928307159E-9</v>
      </c>
      <c r="AX117" s="23">
        <f t="shared" si="60"/>
        <v>64.09525087829175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projet'!$B$11,Paramètres!$A$1:$I$88,3,0)*VLOOKUP('Données projet'!$B$11,Paramètres!$A$1:$I$88,5,0)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135.14998708332445</v>
      </c>
      <c r="BJ117" s="62">
        <f t="shared" si="92"/>
        <v>245.50083454484513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33.502424634628987</v>
      </c>
      <c r="BQ117" s="23">
        <f>EXP(-LN(2)/25)*BQ116+(1-EXP(-LN(2)/25))/(LN(2)/25)*Calculateur!BL117*Calculateur!BN117*VLOOKUP('Données projet'!$B$11,Paramètres!$A$1:$I$88,3,0)*0.475*44/12</f>
        <v>8.1928645660175814</v>
      </c>
      <c r="BR117" s="23">
        <f>EXP(-LN(2)/2)*BR116+(1-EXP(-LN(2)/2))/(LN(2)/2)*BL117*BO117*VLOOKUP('Données projet'!$B$11,Paramètres!$A$1:$I$88,3,0)*0.475*44/12</f>
        <v>3.9145078528630699E-9</v>
      </c>
      <c r="BS117" s="24">
        <f t="shared" si="63"/>
        <v>41.695289204561078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projet'!$B$12,Paramètres!$A$1:$I$88,3,0)*VLOOKUP('Données projet'!$B$12,Paramètres!$A$1:$I$88,5,0)</f>
        <v>6.7984728957526396E-14</v>
      </c>
      <c r="CA117" s="14">
        <f t="shared" si="93"/>
        <v>1.0682447123141398E-12</v>
      </c>
      <c r="CB117" s="22">
        <f t="shared" si="64"/>
        <v>1.978932943548152E-12</v>
      </c>
      <c r="CC117" s="62">
        <f t="shared" si="65"/>
        <v>293.3333333333353</v>
      </c>
      <c r="CD117" s="62">
        <f ca="1">AVERAGE(OFFSET($CC$3,0,0,'Données projet'!$E$12+1,1))-AVERAGE(OFFSET($H$3,0,0,'Données projet'!$E$12+1,1))</f>
        <v>168.16583766359378</v>
      </c>
      <c r="CE117" s="62">
        <f t="shared" si="94"/>
        <v>194.52809733694494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51.687322671326307</v>
      </c>
      <c r="CL117" s="23">
        <f>EXP(-LN(2)/25)*CL116+(1-EXP(-LN(2)/25))/(LN(2)/25)*Calculateur!CG117*Calculateur!CI117*VLOOKUP('Données projet'!$B$12,Paramètres!$A$1:$I$88,3,0)*0.475*44/12</f>
        <v>7.5353697346021455</v>
      </c>
      <c r="CM117" s="23">
        <f>EXP(-LN(2)/2)*CM116+(1-EXP(-LN(2)/2))/(LN(2)/2)*CG117*CJ117*VLOOKUP('Données projet'!$B$12,Paramètres!$A$1:$I$88,3,0)*0.475*44/12</f>
        <v>2.0288772885624727E-7</v>
      </c>
      <c r="CN117" s="24">
        <f t="shared" si="66"/>
        <v>59.222692608816182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projet'!$B$13,Paramètres!$A$1:$I$88,3,0)*VLOOKUP('Données projet'!$B$13,Paramètres!$A$1:$I$88,5,0)</f>
        <v>-4.9658410716801891E-14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146.09202487550647</v>
      </c>
      <c r="CZ117" s="62">
        <f t="shared" si="96"/>
        <v>168.58814676269344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35.517961481095966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35.517961481095966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1.7053025658242404E-13</v>
      </c>
      <c r="DP117" s="18">
        <f>DO117*VLOOKUP('Données projet'!$B$14,Paramètres!$A$1:$I$88,3,0)*VLOOKUP('Données projet'!$B$14,Paramètres!$A$1:$I$88,5,0)</f>
        <v>1.250327841262333E-13</v>
      </c>
      <c r="DQ117" s="14">
        <f t="shared" si="97"/>
        <v>1.8301318724634299E-12</v>
      </c>
      <c r="DR117" s="22">
        <f t="shared" si="70"/>
        <v>3.405245110226996E-12</v>
      </c>
      <c r="DS117" s="62">
        <f t="shared" si="71"/>
        <v>293.33333333333672</v>
      </c>
      <c r="DT117" s="62">
        <f ca="1">AVERAGE(OFFSET($DS$3,0,0,'Données projet'!$E$14+1,1))-AVERAGE(OFFSET($H$3,0,0,'Données projet'!$E$14+1,1))</f>
        <v>116.35584360635318</v>
      </c>
      <c r="DU117" s="62">
        <f t="shared" si="98"/>
        <v>86.38226293640173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42.678222351867511</v>
      </c>
      <c r="EB117" s="23">
        <f>EXP(-LN(2)/25)*EB116+(1-EXP(-LN(2)/25))/(LN(2)/25)*Calculateur!DW117*Calculateur!DY117*VLOOKUP('Données projet'!$B$14,Paramètres!$A$1:$I$88,3,0)*0.475*44/12</f>
        <v>0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42.678222351867511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-40</v>
      </c>
      <c r="O118" s="14">
        <f>N118*VLOOKUP('Données projet'!$B$9,Paramètres!$A$1:$I$88,3,0)*VLOOKUP('Données projet'!$B$9,Paramètres!$A$1:$I$88,5,0)</f>
        <v>-18.72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82.229723373996478</v>
      </c>
      <c r="T118" s="62">
        <f t="shared" si="88"/>
        <v>115.86489547584461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38.72683356211077</v>
      </c>
      <c r="AA118" s="23">
        <f>EXP(-LN(2)/25)*AA117+(1-EXP(-LN(2)/25))/(LN(2)/25)*Calculateur!V118*Calculateur!X118*VLOOKUP('Données projet'!$B$9,Paramètres!$A$1:$I$88,3,0)*0.475*44/12</f>
        <v>5.1617309420290107</v>
      </c>
      <c r="AB118" s="23">
        <f>EXP(-LN(2)/2)*AB117+(1-EXP(-LN(2)/2))/(LN(2)/2)*V118*Y118*VLOOKUP('Données projet'!$B$9,Paramètres!$A$1:$I$88,3,0)*0.475*44/12</f>
        <v>9.8639950376782879E-8</v>
      </c>
      <c r="AC118" s="24">
        <f t="shared" si="57"/>
        <v>43.888564602779731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262.78347246606825</v>
      </c>
      <c r="AO118" s="62">
        <f t="shared" si="90"/>
        <v>448.84541017639367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54.487733354100072</v>
      </c>
      <c r="AV118" s="23">
        <f>EXP(-LN(2)/25)*AV117+(1-EXP(-LN(2)/25))/(LN(2)/25)*Calculateur!AQ118*Calculateur!AS118*VLOOKUP('Données projet'!$B$10,Paramètres!$A$1:$I$88,3,0)*0.475*44/12</f>
        <v>8.2847588866547603</v>
      </c>
      <c r="AW118" s="23">
        <f>EXP(-LN(2)/2)*AW117+(1-EXP(-LN(2)/2))/(LN(2)/2)*AQ118*AT118*VLOOKUP('Données projet'!$B$10,Paramètres!$A$1:$I$88,3,0)*0.475*44/12</f>
        <v>1.0713031844274012E-9</v>
      </c>
      <c r="AX118" s="23">
        <f t="shared" si="60"/>
        <v>62.772492241826136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projet'!$B$11,Paramètres!$A$1:$I$88,3,0)*VLOOKUP('Données projet'!$B$11,Paramètres!$A$1:$I$88,5,0)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135.14998708332445</v>
      </c>
      <c r="BJ118" s="62">
        <f t="shared" si="92"/>
        <v>245.50083454484513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32.845462522005207</v>
      </c>
      <c r="BQ118" s="23">
        <f>EXP(-LN(2)/25)*BQ117+(1-EXP(-LN(2)/25))/(LN(2)/25)*Calculateur!BL118*Calculateur!BN118*VLOOKUP('Données projet'!$B$11,Paramètres!$A$1:$I$88,3,0)*0.475*44/12</f>
        <v>7.968830253615808</v>
      </c>
      <c r="BR118" s="23">
        <f>EXP(-LN(2)/2)*BR117+(1-EXP(-LN(2)/2))/(LN(2)/2)*BL118*BO118*VLOOKUP('Données projet'!$B$11,Paramètres!$A$1:$I$88,3,0)*0.475*44/12</f>
        <v>2.7679750477674688E-9</v>
      </c>
      <c r="BS118" s="24">
        <f t="shared" si="63"/>
        <v>40.814292778388989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projet'!$B$12,Paramètres!$A$1:$I$88,3,0)*VLOOKUP('Données projet'!$B$12,Paramètres!$A$1:$I$88,5,0)</f>
        <v>6.7984728957526396E-14</v>
      </c>
      <c r="CA118" s="14">
        <f t="shared" si="93"/>
        <v>1.0682447123141398E-12</v>
      </c>
      <c r="CB118" s="22">
        <f t="shared" si="64"/>
        <v>1.978932943548152E-12</v>
      </c>
      <c r="CC118" s="62">
        <f t="shared" si="65"/>
        <v>293.3333333333353</v>
      </c>
      <c r="CD118" s="62">
        <f ca="1">AVERAGE(OFFSET($CC$3,0,0,'Données projet'!$E$12+1,1))-AVERAGE(OFFSET($H$3,0,0,'Données projet'!$E$12+1,1))</f>
        <v>168.16583766359378</v>
      </c>
      <c r="CE118" s="62">
        <f t="shared" si="94"/>
        <v>194.52809733694494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50.673765799895477</v>
      </c>
      <c r="CL118" s="23">
        <f>EXP(-LN(2)/25)*CL117+(1-EXP(-LN(2)/25))/(LN(2)/25)*Calculateur!CG118*Calculateur!CI118*VLOOKUP('Données projet'!$B$12,Paramètres!$A$1:$I$88,3,0)*0.475*44/12</f>
        <v>7.3293146529415782</v>
      </c>
      <c r="CM118" s="23">
        <f>EXP(-LN(2)/2)*CM117+(1-EXP(-LN(2)/2))/(LN(2)/2)*CG118*CJ118*VLOOKUP('Données projet'!$B$12,Paramètres!$A$1:$I$88,3,0)*0.475*44/12</f>
        <v>1.4346328889379002E-7</v>
      </c>
      <c r="CN118" s="24">
        <f t="shared" si="66"/>
        <v>58.003080596300343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projet'!$B$13,Paramètres!$A$1:$I$88,3,0)*VLOOKUP('Données projet'!$B$13,Paramètres!$A$1:$I$88,5,0)</f>
        <v>-4.9658410716801891E-14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146.09202487550647</v>
      </c>
      <c r="CZ118" s="62">
        <f t="shared" si="96"/>
        <v>168.58814676269344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34.821475920269052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34.821475920269052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1.7053025658242404E-13</v>
      </c>
      <c r="DP118" s="18">
        <f>DO118*VLOOKUP('Données projet'!$B$14,Paramètres!$A$1:$I$88,3,0)*VLOOKUP('Données projet'!$B$14,Paramètres!$A$1:$I$88,5,0)</f>
        <v>1.250327841262333E-13</v>
      </c>
      <c r="DQ118" s="14">
        <f t="shared" si="97"/>
        <v>1.8301318724634299E-12</v>
      </c>
      <c r="DR118" s="22">
        <f t="shared" si="70"/>
        <v>3.405245110226996E-12</v>
      </c>
      <c r="DS118" s="62">
        <f t="shared" si="71"/>
        <v>293.33333333333672</v>
      </c>
      <c r="DT118" s="62">
        <f ca="1">AVERAGE(OFFSET($DS$3,0,0,'Données projet'!$E$14+1,1))-AVERAGE(OFFSET($H$3,0,0,'Données projet'!$E$14+1,1))</f>
        <v>116.35584360635318</v>
      </c>
      <c r="DU118" s="62">
        <f t="shared" si="98"/>
        <v>86.38226293640173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41.841328442692664</v>
      </c>
      <c r="EB118" s="23">
        <f>EXP(-LN(2)/25)*EB117+(1-EXP(-LN(2)/25))/(LN(2)/25)*Calculateur!DW118*Calculateur!DY118*VLOOKUP('Données projet'!$B$14,Paramètres!$A$1:$I$88,3,0)*0.475*44/12</f>
        <v>0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41.841328442692664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-40</v>
      </c>
      <c r="O119" s="14">
        <f>N119*VLOOKUP('Données projet'!$B$9,Paramètres!$A$1:$I$88,3,0)*VLOOKUP('Données projet'!$B$9,Paramètres!$A$1:$I$88,5,0)</f>
        <v>-18.72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82.229723373996478</v>
      </c>
      <c r="T119" s="62">
        <f t="shared" si="88"/>
        <v>115.86489547584461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37.967423976993864</v>
      </c>
      <c r="AA119" s="23">
        <f>EXP(-LN(2)/25)*AA118+(1-EXP(-LN(2)/25))/(LN(2)/25)*Calculateur!V119*Calculateur!X119*VLOOKUP('Données projet'!$B$9,Paramètres!$A$1:$I$88,3,0)*0.475*44/12</f>
        <v>5.0205831379755947</v>
      </c>
      <c r="AB119" s="23">
        <f>EXP(-LN(2)/2)*AB118+(1-EXP(-LN(2)/2))/(LN(2)/2)*V119*Y119*VLOOKUP('Données projet'!$B$9,Paramètres!$A$1:$I$88,3,0)*0.475*44/12</f>
        <v>6.9748977807327716E-8</v>
      </c>
      <c r="AC119" s="24">
        <f t="shared" si="57"/>
        <v>42.988007184718434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262.78347246606825</v>
      </c>
      <c r="AO119" s="62">
        <f t="shared" si="90"/>
        <v>448.84541017639367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53.41926213726191</v>
      </c>
      <c r="AV119" s="23">
        <f>EXP(-LN(2)/25)*AV118+(1-EXP(-LN(2)/25))/(LN(2)/25)*Calculateur!AQ119*Calculateur!AS119*VLOOKUP('Données projet'!$B$10,Paramètres!$A$1:$I$88,3,0)*0.475*44/12</f>
        <v>8.0582117192226512</v>
      </c>
      <c r="AW119" s="23">
        <f>EXP(-LN(2)/2)*AW118+(1-EXP(-LN(2)/2))/(LN(2)/2)*AQ119*AT119*VLOOKUP('Données projet'!$B$10,Paramètres!$A$1:$I$88,3,0)*0.475*44/12</f>
        <v>7.5752574641535797E-10</v>
      </c>
      <c r="AX119" s="23">
        <f t="shared" si="60"/>
        <v>61.477473857242089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projet'!$B$11,Paramètres!$A$1:$I$88,3,0)*VLOOKUP('Données projet'!$B$11,Paramètres!$A$1:$I$88,5,0)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135.14998708332445</v>
      </c>
      <c r="BJ119" s="62">
        <f t="shared" si="92"/>
        <v>245.50083454484513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32.201383035702655</v>
      </c>
      <c r="BQ119" s="23">
        <f>EXP(-LN(2)/25)*BQ118+(1-EXP(-LN(2)/25))/(LN(2)/25)*Calculateur!BL119*Calculateur!BN119*VLOOKUP('Données projet'!$B$11,Paramètres!$A$1:$I$88,3,0)*0.475*44/12</f>
        <v>7.7509221712681136</v>
      </c>
      <c r="BR119" s="23">
        <f>EXP(-LN(2)/2)*BR118+(1-EXP(-LN(2)/2))/(LN(2)/2)*BL119*BO119*VLOOKUP('Données projet'!$B$11,Paramètres!$A$1:$I$88,3,0)*0.475*44/12</f>
        <v>1.9572539264315349E-9</v>
      </c>
      <c r="BS119" s="24">
        <f t="shared" si="63"/>
        <v>39.952305208928024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projet'!$B$12,Paramètres!$A$1:$I$88,3,0)*VLOOKUP('Données projet'!$B$12,Paramètres!$A$1:$I$88,5,0)</f>
        <v>6.7984728957526396E-14</v>
      </c>
      <c r="CA119" s="14">
        <f t="shared" si="93"/>
        <v>1.0682447123141398E-12</v>
      </c>
      <c r="CB119" s="22">
        <f t="shared" si="64"/>
        <v>1.978932943548152E-12</v>
      </c>
      <c r="CC119" s="62">
        <f t="shared" si="65"/>
        <v>293.3333333333353</v>
      </c>
      <c r="CD119" s="62">
        <f ca="1">AVERAGE(OFFSET($CC$3,0,0,'Données projet'!$E$12+1,1))-AVERAGE(OFFSET($H$3,0,0,'Données projet'!$E$12+1,1))</f>
        <v>168.16583766359378</v>
      </c>
      <c r="CE119" s="62">
        <f t="shared" si="94"/>
        <v>194.52809733694494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49.680084160504762</v>
      </c>
      <c r="CL119" s="23">
        <f>EXP(-LN(2)/25)*CL118+(1-EXP(-LN(2)/25))/(LN(2)/25)*Calculateur!CG119*Calculateur!CI119*VLOOKUP('Données projet'!$B$12,Paramètres!$A$1:$I$88,3,0)*0.475*44/12</f>
        <v>7.128894158324985</v>
      </c>
      <c r="CM119" s="23">
        <f>EXP(-LN(2)/2)*CM118+(1-EXP(-LN(2)/2))/(LN(2)/2)*CG119*CJ119*VLOOKUP('Données projet'!$B$12,Paramètres!$A$1:$I$88,3,0)*0.475*44/12</f>
        <v>1.0144386442812363E-7</v>
      </c>
      <c r="CN119" s="24">
        <f t="shared" si="66"/>
        <v>56.808978420273611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projet'!$B$13,Paramètres!$A$1:$I$88,3,0)*VLOOKUP('Données projet'!$B$13,Paramètres!$A$1:$I$88,5,0)</f>
        <v>-4.9658410716801891E-14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146.09202487550647</v>
      </c>
      <c r="CZ119" s="62">
        <f t="shared" si="96"/>
        <v>168.58814676269344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34.138648016475706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34.138648016475706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1.7053025658242404E-13</v>
      </c>
      <c r="DP119" s="18">
        <f>DO119*VLOOKUP('Données projet'!$B$14,Paramètres!$A$1:$I$88,3,0)*VLOOKUP('Données projet'!$B$14,Paramètres!$A$1:$I$88,5,0)</f>
        <v>1.250327841262333E-13</v>
      </c>
      <c r="DQ119" s="14">
        <f t="shared" si="97"/>
        <v>1.8301318724634299E-12</v>
      </c>
      <c r="DR119" s="22">
        <f t="shared" si="70"/>
        <v>3.405245110226996E-12</v>
      </c>
      <c r="DS119" s="62">
        <f t="shared" si="71"/>
        <v>293.33333333333672</v>
      </c>
      <c r="DT119" s="62">
        <f ca="1">AVERAGE(OFFSET($DS$3,0,0,'Données projet'!$E$14+1,1))-AVERAGE(OFFSET($H$3,0,0,'Données projet'!$E$14+1,1))</f>
        <v>116.35584360635318</v>
      </c>
      <c r="DU119" s="62">
        <f t="shared" si="98"/>
        <v>86.38226293640173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41.020845512621854</v>
      </c>
      <c r="EB119" s="23">
        <f>EXP(-LN(2)/25)*EB118+(1-EXP(-LN(2)/25))/(LN(2)/25)*Calculateur!DW119*Calculateur!DY119*VLOOKUP('Données projet'!$B$14,Paramètres!$A$1:$I$88,3,0)*0.475*44/12</f>
        <v>0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41.020845512621854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-40</v>
      </c>
      <c r="O120" s="14">
        <f>N120*VLOOKUP('Données projet'!$B$9,Paramètres!$A$1:$I$88,3,0)*VLOOKUP('Données projet'!$B$9,Paramètres!$A$1:$I$88,5,0)</f>
        <v>-18.72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82.229723373996478</v>
      </c>
      <c r="T120" s="62">
        <f t="shared" si="88"/>
        <v>115.86489547584461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37.222905950646997</v>
      </c>
      <c r="AA120" s="23">
        <f>EXP(-LN(2)/25)*AA119+(1-EXP(-LN(2)/25))/(LN(2)/25)*Calculateur!V120*Calculateur!X120*VLOOKUP('Données projet'!$B$9,Paramètres!$A$1:$I$88,3,0)*0.475*44/12</f>
        <v>4.8832950280466596</v>
      </c>
      <c r="AB120" s="23">
        <f>EXP(-LN(2)/2)*AB119+(1-EXP(-LN(2)/2))/(LN(2)/2)*V120*Y120*VLOOKUP('Données projet'!$B$9,Paramètres!$A$1:$I$88,3,0)*0.475*44/12</f>
        <v>4.931997518839144E-8</v>
      </c>
      <c r="AC120" s="24">
        <f t="shared" si="57"/>
        <v>42.106201028013629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262.78347246606825</v>
      </c>
      <c r="AO120" s="62">
        <f t="shared" si="90"/>
        <v>448.84541017639367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52.371742989282851</v>
      </c>
      <c r="AV120" s="23">
        <f>EXP(-LN(2)/25)*AV119+(1-EXP(-LN(2)/25))/(LN(2)/25)*Calculateur!AQ120*Calculateur!AS120*VLOOKUP('Données projet'!$B$10,Paramètres!$A$1:$I$88,3,0)*0.475*44/12</f>
        <v>7.8378594959975709</v>
      </c>
      <c r="AW120" s="23">
        <f>EXP(-LN(2)/2)*AW119+(1-EXP(-LN(2)/2))/(LN(2)/2)*AQ120*AT120*VLOOKUP('Données projet'!$B$10,Paramètres!$A$1:$I$88,3,0)*0.475*44/12</f>
        <v>5.3565159221370061E-10</v>
      </c>
      <c r="AX120" s="23">
        <f t="shared" si="60"/>
        <v>60.20960248581607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projet'!$B$11,Paramètres!$A$1:$I$88,3,0)*VLOOKUP('Données projet'!$B$11,Paramètres!$A$1:$I$88,5,0)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135.14998708332445</v>
      </c>
      <c r="BJ120" s="62">
        <f t="shared" si="92"/>
        <v>245.50083454484513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31.569933555276798</v>
      </c>
      <c r="BQ120" s="23">
        <f>EXP(-LN(2)/25)*BQ119+(1-EXP(-LN(2)/25))/(LN(2)/25)*Calculateur!BL120*Calculateur!BN120*VLOOKUP('Données projet'!$B$11,Paramètres!$A$1:$I$88,3,0)*0.475*44/12</f>
        <v>7.538972796891505</v>
      </c>
      <c r="BR120" s="23">
        <f>EXP(-LN(2)/2)*BR119+(1-EXP(-LN(2)/2))/(LN(2)/2)*BL120*BO120*VLOOKUP('Données projet'!$B$11,Paramètres!$A$1:$I$88,3,0)*0.475*44/12</f>
        <v>1.3839875238837344E-9</v>
      </c>
      <c r="BS120" s="24">
        <f t="shared" si="63"/>
        <v>39.108906353552293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projet'!$B$12,Paramètres!$A$1:$I$88,3,0)*VLOOKUP('Données projet'!$B$12,Paramètres!$A$1:$I$88,5,0)</f>
        <v>6.7984728957526396E-14</v>
      </c>
      <c r="CA120" s="14">
        <f t="shared" si="93"/>
        <v>1.0682447123141398E-12</v>
      </c>
      <c r="CB120" s="22">
        <f t="shared" si="64"/>
        <v>1.978932943548152E-12</v>
      </c>
      <c r="CC120" s="62">
        <f t="shared" si="65"/>
        <v>293.3333333333353</v>
      </c>
      <c r="CD120" s="62">
        <f ca="1">AVERAGE(OFFSET($CC$3,0,0,'Données projet'!$E$12+1,1))-AVERAGE(OFFSET($H$3,0,0,'Données projet'!$E$12+1,1))</f>
        <v>168.16583766359378</v>
      </c>
      <c r="CE120" s="62">
        <f t="shared" si="94"/>
        <v>194.52809733694494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48.70588801197654</v>
      </c>
      <c r="CL120" s="23">
        <f>EXP(-LN(2)/25)*CL119+(1-EXP(-LN(2)/25))/(LN(2)/25)*Calculateur!CG120*Calculateur!CI120*VLOOKUP('Données projet'!$B$12,Paramètres!$A$1:$I$88,3,0)*0.475*44/12</f>
        <v>6.9339541726733378</v>
      </c>
      <c r="CM120" s="23">
        <f>EXP(-LN(2)/2)*CM119+(1-EXP(-LN(2)/2))/(LN(2)/2)*CG120*CJ120*VLOOKUP('Données projet'!$B$12,Paramètres!$A$1:$I$88,3,0)*0.475*44/12</f>
        <v>7.1731644446895009E-8</v>
      </c>
      <c r="CN120" s="24">
        <f t="shared" si="66"/>
        <v>55.63984225638152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projet'!$B$13,Paramètres!$A$1:$I$88,3,0)*VLOOKUP('Données projet'!$B$13,Paramètres!$A$1:$I$88,5,0)</f>
        <v>-4.9658410716801891E-14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146.09202487550647</v>
      </c>
      <c r="CZ120" s="62">
        <f t="shared" si="96"/>
        <v>168.58814676269344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33.469209951391854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33.469209951391854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1.7053025658242404E-13</v>
      </c>
      <c r="DP120" s="18">
        <f>DO120*VLOOKUP('Données projet'!$B$14,Paramètres!$A$1:$I$88,3,0)*VLOOKUP('Données projet'!$B$14,Paramètres!$A$1:$I$88,5,0)</f>
        <v>1.250327841262333E-13</v>
      </c>
      <c r="DQ120" s="14">
        <f t="shared" si="97"/>
        <v>1.8301318724634299E-12</v>
      </c>
      <c r="DR120" s="22">
        <f t="shared" si="70"/>
        <v>3.405245110226996E-12</v>
      </c>
      <c r="DS120" s="62">
        <f t="shared" si="71"/>
        <v>293.33333333333672</v>
      </c>
      <c r="DT120" s="62">
        <f ca="1">AVERAGE(OFFSET($DS$3,0,0,'Données projet'!$E$14+1,1))-AVERAGE(OFFSET($H$3,0,0,'Données projet'!$E$14+1,1))</f>
        <v>116.35584360635318</v>
      </c>
      <c r="DU120" s="62">
        <f t="shared" si="98"/>
        <v>86.38226293640173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40.216451752364556</v>
      </c>
      <c r="EB120" s="23">
        <f>EXP(-LN(2)/25)*EB119+(1-EXP(-LN(2)/25))/(LN(2)/25)*Calculateur!DW120*Calculateur!DY120*VLOOKUP('Données projet'!$B$14,Paramètres!$A$1:$I$88,3,0)*0.475*44/12</f>
        <v>0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40.216451752364556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-40</v>
      </c>
      <c r="O121" s="14">
        <f>N121*VLOOKUP('Données projet'!$B$9,Paramètres!$A$1:$I$88,3,0)*VLOOKUP('Données projet'!$B$9,Paramètres!$A$1:$I$88,5,0)</f>
        <v>-18.72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82.229723373996478</v>
      </c>
      <c r="T121" s="62">
        <f t="shared" si="88"/>
        <v>115.86489547584461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36.492987468685634</v>
      </c>
      <c r="AA121" s="23">
        <f>EXP(-LN(2)/25)*AA120+(1-EXP(-LN(2)/25))/(LN(2)/25)*Calculateur!V121*Calculateur!X121*VLOOKUP('Données projet'!$B$9,Paramètres!$A$1:$I$88,3,0)*0.475*44/12</f>
        <v>4.7497610687033989</v>
      </c>
      <c r="AB121" s="23">
        <f>EXP(-LN(2)/2)*AB120+(1-EXP(-LN(2)/2))/(LN(2)/2)*V121*Y121*VLOOKUP('Données projet'!$B$9,Paramètres!$A$1:$I$88,3,0)*0.475*44/12</f>
        <v>3.4874488903663858E-8</v>
      </c>
      <c r="AC121" s="24">
        <f t="shared" si="57"/>
        <v>41.242748572263523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262.78347246606825</v>
      </c>
      <c r="AO121" s="62">
        <f t="shared" si="90"/>
        <v>448.84541017639367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51.34476505287207</v>
      </c>
      <c r="AV121" s="23">
        <f>EXP(-LN(2)/25)*AV120+(1-EXP(-LN(2)/25))/(LN(2)/25)*Calculateur!AQ121*Calculateur!AS121*VLOOKUP('Données projet'!$B$10,Paramètres!$A$1:$I$88,3,0)*0.475*44/12</f>
        <v>7.6235328159044</v>
      </c>
      <c r="AW121" s="23">
        <f>EXP(-LN(2)/2)*AW120+(1-EXP(-LN(2)/2))/(LN(2)/2)*AQ121*AT121*VLOOKUP('Données projet'!$B$10,Paramètres!$A$1:$I$88,3,0)*0.475*44/12</f>
        <v>3.7876287320767899E-10</v>
      </c>
      <c r="AX121" s="23">
        <f t="shared" si="60"/>
        <v>58.968297869155229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projet'!$B$11,Paramètres!$A$1:$I$88,3,0)*VLOOKUP('Données projet'!$B$11,Paramètres!$A$1:$I$88,5,0)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135.14998708332445</v>
      </c>
      <c r="BJ121" s="62">
        <f t="shared" si="92"/>
        <v>245.50083454484513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30.950866414015941</v>
      </c>
      <c r="BQ121" s="23">
        <f>EXP(-LN(2)/25)*BQ120+(1-EXP(-LN(2)/25))/(LN(2)/25)*Calculateur!BL121*Calculateur!BN121*VLOOKUP('Données projet'!$B$11,Paramètres!$A$1:$I$88,3,0)*0.475*44/12</f>
        <v>7.3328191893031578</v>
      </c>
      <c r="BR121" s="23">
        <f>EXP(-LN(2)/2)*BR120+(1-EXP(-LN(2)/2))/(LN(2)/2)*BL121*BO121*VLOOKUP('Données projet'!$B$11,Paramètres!$A$1:$I$88,3,0)*0.475*44/12</f>
        <v>9.7862696321576747E-10</v>
      </c>
      <c r="BS121" s="24">
        <f t="shared" si="63"/>
        <v>38.28368560429773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projet'!$B$12,Paramètres!$A$1:$I$88,3,0)*VLOOKUP('Données projet'!$B$12,Paramètres!$A$1:$I$88,5,0)</f>
        <v>6.7984728957526396E-14</v>
      </c>
      <c r="CA121" s="14">
        <f t="shared" si="93"/>
        <v>1.0682447123141398E-12</v>
      </c>
      <c r="CB121" s="22">
        <f t="shared" si="64"/>
        <v>1.978932943548152E-12</v>
      </c>
      <c r="CC121" s="62">
        <f t="shared" si="65"/>
        <v>293.3333333333353</v>
      </c>
      <c r="CD121" s="62">
        <f ca="1">AVERAGE(OFFSET($CC$3,0,0,'Données projet'!$E$12+1,1))-AVERAGE(OFFSET($H$3,0,0,'Données projet'!$E$12+1,1))</f>
        <v>168.16583766359378</v>
      </c>
      <c r="CE121" s="62">
        <f t="shared" si="94"/>
        <v>194.52809733694494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47.750795255719979</v>
      </c>
      <c r="CL121" s="23">
        <f>EXP(-LN(2)/25)*CL120+(1-EXP(-LN(2)/25))/(LN(2)/25)*Calculateur!CG121*Calculateur!CI121*VLOOKUP('Données projet'!$B$12,Paramètres!$A$1:$I$88,3,0)*0.475*44/12</f>
        <v>6.7443448311807828</v>
      </c>
      <c r="CM121" s="23">
        <f>EXP(-LN(2)/2)*CM120+(1-EXP(-LN(2)/2))/(LN(2)/2)*CG121*CJ121*VLOOKUP('Données projet'!$B$12,Paramètres!$A$1:$I$88,3,0)*0.475*44/12</f>
        <v>5.0721932214061816E-8</v>
      </c>
      <c r="CN121" s="24">
        <f t="shared" si="66"/>
        <v>54.495140137622691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projet'!$B$13,Paramètres!$A$1:$I$88,3,0)*VLOOKUP('Données projet'!$B$13,Paramètres!$A$1:$I$88,5,0)</f>
        <v>-4.9658410716801891E-14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146.09202487550647</v>
      </c>
      <c r="CZ121" s="62">
        <f t="shared" si="96"/>
        <v>168.58814676269344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32.812899158447394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32.812899158447394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1.7053025658242404E-13</v>
      </c>
      <c r="DP121" s="18">
        <f>DO121*VLOOKUP('Données projet'!$B$14,Paramètres!$A$1:$I$88,3,0)*VLOOKUP('Données projet'!$B$14,Paramètres!$A$1:$I$88,5,0)</f>
        <v>1.250327841262333E-13</v>
      </c>
      <c r="DQ121" s="14">
        <f t="shared" si="97"/>
        <v>1.8301318724634299E-12</v>
      </c>
      <c r="DR121" s="22">
        <f t="shared" si="70"/>
        <v>3.405245110226996E-12</v>
      </c>
      <c r="DS121" s="62">
        <f t="shared" si="71"/>
        <v>293.33333333333672</v>
      </c>
      <c r="DT121" s="62">
        <f ca="1">AVERAGE(OFFSET($DS$3,0,0,'Données projet'!$E$14+1,1))-AVERAGE(OFFSET($H$3,0,0,'Données projet'!$E$14+1,1))</f>
        <v>116.35584360635318</v>
      </c>
      <c r="DU121" s="62">
        <f t="shared" si="98"/>
        <v>86.38226293640173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39.427831663114155</v>
      </c>
      <c r="EB121" s="23">
        <f>EXP(-LN(2)/25)*EB120+(1-EXP(-LN(2)/25))/(LN(2)/25)*Calculateur!DW121*Calculateur!DY121*VLOOKUP('Données projet'!$B$14,Paramètres!$A$1:$I$88,3,0)*0.475*44/12</f>
        <v>0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39.427831663114155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-40</v>
      </c>
      <c r="O122" s="14">
        <f>N122*VLOOKUP('Données projet'!$B$9,Paramètres!$A$1:$I$88,3,0)*VLOOKUP('Données projet'!$B$9,Paramètres!$A$1:$I$88,5,0)</f>
        <v>-18.72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82.229723373996478</v>
      </c>
      <c r="T122" s="62">
        <f t="shared" si="88"/>
        <v>115.86489547584461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35.777382242949216</v>
      </c>
      <c r="AA122" s="23">
        <f>EXP(-LN(2)/25)*AA121+(1-EXP(-LN(2)/25))/(LN(2)/25)*Calculateur!V122*Calculateur!X122*VLOOKUP('Données projet'!$B$9,Paramètres!$A$1:$I$88,3,0)*0.475*44/12</f>
        <v>4.6198786025006253</v>
      </c>
      <c r="AB122" s="23">
        <f>EXP(-LN(2)/2)*AB121+(1-EXP(-LN(2)/2))/(LN(2)/2)*V122*Y122*VLOOKUP('Données projet'!$B$9,Paramètres!$A$1:$I$88,3,0)*0.475*44/12</f>
        <v>2.465998759419572E-8</v>
      </c>
      <c r="AC122" s="24">
        <f t="shared" si="57"/>
        <v>40.397260870109832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262.78347246606825</v>
      </c>
      <c r="AO122" s="62">
        <f t="shared" si="90"/>
        <v>448.84541017639367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50.337925527399612</v>
      </c>
      <c r="AV122" s="23">
        <f>EXP(-LN(2)/25)*AV121+(1-EXP(-LN(2)/25))/(LN(2)/25)*Calculateur!AQ122*Calculateur!AS122*VLOOKUP('Données projet'!$B$10,Paramètres!$A$1:$I$88,3,0)*0.475*44/12</f>
        <v>7.415066910149327</v>
      </c>
      <c r="AW122" s="23">
        <f>EXP(-LN(2)/2)*AW121+(1-EXP(-LN(2)/2))/(LN(2)/2)*AQ122*AT122*VLOOKUP('Données projet'!$B$10,Paramètres!$A$1:$I$88,3,0)*0.475*44/12</f>
        <v>2.678257961068503E-10</v>
      </c>
      <c r="AX122" s="23">
        <f t="shared" si="60"/>
        <v>57.752992437816765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projet'!$B$11,Paramètres!$A$1:$I$88,3,0)*VLOOKUP('Données projet'!$B$11,Paramètres!$A$1:$I$88,5,0)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135.14998708332445</v>
      </c>
      <c r="BJ122" s="62">
        <f t="shared" si="92"/>
        <v>245.50083454484513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30.343938801801539</v>
      </c>
      <c r="BQ122" s="23">
        <f>EXP(-LN(2)/25)*BQ121+(1-EXP(-LN(2)/25))/(LN(2)/25)*Calculateur!BL122*Calculateur!BN122*VLOOKUP('Données projet'!$B$11,Paramètres!$A$1:$I$88,3,0)*0.475*44/12</f>
        <v>7.132302862955461</v>
      </c>
      <c r="BR122" s="23">
        <f>EXP(-LN(2)/2)*BR121+(1-EXP(-LN(2)/2))/(LN(2)/2)*BL122*BO122*VLOOKUP('Données projet'!$B$11,Paramètres!$A$1:$I$88,3,0)*0.475*44/12</f>
        <v>6.9199376194186719E-10</v>
      </c>
      <c r="BS122" s="24">
        <f t="shared" si="63"/>
        <v>37.476241665448988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projet'!$B$12,Paramètres!$A$1:$I$88,3,0)*VLOOKUP('Données projet'!$B$12,Paramètres!$A$1:$I$88,5,0)</f>
        <v>6.7984728957526396E-14</v>
      </c>
      <c r="CA122" s="14">
        <f t="shared" si="93"/>
        <v>1.0682447123141398E-12</v>
      </c>
      <c r="CB122" s="22">
        <f t="shared" si="64"/>
        <v>1.978932943548152E-12</v>
      </c>
      <c r="CC122" s="62">
        <f t="shared" si="65"/>
        <v>293.3333333333353</v>
      </c>
      <c r="CD122" s="62">
        <f ca="1">AVERAGE(OFFSET($CC$3,0,0,'Données projet'!$E$12+1,1))-AVERAGE(OFFSET($H$3,0,0,'Données projet'!$E$12+1,1))</f>
        <v>168.16583766359378</v>
      </c>
      <c r="CE122" s="62">
        <f t="shared" si="94"/>
        <v>194.52809733694494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46.814431285864551</v>
      </c>
      <c r="CL122" s="23">
        <f>EXP(-LN(2)/25)*CL121+(1-EXP(-LN(2)/25))/(LN(2)/25)*Calculateur!CG122*Calculateur!CI122*VLOOKUP('Données projet'!$B$12,Paramètres!$A$1:$I$88,3,0)*0.475*44/12</f>
        <v>6.559920367102464</v>
      </c>
      <c r="CM122" s="23">
        <f>EXP(-LN(2)/2)*CM121+(1-EXP(-LN(2)/2))/(LN(2)/2)*CG122*CJ122*VLOOKUP('Données projet'!$B$12,Paramètres!$A$1:$I$88,3,0)*0.475*44/12</f>
        <v>3.5865822223447504E-8</v>
      </c>
      <c r="CN122" s="24">
        <f t="shared" si="66"/>
        <v>53.374351688832839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projet'!$B$13,Paramètres!$A$1:$I$88,3,0)*VLOOKUP('Données projet'!$B$13,Paramètres!$A$1:$I$88,5,0)</f>
        <v>-4.9658410716801891E-14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146.09202487550647</v>
      </c>
      <c r="CZ122" s="62">
        <f t="shared" si="96"/>
        <v>168.58814676269344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32.169458219842518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32.169458219842518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1.7053025658242404E-13</v>
      </c>
      <c r="DP122" s="18">
        <f>DO122*VLOOKUP('Données projet'!$B$14,Paramètres!$A$1:$I$88,3,0)*VLOOKUP('Données projet'!$B$14,Paramètres!$A$1:$I$88,5,0)</f>
        <v>1.250327841262333E-13</v>
      </c>
      <c r="DQ122" s="14">
        <f t="shared" si="97"/>
        <v>1.8301318724634299E-12</v>
      </c>
      <c r="DR122" s="22">
        <f t="shared" si="70"/>
        <v>3.405245110226996E-12</v>
      </c>
      <c r="DS122" s="62">
        <f t="shared" si="71"/>
        <v>293.33333333333672</v>
      </c>
      <c r="DT122" s="62">
        <f ca="1">AVERAGE(OFFSET($DS$3,0,0,'Données projet'!$E$14+1,1))-AVERAGE(OFFSET($H$3,0,0,'Données projet'!$E$14+1,1))</f>
        <v>116.35584360635318</v>
      </c>
      <c r="DU122" s="62">
        <f t="shared" si="98"/>
        <v>86.38226293640173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38.654675932803201</v>
      </c>
      <c r="EB122" s="23">
        <f>EXP(-LN(2)/25)*EB121+(1-EXP(-LN(2)/25))/(LN(2)/25)*Calculateur!DW122*Calculateur!DY122*VLOOKUP('Données projet'!$B$14,Paramètres!$A$1:$I$88,3,0)*0.475*44/12</f>
        <v>0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38.654675932803201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-40</v>
      </c>
      <c r="O123" s="14">
        <f>N123*VLOOKUP('Données projet'!$B$9,Paramètres!$A$1:$I$88,3,0)*VLOOKUP('Données projet'!$B$9,Paramètres!$A$1:$I$88,5,0)</f>
        <v>-18.72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82.229723373996478</v>
      </c>
      <c r="T123" s="62">
        <f t="shared" si="88"/>
        <v>115.86489547584461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35.0758095992134</v>
      </c>
      <c r="AA123" s="23">
        <f>EXP(-LN(2)/25)*AA122+(1-EXP(-LN(2)/25))/(LN(2)/25)*Calculateur!V123*Calculateur!X123*VLOOKUP('Données projet'!$B$9,Paramètres!$A$1:$I$88,3,0)*0.475*44/12</f>
        <v>4.4935477791663887</v>
      </c>
      <c r="AB123" s="23">
        <f>EXP(-LN(2)/2)*AB122+(1-EXP(-LN(2)/2))/(LN(2)/2)*V123*Y123*VLOOKUP('Données projet'!$B$9,Paramètres!$A$1:$I$88,3,0)*0.475*44/12</f>
        <v>1.7437244451831929E-8</v>
      </c>
      <c r="AC123" s="24">
        <f t="shared" si="57"/>
        <v>39.569357395817036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262.78347246606825</v>
      </c>
      <c r="AO123" s="62">
        <f t="shared" si="90"/>
        <v>448.84541017639367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49.350829510910195</v>
      </c>
      <c r="AV123" s="23">
        <f>EXP(-LN(2)/25)*AV122+(1-EXP(-LN(2)/25))/(LN(2)/25)*Calculateur!AQ123*Calculateur!AS123*VLOOKUP('Données projet'!$B$10,Paramètres!$A$1:$I$88,3,0)*0.475*44/12</f>
        <v>7.2123015155498722</v>
      </c>
      <c r="AW123" s="23">
        <f>EXP(-LN(2)/2)*AW122+(1-EXP(-LN(2)/2))/(LN(2)/2)*AQ123*AT123*VLOOKUP('Données projet'!$B$10,Paramètres!$A$1:$I$88,3,0)*0.475*44/12</f>
        <v>1.8938143660383949E-10</v>
      </c>
      <c r="AX123" s="23">
        <f t="shared" si="60"/>
        <v>56.563131026649451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projet'!$B$11,Paramètres!$A$1:$I$88,3,0)*VLOOKUP('Données projet'!$B$11,Paramètres!$A$1:$I$88,5,0)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135.14998708332445</v>
      </c>
      <c r="BJ123" s="62">
        <f t="shared" si="92"/>
        <v>245.50083454484513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29.74891266987337</v>
      </c>
      <c r="BQ123" s="23">
        <f>EXP(-LN(2)/25)*BQ122+(1-EXP(-LN(2)/25))/(LN(2)/25)*Calculateur!BL123*Calculateur!BN123*VLOOKUP('Données projet'!$B$11,Paramètres!$A$1:$I$88,3,0)*0.475*44/12</f>
        <v>6.9372696660964372</v>
      </c>
      <c r="BR123" s="23">
        <f>EXP(-LN(2)/2)*BR122+(1-EXP(-LN(2)/2))/(LN(2)/2)*BL123*BO123*VLOOKUP('Données projet'!$B$11,Paramètres!$A$1:$I$88,3,0)*0.475*44/12</f>
        <v>4.8931348160788374E-10</v>
      </c>
      <c r="BS123" s="24">
        <f t="shared" si="63"/>
        <v>36.686182336459119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projet'!$B$12,Paramètres!$A$1:$I$88,3,0)*VLOOKUP('Données projet'!$B$12,Paramètres!$A$1:$I$88,5,0)</f>
        <v>6.7984728957526396E-14</v>
      </c>
      <c r="CA123" s="14">
        <f t="shared" si="93"/>
        <v>1.0682447123141398E-12</v>
      </c>
      <c r="CB123" s="22">
        <f t="shared" si="64"/>
        <v>1.978932943548152E-12</v>
      </c>
      <c r="CC123" s="62">
        <f t="shared" si="65"/>
        <v>293.3333333333353</v>
      </c>
      <c r="CD123" s="62">
        <f ca="1">AVERAGE(OFFSET($CC$3,0,0,'Données projet'!$E$12+1,1))-AVERAGE(OFFSET($H$3,0,0,'Données projet'!$E$12+1,1))</f>
        <v>168.16583766359378</v>
      </c>
      <c r="CE123" s="62">
        <f t="shared" si="94"/>
        <v>194.52809733694494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45.896428842332362</v>
      </c>
      <c r="CL123" s="23">
        <f>EXP(-LN(2)/25)*CL122+(1-EXP(-LN(2)/25))/(LN(2)/25)*Calculateur!CG123*Calculateur!CI123*VLOOKUP('Données projet'!$B$12,Paramètres!$A$1:$I$88,3,0)*0.475*44/12</f>
        <v>6.3805389996928277</v>
      </c>
      <c r="CM123" s="23">
        <f>EXP(-LN(2)/2)*CM122+(1-EXP(-LN(2)/2))/(LN(2)/2)*CG123*CJ123*VLOOKUP('Données projet'!$B$12,Paramètres!$A$1:$I$88,3,0)*0.475*44/12</f>
        <v>2.5360966107030908E-8</v>
      </c>
      <c r="CN123" s="24">
        <f t="shared" si="66"/>
        <v>52.276967867386155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projet'!$B$13,Paramètres!$A$1:$I$88,3,0)*VLOOKUP('Données projet'!$B$13,Paramètres!$A$1:$I$88,5,0)</f>
        <v>-4.9658410716801891E-14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146.09202487550647</v>
      </c>
      <c r="CZ123" s="62">
        <f t="shared" si="96"/>
        <v>168.58814676269344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31.538634765583463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31.538634765583463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1.7053025658242404E-13</v>
      </c>
      <c r="DP123" s="18">
        <f>DO123*VLOOKUP('Données projet'!$B$14,Paramètres!$A$1:$I$88,3,0)*VLOOKUP('Données projet'!$B$14,Paramètres!$A$1:$I$88,5,0)</f>
        <v>1.250327841262333E-13</v>
      </c>
      <c r="DQ123" s="14">
        <f t="shared" si="97"/>
        <v>1.8301318724634299E-12</v>
      </c>
      <c r="DR123" s="22">
        <f t="shared" si="70"/>
        <v>3.405245110226996E-12</v>
      </c>
      <c r="DS123" s="62">
        <f t="shared" si="71"/>
        <v>293.33333333333672</v>
      </c>
      <c r="DT123" s="62">
        <f ca="1">AVERAGE(OFFSET($DS$3,0,0,'Données projet'!$E$14+1,1))-AVERAGE(OFFSET($H$3,0,0,'Données projet'!$E$14+1,1))</f>
        <v>116.35584360635318</v>
      </c>
      <c r="DU123" s="62">
        <f t="shared" si="98"/>
        <v>86.38226293640173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37.896681314785212</v>
      </c>
      <c r="EB123" s="23">
        <f>EXP(-LN(2)/25)*EB122+(1-EXP(-LN(2)/25))/(LN(2)/25)*Calculateur!DW123*Calculateur!DY123*VLOOKUP('Données projet'!$B$14,Paramètres!$A$1:$I$88,3,0)*0.475*44/12</f>
        <v>0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37.896681314785212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-40</v>
      </c>
      <c r="O124" s="14">
        <f>N124*VLOOKUP('Données projet'!$B$9,Paramètres!$A$1:$I$88,3,0)*VLOOKUP('Données projet'!$B$9,Paramètres!$A$1:$I$88,5,0)</f>
        <v>-18.72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82.229723373996478</v>
      </c>
      <c r="T124" s="62">
        <f t="shared" si="88"/>
        <v>115.86489547584461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34.387994367104184</v>
      </c>
      <c r="AA124" s="23">
        <f>EXP(-LN(2)/25)*AA123+(1-EXP(-LN(2)/25))/(LN(2)/25)*Calculateur!V124*Calculateur!X124*VLOOKUP('Données projet'!$B$9,Paramètres!$A$1:$I$88,3,0)*0.475*44/12</f>
        <v>4.3706714788396761</v>
      </c>
      <c r="AB124" s="23">
        <f>EXP(-LN(2)/2)*AB123+(1-EXP(-LN(2)/2))/(LN(2)/2)*V124*Y124*VLOOKUP('Données projet'!$B$9,Paramètres!$A$1:$I$88,3,0)*0.475*44/12</f>
        <v>1.232999379709786E-8</v>
      </c>
      <c r="AC124" s="24">
        <f t="shared" si="57"/>
        <v>38.758665858273851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262.78347246606825</v>
      </c>
      <c r="AO124" s="62">
        <f t="shared" si="90"/>
        <v>448.84541017639367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48.38308984523502</v>
      </c>
      <c r="AV124" s="23">
        <f>EXP(-LN(2)/25)*AV123+(1-EXP(-LN(2)/25))/(LN(2)/25)*Calculateur!AQ124*Calculateur!AS124*VLOOKUP('Données projet'!$B$10,Paramètres!$A$1:$I$88,3,0)*0.475*44/12</f>
        <v>7.0150807513287079</v>
      </c>
      <c r="AW124" s="23">
        <f>EXP(-LN(2)/2)*AW123+(1-EXP(-LN(2)/2))/(LN(2)/2)*AQ124*AT124*VLOOKUP('Données projet'!$B$10,Paramètres!$A$1:$I$88,3,0)*0.475*44/12</f>
        <v>1.3391289805342515E-10</v>
      </c>
      <c r="AX124" s="23">
        <f t="shared" si="60"/>
        <v>55.398170596697646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projet'!$B$11,Paramètres!$A$1:$I$88,3,0)*VLOOKUP('Données projet'!$B$11,Paramètres!$A$1:$I$88,5,0)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135.14998708332445</v>
      </c>
      <c r="BJ124" s="62">
        <f t="shared" si="92"/>
        <v>245.50083454484513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29.165554637462208</v>
      </c>
      <c r="BQ124" s="23">
        <f>EXP(-LN(2)/25)*BQ123+(1-EXP(-LN(2)/25))/(LN(2)/25)*Calculateur!BL124*Calculateur!BN124*VLOOKUP('Données projet'!$B$11,Paramètres!$A$1:$I$88,3,0)*0.475*44/12</f>
        <v>6.7475696622618742</v>
      </c>
      <c r="BR124" s="23">
        <f>EXP(-LN(2)/2)*BR123+(1-EXP(-LN(2)/2))/(LN(2)/2)*BL124*BO124*VLOOKUP('Données projet'!$B$11,Paramètres!$A$1:$I$88,3,0)*0.475*44/12</f>
        <v>3.4599688097093359E-10</v>
      </c>
      <c r="BS124" s="24">
        <f t="shared" si="63"/>
        <v>35.913124300070081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projet'!$B$12,Paramètres!$A$1:$I$88,3,0)*VLOOKUP('Données projet'!$B$12,Paramètres!$A$1:$I$88,5,0)</f>
        <v>6.7984728957526396E-14</v>
      </c>
      <c r="CA124" s="14">
        <f t="shared" si="93"/>
        <v>1.0682447123141398E-12</v>
      </c>
      <c r="CB124" s="22">
        <f t="shared" si="64"/>
        <v>1.978932943548152E-12</v>
      </c>
      <c r="CC124" s="62">
        <f t="shared" si="65"/>
        <v>293.3333333333353</v>
      </c>
      <c r="CD124" s="62">
        <f ca="1">AVERAGE(OFFSET($CC$3,0,0,'Données projet'!$E$12+1,1))-AVERAGE(OFFSET($H$3,0,0,'Données projet'!$E$12+1,1))</f>
        <v>168.16583766359378</v>
      </c>
      <c r="CE124" s="62">
        <f t="shared" si="94"/>
        <v>194.52809733694494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44.996427866791635</v>
      </c>
      <c r="CL124" s="23">
        <f>EXP(-LN(2)/25)*CL123+(1-EXP(-LN(2)/25))/(LN(2)/25)*Calculateur!CG124*Calculateur!CI124*VLOOKUP('Données projet'!$B$12,Paramètres!$A$1:$I$88,3,0)*0.475*44/12</f>
        <v>6.2060628252082646</v>
      </c>
      <c r="CM124" s="23">
        <f>EXP(-LN(2)/2)*CM123+(1-EXP(-LN(2)/2))/(LN(2)/2)*CG124*CJ124*VLOOKUP('Données projet'!$B$12,Paramètres!$A$1:$I$88,3,0)*0.475*44/12</f>
        <v>1.7932911111723752E-8</v>
      </c>
      <c r="CN124" s="24">
        <f t="shared" si="66"/>
        <v>51.20249070993281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projet'!$B$13,Paramètres!$A$1:$I$88,3,0)*VLOOKUP('Données projet'!$B$13,Paramètres!$A$1:$I$88,5,0)</f>
        <v>-4.9658410716801891E-14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146.09202487550647</v>
      </c>
      <c r="CZ124" s="62">
        <f t="shared" si="96"/>
        <v>168.58814676269344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30.920181374498114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30.920181374498114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1.7053025658242404E-13</v>
      </c>
      <c r="DP124" s="18">
        <f>DO124*VLOOKUP('Données projet'!$B$14,Paramètres!$A$1:$I$88,3,0)*VLOOKUP('Données projet'!$B$14,Paramètres!$A$1:$I$88,5,0)</f>
        <v>1.250327841262333E-13</v>
      </c>
      <c r="DQ124" s="14">
        <f t="shared" si="97"/>
        <v>1.8301318724634299E-12</v>
      </c>
      <c r="DR124" s="22">
        <f t="shared" si="70"/>
        <v>3.405245110226996E-12</v>
      </c>
      <c r="DS124" s="62">
        <f t="shared" si="71"/>
        <v>293.33333333333672</v>
      </c>
      <c r="DT124" s="62">
        <f ca="1">AVERAGE(OFFSET($DS$3,0,0,'Données projet'!$E$14+1,1))-AVERAGE(OFFSET($H$3,0,0,'Données projet'!$E$14+1,1))</f>
        <v>116.35584360635318</v>
      </c>
      <c r="DU124" s="62">
        <f t="shared" si="98"/>
        <v>86.38226293640173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37.153550508895492</v>
      </c>
      <c r="EB124" s="23">
        <f>EXP(-LN(2)/25)*EB123+(1-EXP(-LN(2)/25))/(LN(2)/25)*Calculateur!DW124*Calculateur!DY124*VLOOKUP('Données projet'!$B$14,Paramètres!$A$1:$I$88,3,0)*0.475*44/12</f>
        <v>0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37.153550508895492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-40</v>
      </c>
      <c r="O125" s="14">
        <f>N125*VLOOKUP('Données projet'!$B$9,Paramètres!$A$1:$I$88,3,0)*VLOOKUP('Données projet'!$B$9,Paramètres!$A$1:$I$88,5,0)</f>
        <v>-18.72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82.229723373996478</v>
      </c>
      <c r="T125" s="62">
        <f t="shared" si="88"/>
        <v>115.86489547584461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33.713666772170768</v>
      </c>
      <c r="AA125" s="23">
        <f>EXP(-LN(2)/25)*AA124+(1-EXP(-LN(2)/25))/(LN(2)/25)*Calculateur!V125*Calculateur!X125*VLOOKUP('Données projet'!$B$9,Paramètres!$A$1:$I$88,3,0)*0.475*44/12</f>
        <v>4.2511552374071817</v>
      </c>
      <c r="AB125" s="23">
        <f>EXP(-LN(2)/2)*AB124+(1-EXP(-LN(2)/2))/(LN(2)/2)*V125*Y125*VLOOKUP('Données projet'!$B$9,Paramètres!$A$1:$I$88,3,0)*0.475*44/12</f>
        <v>8.7186222259159645E-9</v>
      </c>
      <c r="AC125" s="24">
        <f t="shared" si="57"/>
        <v>37.964822018296573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262.78347246606825</v>
      </c>
      <c r="AO125" s="62">
        <f t="shared" si="90"/>
        <v>448.84541017639367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47.434326964140823</v>
      </c>
      <c r="AV125" s="23">
        <f>EXP(-LN(2)/25)*AV124+(1-EXP(-LN(2)/25))/(LN(2)/25)*Calculateur!AQ125*Calculateur!AS125*VLOOKUP('Données projet'!$B$10,Paramètres!$A$1:$I$88,3,0)*0.475*44/12</f>
        <v>6.8232529992765611</v>
      </c>
      <c r="AW125" s="23">
        <f>EXP(-LN(2)/2)*AW124+(1-EXP(-LN(2)/2))/(LN(2)/2)*AQ125*AT125*VLOOKUP('Données projet'!$B$10,Paramètres!$A$1:$I$88,3,0)*0.475*44/12</f>
        <v>9.4690718301919747E-11</v>
      </c>
      <c r="AX125" s="23">
        <f t="shared" si="60"/>
        <v>54.257579963512079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projet'!$B$11,Paramètres!$A$1:$I$88,3,0)*VLOOKUP('Données projet'!$B$11,Paramètres!$A$1:$I$88,5,0)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135.14998708332445</v>
      </c>
      <c r="BJ125" s="62">
        <f t="shared" si="92"/>
        <v>245.50083454484513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28.593635900253361</v>
      </c>
      <c r="BQ125" s="23">
        <f>EXP(-LN(2)/25)*BQ124+(1-EXP(-LN(2)/25))/(LN(2)/25)*Calculateur!BL125*Calculateur!BN125*VLOOKUP('Données projet'!$B$11,Paramètres!$A$1:$I$88,3,0)*0.475*44/12</f>
        <v>6.5630570150080567</v>
      </c>
      <c r="BR125" s="23">
        <f>EXP(-LN(2)/2)*BR124+(1-EXP(-LN(2)/2))/(LN(2)/2)*BL125*BO125*VLOOKUP('Données projet'!$B$11,Paramètres!$A$1:$I$88,3,0)*0.475*44/12</f>
        <v>2.4465674080394187E-10</v>
      </c>
      <c r="BS125" s="24">
        <f t="shared" si="63"/>
        <v>35.156692915506071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projet'!$B$12,Paramètres!$A$1:$I$88,3,0)*VLOOKUP('Données projet'!$B$12,Paramètres!$A$1:$I$88,5,0)</f>
        <v>6.7984728957526396E-14</v>
      </c>
      <c r="CA125" s="14">
        <f t="shared" si="93"/>
        <v>1.0682447123141398E-12</v>
      </c>
      <c r="CB125" s="22">
        <f t="shared" si="64"/>
        <v>1.978932943548152E-12</v>
      </c>
      <c r="CC125" s="62">
        <f t="shared" si="65"/>
        <v>293.3333333333353</v>
      </c>
      <c r="CD125" s="62">
        <f ca="1">AVERAGE(OFFSET($CC$3,0,0,'Données projet'!$E$12+1,1))-AVERAGE(OFFSET($H$3,0,0,'Données projet'!$E$12+1,1))</f>
        <v>168.16583766359378</v>
      </c>
      <c r="CE125" s="62">
        <f t="shared" si="94"/>
        <v>194.52809733694494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44.114075361434871</v>
      </c>
      <c r="CL125" s="23">
        <f>EXP(-LN(2)/25)*CL124+(1-EXP(-LN(2)/25))/(LN(2)/25)*Calculateur!CG125*Calculateur!CI125*VLOOKUP('Données projet'!$B$12,Paramètres!$A$1:$I$88,3,0)*0.475*44/12</f>
        <v>6.0363577108902851</v>
      </c>
      <c r="CM125" s="23">
        <f>EXP(-LN(2)/2)*CM124+(1-EXP(-LN(2)/2))/(LN(2)/2)*CG125*CJ125*VLOOKUP('Données projet'!$B$12,Paramètres!$A$1:$I$88,3,0)*0.475*44/12</f>
        <v>1.2680483053515454E-8</v>
      </c>
      <c r="CN125" s="24">
        <f t="shared" si="66"/>
        <v>50.150433085005638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projet'!$B$13,Paramètres!$A$1:$I$88,3,0)*VLOOKUP('Données projet'!$B$13,Paramètres!$A$1:$I$88,5,0)</f>
        <v>-4.9658410716801891E-14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146.09202487550647</v>
      </c>
      <c r="CZ125" s="62">
        <f t="shared" si="96"/>
        <v>168.58814676269344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30.313855477192629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30.313855477192629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1.7053025658242404E-13</v>
      </c>
      <c r="DP125" s="18">
        <f>DO125*VLOOKUP('Données projet'!$B$14,Paramètres!$A$1:$I$88,3,0)*VLOOKUP('Données projet'!$B$14,Paramètres!$A$1:$I$88,5,0)</f>
        <v>1.250327841262333E-13</v>
      </c>
      <c r="DQ125" s="14">
        <f t="shared" si="97"/>
        <v>1.8301318724634299E-12</v>
      </c>
      <c r="DR125" s="22">
        <f t="shared" si="70"/>
        <v>3.405245110226996E-12</v>
      </c>
      <c r="DS125" s="62">
        <f t="shared" si="71"/>
        <v>293.33333333333672</v>
      </c>
      <c r="DT125" s="62">
        <f ca="1">AVERAGE(OFFSET($DS$3,0,0,'Données projet'!$E$14+1,1))-AVERAGE(OFFSET($H$3,0,0,'Données projet'!$E$14+1,1))</f>
        <v>116.35584360635318</v>
      </c>
      <c r="DU125" s="62">
        <f t="shared" si="98"/>
        <v>86.38226293640173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36.424992044844231</v>
      </c>
      <c r="EB125" s="23">
        <f>EXP(-LN(2)/25)*EB124+(1-EXP(-LN(2)/25))/(LN(2)/25)*Calculateur!DW125*Calculateur!DY125*VLOOKUP('Données projet'!$B$14,Paramètres!$A$1:$I$88,3,0)*0.475*44/12</f>
        <v>0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36.424992044844231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-40</v>
      </c>
      <c r="O126" s="14">
        <f>N126*VLOOKUP('Données projet'!$B$9,Paramètres!$A$1:$I$88,3,0)*VLOOKUP('Données projet'!$B$9,Paramètres!$A$1:$I$88,5,0)</f>
        <v>-18.72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82.229723373996478</v>
      </c>
      <c r="T126" s="62">
        <f t="shared" si="88"/>
        <v>115.86489547584461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33.052562330074771</v>
      </c>
      <c r="AA126" s="23">
        <f>EXP(-LN(2)/25)*AA125+(1-EXP(-LN(2)/25))/(LN(2)/25)*Calculateur!V126*Calculateur!X126*VLOOKUP('Données projet'!$B$9,Paramètres!$A$1:$I$88,3,0)*0.475*44/12</f>
        <v>4.1349071738817447</v>
      </c>
      <c r="AB126" s="23">
        <f>EXP(-LN(2)/2)*AB125+(1-EXP(-LN(2)/2))/(LN(2)/2)*V126*Y126*VLOOKUP('Données projet'!$B$9,Paramètres!$A$1:$I$88,3,0)*0.475*44/12</f>
        <v>6.1649968985489299E-9</v>
      </c>
      <c r="AC126" s="24">
        <f t="shared" si="57"/>
        <v>37.18746951012151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262.78347246606825</v>
      </c>
      <c r="AO126" s="62">
        <f t="shared" si="90"/>
        <v>448.84541017639367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46.504168744456663</v>
      </c>
      <c r="AV126" s="23">
        <f>EXP(-LN(2)/25)*AV125+(1-EXP(-LN(2)/25))/(LN(2)/25)*Calculateur!AQ126*Calculateur!AS126*VLOOKUP('Données projet'!$B$10,Paramètres!$A$1:$I$88,3,0)*0.475*44/12</f>
        <v>6.6366707871920632</v>
      </c>
      <c r="AW126" s="23">
        <f>EXP(-LN(2)/2)*AW125+(1-EXP(-LN(2)/2))/(LN(2)/2)*AQ126*AT126*VLOOKUP('Données projet'!$B$10,Paramètres!$A$1:$I$88,3,0)*0.475*44/12</f>
        <v>6.6956449026712576E-11</v>
      </c>
      <c r="AX126" s="23">
        <f t="shared" si="60"/>
        <v>53.140839531715677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projet'!$B$11,Paramètres!$A$1:$I$88,3,0)*VLOOKUP('Données projet'!$B$11,Paramètres!$A$1:$I$88,5,0)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135.14998708332445</v>
      </c>
      <c r="BJ126" s="62">
        <f t="shared" si="92"/>
        <v>245.50083454484513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28.032932140645194</v>
      </c>
      <c r="BQ126" s="23">
        <f>EXP(-LN(2)/25)*BQ125+(1-EXP(-LN(2)/25))/(LN(2)/25)*Calculateur!BL126*Calculateur!BN126*VLOOKUP('Données projet'!$B$11,Paramètres!$A$1:$I$88,3,0)*0.475*44/12</f>
        <v>6.3835898757964928</v>
      </c>
      <c r="BR126" s="23">
        <f>EXP(-LN(2)/2)*BR125+(1-EXP(-LN(2)/2))/(LN(2)/2)*BL126*BO126*VLOOKUP('Données projet'!$B$11,Paramètres!$A$1:$I$88,3,0)*0.475*44/12</f>
        <v>1.729984404854668E-10</v>
      </c>
      <c r="BS126" s="24">
        <f t="shared" si="63"/>
        <v>34.416522016614685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projet'!$B$12,Paramètres!$A$1:$I$88,3,0)*VLOOKUP('Données projet'!$B$12,Paramètres!$A$1:$I$88,5,0)</f>
        <v>6.7984728957526396E-14</v>
      </c>
      <c r="CA126" s="14">
        <f t="shared" si="93"/>
        <v>1.0682447123141398E-12</v>
      </c>
      <c r="CB126" s="22">
        <f t="shared" si="64"/>
        <v>1.978932943548152E-12</v>
      </c>
      <c r="CC126" s="62">
        <f t="shared" si="65"/>
        <v>293.3333333333353</v>
      </c>
      <c r="CD126" s="62">
        <f ca="1">AVERAGE(OFFSET($CC$3,0,0,'Données projet'!$E$12+1,1))-AVERAGE(OFFSET($H$3,0,0,'Données projet'!$E$12+1,1))</f>
        <v>168.16583766359378</v>
      </c>
      <c r="CE126" s="62">
        <f t="shared" si="94"/>
        <v>194.52809733694494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43.249025250526266</v>
      </c>
      <c r="CL126" s="23">
        <f>EXP(-LN(2)/25)*CL125+(1-EXP(-LN(2)/25))/(LN(2)/25)*Calculateur!CG126*Calculateur!CI126*VLOOKUP('Données projet'!$B$12,Paramètres!$A$1:$I$88,3,0)*0.475*44/12</f>
        <v>5.8712931918477347</v>
      </c>
      <c r="CM126" s="23">
        <f>EXP(-LN(2)/2)*CM125+(1-EXP(-LN(2)/2))/(LN(2)/2)*CG126*CJ126*VLOOKUP('Données projet'!$B$12,Paramètres!$A$1:$I$88,3,0)*0.475*44/12</f>
        <v>8.9664555558618761E-9</v>
      </c>
      <c r="CN126" s="24">
        <f t="shared" si="66"/>
        <v>49.120318451340452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projet'!$B$13,Paramètres!$A$1:$I$88,3,0)*VLOOKUP('Données projet'!$B$13,Paramètres!$A$1:$I$88,5,0)</f>
        <v>-4.9658410716801891E-14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146.09202487550647</v>
      </c>
      <c r="CZ126" s="62">
        <f t="shared" si="96"/>
        <v>168.58814676269344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29.719419260911025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29.719419260911025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1.7053025658242404E-13</v>
      </c>
      <c r="DP126" s="18">
        <f>DO126*VLOOKUP('Données projet'!$B$14,Paramètres!$A$1:$I$88,3,0)*VLOOKUP('Données projet'!$B$14,Paramètres!$A$1:$I$88,5,0)</f>
        <v>1.250327841262333E-13</v>
      </c>
      <c r="DQ126" s="14">
        <f t="shared" si="97"/>
        <v>1.8301318724634299E-12</v>
      </c>
      <c r="DR126" s="22">
        <f t="shared" si="70"/>
        <v>3.405245110226996E-12</v>
      </c>
      <c r="DS126" s="62">
        <f t="shared" si="71"/>
        <v>293.33333333333672</v>
      </c>
      <c r="DT126" s="62">
        <f ca="1">AVERAGE(OFFSET($DS$3,0,0,'Données projet'!$E$14+1,1))-AVERAGE(OFFSET($H$3,0,0,'Données projet'!$E$14+1,1))</f>
        <v>116.35584360635318</v>
      </c>
      <c r="DU126" s="62">
        <f t="shared" si="98"/>
        <v>86.38226293640173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35.710720167896234</v>
      </c>
      <c r="EB126" s="23">
        <f>EXP(-LN(2)/25)*EB125+(1-EXP(-LN(2)/25))/(LN(2)/25)*Calculateur!DW126*Calculateur!DY126*VLOOKUP('Données projet'!$B$14,Paramètres!$A$1:$I$88,3,0)*0.475*44/12</f>
        <v>0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35.710720167896234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-40</v>
      </c>
      <c r="O127" s="14">
        <f>N127*VLOOKUP('Données projet'!$B$9,Paramètres!$A$1:$I$88,3,0)*VLOOKUP('Données projet'!$B$9,Paramètres!$A$1:$I$88,5,0)</f>
        <v>-18.72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82.229723373996478</v>
      </c>
      <c r="T127" s="62">
        <f t="shared" si="88"/>
        <v>115.86489547584461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32.404421742854382</v>
      </c>
      <c r="AA127" s="23">
        <f>EXP(-LN(2)/25)*AA126+(1-EXP(-LN(2)/25))/(LN(2)/25)*Calculateur!V127*Calculateur!X127*VLOOKUP('Données projet'!$B$9,Paramètres!$A$1:$I$88,3,0)*0.475*44/12</f>
        <v>4.0218379197666305</v>
      </c>
      <c r="AB127" s="23">
        <f>EXP(-LN(2)/2)*AB126+(1-EXP(-LN(2)/2))/(LN(2)/2)*V127*Y127*VLOOKUP('Données projet'!$B$9,Paramètres!$A$1:$I$88,3,0)*0.475*44/12</f>
        <v>4.3593111129579823E-9</v>
      </c>
      <c r="AC127" s="24">
        <f t="shared" si="57"/>
        <v>36.426259666980322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262.78347246606825</v>
      </c>
      <c r="AO127" s="62">
        <f t="shared" si="90"/>
        <v>448.84541017639367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45.592250360120019</v>
      </c>
      <c r="AV127" s="23">
        <f>EXP(-LN(2)/25)*AV126+(1-EXP(-LN(2)/25))/(LN(2)/25)*Calculateur!AQ127*Calculateur!AS127*VLOOKUP('Données projet'!$B$10,Paramètres!$A$1:$I$88,3,0)*0.475*44/12</f>
        <v>6.4551906755089474</v>
      </c>
      <c r="AW127" s="23">
        <f>EXP(-LN(2)/2)*AW126+(1-EXP(-LN(2)/2))/(LN(2)/2)*AQ127*AT127*VLOOKUP('Données projet'!$B$10,Paramètres!$A$1:$I$88,3,0)*0.475*44/12</f>
        <v>4.7345359150959873E-11</v>
      </c>
      <c r="AX127" s="23">
        <f t="shared" si="60"/>
        <v>52.047441035676307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projet'!$B$11,Paramètres!$A$1:$I$88,3,0)*VLOOKUP('Données projet'!$B$11,Paramètres!$A$1:$I$88,5,0)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135.14998708332445</v>
      </c>
      <c r="BJ127" s="62">
        <f t="shared" si="92"/>
        <v>245.50083454484513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27.483223439767421</v>
      </c>
      <c r="BQ127" s="23">
        <f>EXP(-LN(2)/25)*BQ126+(1-EXP(-LN(2)/25))/(LN(2)/25)*Calculateur!BL127*Calculateur!BN127*VLOOKUP('Données projet'!$B$11,Paramètres!$A$1:$I$88,3,0)*0.475*44/12</f>
        <v>6.2090302749444364</v>
      </c>
      <c r="BR127" s="23">
        <f>EXP(-LN(2)/2)*BR126+(1-EXP(-LN(2)/2))/(LN(2)/2)*BL127*BO127*VLOOKUP('Données projet'!$B$11,Paramètres!$A$1:$I$88,3,0)*0.475*44/12</f>
        <v>1.2232837040197093E-10</v>
      </c>
      <c r="BS127" s="24">
        <f t="shared" si="63"/>
        <v>33.692253714834187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projet'!$B$12,Paramètres!$A$1:$I$88,3,0)*VLOOKUP('Données projet'!$B$12,Paramètres!$A$1:$I$88,5,0)</f>
        <v>6.7984728957526396E-14</v>
      </c>
      <c r="CA127" s="14">
        <f t="shared" si="93"/>
        <v>1.0682447123141398E-12</v>
      </c>
      <c r="CB127" s="22">
        <f t="shared" si="64"/>
        <v>1.978932943548152E-12</v>
      </c>
      <c r="CC127" s="62">
        <f t="shared" si="65"/>
        <v>293.3333333333353</v>
      </c>
      <c r="CD127" s="62">
        <f ca="1">AVERAGE(OFFSET($CC$3,0,0,'Données projet'!$E$12+1,1))-AVERAGE(OFFSET($H$3,0,0,'Données projet'!$E$12+1,1))</f>
        <v>168.16583766359378</v>
      </c>
      <c r="CE127" s="62">
        <f t="shared" si="94"/>
        <v>194.52809733694494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42.400938244664111</v>
      </c>
      <c r="CL127" s="23">
        <f>EXP(-LN(2)/25)*CL126+(1-EXP(-LN(2)/25))/(LN(2)/25)*Calculateur!CG127*Calculateur!CI127*VLOOKUP('Données projet'!$B$12,Paramètres!$A$1:$I$88,3,0)*0.475*44/12</f>
        <v>5.7107423707587683</v>
      </c>
      <c r="CM127" s="23">
        <f>EXP(-LN(2)/2)*CM126+(1-EXP(-LN(2)/2))/(LN(2)/2)*CG127*CJ127*VLOOKUP('Données projet'!$B$12,Paramètres!$A$1:$I$88,3,0)*0.475*44/12</f>
        <v>6.340241526757727E-9</v>
      </c>
      <c r="CN127" s="24">
        <f t="shared" si="66"/>
        <v>48.111680621763121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projet'!$B$13,Paramètres!$A$1:$I$88,3,0)*VLOOKUP('Données projet'!$B$13,Paramètres!$A$1:$I$88,5,0)</f>
        <v>-4.9658410716801891E-14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146.09202487550647</v>
      </c>
      <c r="CZ127" s="62">
        <f t="shared" si="96"/>
        <v>168.58814676269344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29.136639576260411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29.136639576260411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1.7053025658242404E-13</v>
      </c>
      <c r="DP127" s="18">
        <f>DO127*VLOOKUP('Données projet'!$B$14,Paramètres!$A$1:$I$88,3,0)*VLOOKUP('Données projet'!$B$14,Paramètres!$A$1:$I$88,5,0)</f>
        <v>1.250327841262333E-13</v>
      </c>
      <c r="DQ127" s="14">
        <f t="shared" si="97"/>
        <v>1.8301318724634299E-12</v>
      </c>
      <c r="DR127" s="22">
        <f t="shared" si="70"/>
        <v>3.405245110226996E-12</v>
      </c>
      <c r="DS127" s="62">
        <f t="shared" si="71"/>
        <v>293.33333333333672</v>
      </c>
      <c r="DT127" s="62">
        <f ca="1">AVERAGE(OFFSET($DS$3,0,0,'Données projet'!$E$14+1,1))-AVERAGE(OFFSET($H$3,0,0,'Données projet'!$E$14+1,1))</f>
        <v>116.35584360635318</v>
      </c>
      <c r="DU127" s="62">
        <f t="shared" si="98"/>
        <v>86.38226293640173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35.010454726792361</v>
      </c>
      <c r="EB127" s="23">
        <f>EXP(-LN(2)/25)*EB126+(1-EXP(-LN(2)/25))/(LN(2)/25)*Calculateur!DW127*Calculateur!DY127*VLOOKUP('Données projet'!$B$14,Paramètres!$A$1:$I$88,3,0)*0.475*44/12</f>
        <v>0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35.010454726792361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-40</v>
      </c>
      <c r="O128" s="14">
        <f>N128*VLOOKUP('Données projet'!$B$9,Paramètres!$A$1:$I$88,3,0)*VLOOKUP('Données projet'!$B$9,Paramètres!$A$1:$I$88,5,0)</f>
        <v>-18.72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82.229723373996478</v>
      </c>
      <c r="T128" s="62">
        <f t="shared" si="88"/>
        <v>115.86489547584461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31.768990797222664</v>
      </c>
      <c r="AA128" s="23">
        <f>EXP(-LN(2)/25)*AA127+(1-EXP(-LN(2)/25))/(LN(2)/25)*Calculateur!V128*Calculateur!X128*VLOOKUP('Données projet'!$B$9,Paramètres!$A$1:$I$88,3,0)*0.475*44/12</f>
        <v>3.9118605503513479</v>
      </c>
      <c r="AB128" s="23">
        <f>EXP(-LN(2)/2)*AB127+(1-EXP(-LN(2)/2))/(LN(2)/2)*V128*Y128*VLOOKUP('Données projet'!$B$9,Paramètres!$A$1:$I$88,3,0)*0.475*44/12</f>
        <v>3.082498449274465E-9</v>
      </c>
      <c r="AC128" s="24">
        <f t="shared" si="57"/>
        <v>35.680851350656511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262.78347246606825</v>
      </c>
      <c r="AO128" s="62">
        <f t="shared" si="90"/>
        <v>448.84541017639367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44.698214139084918</v>
      </c>
      <c r="AV128" s="23">
        <f>EXP(-LN(2)/25)*AV127+(1-EXP(-LN(2)/25))/(LN(2)/25)*Calculateur!AQ128*Calculateur!AS128*VLOOKUP('Données projet'!$B$10,Paramètres!$A$1:$I$88,3,0)*0.475*44/12</f>
        <v>6.2786731470234312</v>
      </c>
      <c r="AW128" s="23">
        <f>EXP(-LN(2)/2)*AW127+(1-EXP(-LN(2)/2))/(LN(2)/2)*AQ128*AT128*VLOOKUP('Données projet'!$B$10,Paramètres!$A$1:$I$88,3,0)*0.475*44/12</f>
        <v>3.3478224513356288E-11</v>
      </c>
      <c r="AX128" s="23">
        <f t="shared" si="60"/>
        <v>50.976887286141832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projet'!$B$11,Paramètres!$A$1:$I$88,3,0)*VLOOKUP('Données projet'!$B$11,Paramètres!$A$1:$I$88,5,0)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135.14998708332445</v>
      </c>
      <c r="BJ128" s="62">
        <f t="shared" si="92"/>
        <v>245.50083454484513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26.94429419122466</v>
      </c>
      <c r="BQ128" s="23">
        <f>EXP(-LN(2)/25)*BQ127+(1-EXP(-LN(2)/25))/(LN(2)/25)*Calculateur!BL128*Calculateur!BN128*VLOOKUP('Données projet'!$B$11,Paramètres!$A$1:$I$88,3,0)*0.475*44/12</f>
        <v>6.0392440155573697</v>
      </c>
      <c r="BR128" s="23">
        <f>EXP(-LN(2)/2)*BR127+(1-EXP(-LN(2)/2))/(LN(2)/2)*BL128*BO128*VLOOKUP('Données projet'!$B$11,Paramètres!$A$1:$I$88,3,0)*0.475*44/12</f>
        <v>8.6499220242733398E-11</v>
      </c>
      <c r="BS128" s="24">
        <f t="shared" si="63"/>
        <v>32.983538206868531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projet'!$B$12,Paramètres!$A$1:$I$88,3,0)*VLOOKUP('Données projet'!$B$12,Paramètres!$A$1:$I$88,5,0)</f>
        <v>6.7984728957526396E-14</v>
      </c>
      <c r="CA128" s="14">
        <f t="shared" si="93"/>
        <v>1.0682447123141398E-12</v>
      </c>
      <c r="CB128" s="22">
        <f t="shared" si="64"/>
        <v>1.978932943548152E-12</v>
      </c>
      <c r="CC128" s="62">
        <f t="shared" si="65"/>
        <v>293.3333333333353</v>
      </c>
      <c r="CD128" s="62">
        <f ca="1">AVERAGE(OFFSET($CC$3,0,0,'Données projet'!$E$12+1,1))-AVERAGE(OFFSET($H$3,0,0,'Données projet'!$E$12+1,1))</f>
        <v>168.16583766359378</v>
      </c>
      <c r="CE128" s="62">
        <f t="shared" si="94"/>
        <v>194.52809733694494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41.569481707704917</v>
      </c>
      <c r="CL128" s="23">
        <f>EXP(-LN(2)/25)*CL127+(1-EXP(-LN(2)/25))/(LN(2)/25)*Calculateur!CG128*Calculateur!CI128*VLOOKUP('Données projet'!$B$12,Paramètres!$A$1:$I$88,3,0)*0.475*44/12</f>
        <v>5.5545818203154802</v>
      </c>
      <c r="CM128" s="23">
        <f>EXP(-LN(2)/2)*CM127+(1-EXP(-LN(2)/2))/(LN(2)/2)*CG128*CJ128*VLOOKUP('Données projet'!$B$12,Paramètres!$A$1:$I$88,3,0)*0.475*44/12</f>
        <v>4.4832277779309381E-9</v>
      </c>
      <c r="CN128" s="24">
        <f t="shared" si="66"/>
        <v>47.124063532503627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projet'!$B$13,Paramètres!$A$1:$I$88,3,0)*VLOOKUP('Données projet'!$B$13,Paramètres!$A$1:$I$88,5,0)</f>
        <v>-4.9658410716801891E-14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146.09202487550647</v>
      </c>
      <c r="CZ128" s="62">
        <f t="shared" si="96"/>
        <v>168.58814676269344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28.565287845765287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28.565287845765287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1.7053025658242404E-13</v>
      </c>
      <c r="DP128" s="18">
        <f>DO128*VLOOKUP('Données projet'!$B$14,Paramètres!$A$1:$I$88,3,0)*VLOOKUP('Données projet'!$B$14,Paramètres!$A$1:$I$88,5,0)</f>
        <v>1.250327841262333E-13</v>
      </c>
      <c r="DQ128" s="14">
        <f t="shared" si="97"/>
        <v>1.8301318724634299E-12</v>
      </c>
      <c r="DR128" s="22">
        <f t="shared" si="70"/>
        <v>3.405245110226996E-12</v>
      </c>
      <c r="DS128" s="62">
        <f t="shared" si="71"/>
        <v>293.33333333333672</v>
      </c>
      <c r="DT128" s="62">
        <f ca="1">AVERAGE(OFFSET($DS$3,0,0,'Données projet'!$E$14+1,1))-AVERAGE(OFFSET($H$3,0,0,'Données projet'!$E$14+1,1))</f>
        <v>116.35584360635318</v>
      </c>
      <c r="DU128" s="62">
        <f t="shared" si="98"/>
        <v>86.38226293640173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34.323921063868788</v>
      </c>
      <c r="EB128" s="23">
        <f>EXP(-LN(2)/25)*EB127+(1-EXP(-LN(2)/25))/(LN(2)/25)*Calculateur!DW128*Calculateur!DY128*VLOOKUP('Données projet'!$B$14,Paramètres!$A$1:$I$88,3,0)*0.475*44/12</f>
        <v>0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34.323921063868788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-40</v>
      </c>
      <c r="O129" s="14">
        <f>N129*VLOOKUP('Données projet'!$B$9,Paramètres!$A$1:$I$88,3,0)*VLOOKUP('Données projet'!$B$9,Paramètres!$A$1:$I$88,5,0)</f>
        <v>-18.72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82.229723373996478</v>
      </c>
      <c r="T129" s="62">
        <f t="shared" si="88"/>
        <v>115.86489547584461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31.146020264860176</v>
      </c>
      <c r="AA129" s="23">
        <f>EXP(-LN(2)/25)*AA128+(1-EXP(-LN(2)/25))/(LN(2)/25)*Calculateur!V129*Calculateur!X129*VLOOKUP('Données projet'!$B$9,Paramètres!$A$1:$I$88,3,0)*0.475*44/12</f>
        <v>3.8048905178861845</v>
      </c>
      <c r="AB129" s="23">
        <f>EXP(-LN(2)/2)*AB128+(1-EXP(-LN(2)/2))/(LN(2)/2)*V129*Y129*VLOOKUP('Données projet'!$B$9,Paramètres!$A$1:$I$88,3,0)*0.475*44/12</f>
        <v>2.1796555564789911E-9</v>
      </c>
      <c r="AC129" s="24">
        <f t="shared" si="57"/>
        <v>34.950910784926016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262.78347246606825</v>
      </c>
      <c r="AO129" s="62">
        <f t="shared" si="90"/>
        <v>448.84541017639367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43.821709423036069</v>
      </c>
      <c r="AV129" s="23">
        <f>EXP(-LN(2)/25)*AV128+(1-EXP(-LN(2)/25))/(LN(2)/25)*Calculateur!AQ129*Calculateur!AS129*VLOOKUP('Données projet'!$B$10,Paramètres!$A$1:$I$88,3,0)*0.475*44/12</f>
        <v>6.106982499637005</v>
      </c>
      <c r="AW129" s="23">
        <f>EXP(-LN(2)/2)*AW128+(1-EXP(-LN(2)/2))/(LN(2)/2)*AQ129*AT129*VLOOKUP('Données projet'!$B$10,Paramètres!$A$1:$I$88,3,0)*0.475*44/12</f>
        <v>2.3672679575479937E-11</v>
      </c>
      <c r="AX129" s="23">
        <f t="shared" si="60"/>
        <v>49.92869192269675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projet'!$B$11,Paramètres!$A$1:$I$88,3,0)*VLOOKUP('Données projet'!$B$11,Paramètres!$A$1:$I$88,5,0)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135.14998708332445</v>
      </c>
      <c r="BJ129" s="62">
        <f t="shared" si="92"/>
        <v>245.50083454484513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26.41593301653144</v>
      </c>
      <c r="BQ129" s="23">
        <f>EXP(-LN(2)/25)*BQ128+(1-EXP(-LN(2)/25))/(LN(2)/25)*Calculateur!BL129*Calculateur!BN129*VLOOKUP('Données projet'!$B$11,Paramètres!$A$1:$I$88,3,0)*0.475*44/12</f>
        <v>5.8741005703619136</v>
      </c>
      <c r="BR129" s="23">
        <f>EXP(-LN(2)/2)*BR128+(1-EXP(-LN(2)/2))/(LN(2)/2)*BL129*BO129*VLOOKUP('Données projet'!$B$11,Paramètres!$A$1:$I$88,3,0)*0.475*44/12</f>
        <v>6.1164185200985467E-11</v>
      </c>
      <c r="BS129" s="24">
        <f t="shared" si="63"/>
        <v>32.290033586954515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projet'!$B$12,Paramètres!$A$1:$I$88,3,0)*VLOOKUP('Données projet'!$B$12,Paramètres!$A$1:$I$88,5,0)</f>
        <v>6.7984728957526396E-14</v>
      </c>
      <c r="CA129" s="14">
        <f t="shared" si="93"/>
        <v>1.0682447123141398E-12</v>
      </c>
      <c r="CB129" s="22">
        <f t="shared" si="64"/>
        <v>1.978932943548152E-12</v>
      </c>
      <c r="CC129" s="62">
        <f t="shared" si="65"/>
        <v>293.3333333333353</v>
      </c>
      <c r="CD129" s="62">
        <f ca="1">AVERAGE(OFFSET($CC$3,0,0,'Données projet'!$E$12+1,1))-AVERAGE(OFFSET($H$3,0,0,'Données projet'!$E$12+1,1))</f>
        <v>168.16583766359378</v>
      </c>
      <c r="CE129" s="62">
        <f t="shared" si="94"/>
        <v>194.52809733694494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40.754329526297077</v>
      </c>
      <c r="CL129" s="23">
        <f>EXP(-LN(2)/25)*CL128+(1-EXP(-LN(2)/25))/(LN(2)/25)*Calculateur!CG129*Calculateur!CI129*VLOOKUP('Données projet'!$B$12,Paramètres!$A$1:$I$88,3,0)*0.475*44/12</f>
        <v>5.402691488336191</v>
      </c>
      <c r="CM129" s="23">
        <f>EXP(-LN(2)/2)*CM128+(1-EXP(-LN(2)/2))/(LN(2)/2)*CG129*CJ129*VLOOKUP('Données projet'!$B$12,Paramètres!$A$1:$I$88,3,0)*0.475*44/12</f>
        <v>3.1701207633788635E-9</v>
      </c>
      <c r="CN129" s="24">
        <f t="shared" si="66"/>
        <v>46.157021017803388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projet'!$B$13,Paramètres!$A$1:$I$88,3,0)*VLOOKUP('Données projet'!$B$13,Paramètres!$A$1:$I$88,5,0)</f>
        <v>-4.9658410716801891E-14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146.09202487550647</v>
      </c>
      <c r="CZ129" s="62">
        <f t="shared" si="96"/>
        <v>168.58814676269344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28.005139974215027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28.005139974215027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1.7053025658242404E-13</v>
      </c>
      <c r="DP129" s="18">
        <f>DO129*VLOOKUP('Données projet'!$B$14,Paramètres!$A$1:$I$88,3,0)*VLOOKUP('Données projet'!$B$14,Paramètres!$A$1:$I$88,5,0)</f>
        <v>1.250327841262333E-13</v>
      </c>
      <c r="DQ129" s="14">
        <f t="shared" si="97"/>
        <v>1.8301318724634299E-12</v>
      </c>
      <c r="DR129" s="22">
        <f t="shared" si="70"/>
        <v>3.405245110226996E-12</v>
      </c>
      <c r="DS129" s="62">
        <f t="shared" si="71"/>
        <v>293.33333333333672</v>
      </c>
      <c r="DT129" s="62">
        <f ca="1">AVERAGE(OFFSET($DS$3,0,0,'Données projet'!$E$14+1,1))-AVERAGE(OFFSET($H$3,0,0,'Données projet'!$E$14+1,1))</f>
        <v>116.35584360635318</v>
      </c>
      <c r="DU129" s="62">
        <f t="shared" si="98"/>
        <v>86.38226293640173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33.650849907330958</v>
      </c>
      <c r="EB129" s="23">
        <f>EXP(-LN(2)/25)*EB128+(1-EXP(-LN(2)/25))/(LN(2)/25)*Calculateur!DW129*Calculateur!DY129*VLOOKUP('Données projet'!$B$14,Paramètres!$A$1:$I$88,3,0)*0.475*44/12</f>
        <v>0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33.650849907330958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-40</v>
      </c>
      <c r="O130" s="14">
        <f>N130*VLOOKUP('Données projet'!$B$9,Paramètres!$A$1:$I$88,3,0)*VLOOKUP('Données projet'!$B$9,Paramètres!$A$1:$I$88,5,0)</f>
        <v>-18.72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82.229723373996478</v>
      </c>
      <c r="T130" s="62">
        <f t="shared" si="88"/>
        <v>115.86489547584461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30.535265804662814</v>
      </c>
      <c r="AA130" s="23">
        <f>EXP(-LN(2)/25)*AA129+(1-EXP(-LN(2)/25))/(LN(2)/25)*Calculateur!V130*Calculateur!X130*VLOOKUP('Données projet'!$B$9,Paramètres!$A$1:$I$88,3,0)*0.475*44/12</f>
        <v>3.7008455865840908</v>
      </c>
      <c r="AB130" s="23">
        <f>EXP(-LN(2)/2)*AB129+(1-EXP(-LN(2)/2))/(LN(2)/2)*V130*Y130*VLOOKUP('Données projet'!$B$9,Paramètres!$A$1:$I$88,3,0)*0.475*44/12</f>
        <v>1.5412492246372325E-9</v>
      </c>
      <c r="AC130" s="24">
        <f t="shared" si="57"/>
        <v>34.23611139278816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262.78347246606825</v>
      </c>
      <c r="AO130" s="62">
        <f t="shared" si="90"/>
        <v>448.84541017639367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42.96239242985385</v>
      </c>
      <c r="AV130" s="23">
        <f>EXP(-LN(2)/25)*AV129+(1-EXP(-LN(2)/25))/(LN(2)/25)*Calculateur!AQ130*Calculateur!AS130*VLOOKUP('Données projet'!$B$10,Paramètres!$A$1:$I$88,3,0)*0.475*44/12</f>
        <v>5.939986742032179</v>
      </c>
      <c r="AW130" s="23">
        <f>EXP(-LN(2)/2)*AW129+(1-EXP(-LN(2)/2))/(LN(2)/2)*AQ130*AT130*VLOOKUP('Données projet'!$B$10,Paramètres!$A$1:$I$88,3,0)*0.475*44/12</f>
        <v>1.6739112256678144E-11</v>
      </c>
      <c r="AX130" s="23">
        <f t="shared" si="60"/>
        <v>48.902379171902766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projet'!$B$11,Paramètres!$A$1:$I$88,3,0)*VLOOKUP('Données projet'!$B$11,Paramètres!$A$1:$I$88,5,0)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135.14998708332445</v>
      </c>
      <c r="BJ130" s="62">
        <f t="shared" si="92"/>
        <v>245.50083454484513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25.897932682205457</v>
      </c>
      <c r="BQ130" s="23">
        <f>EXP(-LN(2)/25)*BQ129+(1-EXP(-LN(2)/25))/(LN(2)/25)*Calculateur!BL130*Calculateur!BN130*VLOOKUP('Données projet'!$B$11,Paramètres!$A$1:$I$88,3,0)*0.475*44/12</f>
        <v>5.7134729813598435</v>
      </c>
      <c r="BR130" s="23">
        <f>EXP(-LN(2)/2)*BR129+(1-EXP(-LN(2)/2))/(LN(2)/2)*BL130*BO130*VLOOKUP('Données projet'!$B$11,Paramètres!$A$1:$I$88,3,0)*0.475*44/12</f>
        <v>4.3249610121366699E-11</v>
      </c>
      <c r="BS130" s="24">
        <f t="shared" si="63"/>
        <v>31.611405663608551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projet'!$B$12,Paramètres!$A$1:$I$88,3,0)*VLOOKUP('Données projet'!$B$12,Paramètres!$A$1:$I$88,5,0)</f>
        <v>6.7984728957526396E-14</v>
      </c>
      <c r="CA130" s="14">
        <f t="shared" si="93"/>
        <v>1.0682447123141398E-12</v>
      </c>
      <c r="CB130" s="22">
        <f t="shared" si="64"/>
        <v>1.978932943548152E-12</v>
      </c>
      <c r="CC130" s="62">
        <f t="shared" si="65"/>
        <v>293.3333333333353</v>
      </c>
      <c r="CD130" s="62">
        <f ca="1">AVERAGE(OFFSET($CC$3,0,0,'Données projet'!$E$12+1,1))-AVERAGE(OFFSET($H$3,0,0,'Données projet'!$E$12+1,1))</f>
        <v>168.16583766359378</v>
      </c>
      <c r="CE130" s="62">
        <f t="shared" si="94"/>
        <v>194.52809733694494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39.955161981972907</v>
      </c>
      <c r="CL130" s="23">
        <f>EXP(-LN(2)/25)*CL129+(1-EXP(-LN(2)/25))/(LN(2)/25)*Calculateur!CG130*Calculateur!CI130*VLOOKUP('Données projet'!$B$12,Paramètres!$A$1:$I$88,3,0)*0.475*44/12</f>
        <v>5.2549546054724408</v>
      </c>
      <c r="CM130" s="23">
        <f>EXP(-LN(2)/2)*CM129+(1-EXP(-LN(2)/2))/(LN(2)/2)*CG130*CJ130*VLOOKUP('Données projet'!$B$12,Paramètres!$A$1:$I$88,3,0)*0.475*44/12</f>
        <v>2.241613888965469E-9</v>
      </c>
      <c r="CN130" s="24">
        <f t="shared" si="66"/>
        <v>45.210116589686962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projet'!$B$13,Paramètres!$A$1:$I$88,3,0)*VLOOKUP('Données projet'!$B$13,Paramètres!$A$1:$I$88,5,0)</f>
        <v>-4.9658410716801891E-14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146.09202487550647</v>
      </c>
      <c r="CZ130" s="62">
        <f t="shared" si="96"/>
        <v>168.58814676269344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27.4559762607694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27.4559762607694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1.7053025658242404E-13</v>
      </c>
      <c r="DP130" s="18">
        <f>DO130*VLOOKUP('Données projet'!$B$14,Paramètres!$A$1:$I$88,3,0)*VLOOKUP('Données projet'!$B$14,Paramètres!$A$1:$I$88,5,0)</f>
        <v>1.250327841262333E-13</v>
      </c>
      <c r="DQ130" s="14">
        <f t="shared" si="97"/>
        <v>1.8301318724634299E-12</v>
      </c>
      <c r="DR130" s="22">
        <f t="shared" si="70"/>
        <v>3.405245110226996E-12</v>
      </c>
      <c r="DS130" s="62">
        <f t="shared" si="71"/>
        <v>293.33333333333672</v>
      </c>
      <c r="DT130" s="62">
        <f ca="1">AVERAGE(OFFSET($DS$3,0,0,'Données projet'!$E$14+1,1))-AVERAGE(OFFSET($H$3,0,0,'Données projet'!$E$14+1,1))</f>
        <v>116.35584360635318</v>
      </c>
      <c r="DU130" s="62">
        <f t="shared" si="98"/>
        <v>86.38226293640173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32.99097726563997</v>
      </c>
      <c r="EB130" s="23">
        <f>EXP(-LN(2)/25)*EB129+(1-EXP(-LN(2)/25))/(LN(2)/25)*Calculateur!DW130*Calculateur!DY130*VLOOKUP('Données projet'!$B$14,Paramètres!$A$1:$I$88,3,0)*0.475*44/12</f>
        <v>0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32.99097726563997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-40</v>
      </c>
      <c r="O131" s="14">
        <f>N131*VLOOKUP('Données projet'!$B$9,Paramètres!$A$1:$I$88,3,0)*VLOOKUP('Données projet'!$B$9,Paramètres!$A$1:$I$88,5,0)</f>
        <v>-18.72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82.229723373996478</v>
      </c>
      <c r="T131" s="62">
        <f t="shared" si="88"/>
        <v>115.86489547584461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29.936487866906482</v>
      </c>
      <c r="AA131" s="23">
        <f>EXP(-LN(2)/25)*AA130+(1-EXP(-LN(2)/25))/(LN(2)/25)*Calculateur!V131*Calculateur!X131*VLOOKUP('Données projet'!$B$9,Paramètres!$A$1:$I$88,3,0)*0.475*44/12</f>
        <v>3.5996457693999377</v>
      </c>
      <c r="AB131" s="23">
        <f>EXP(-LN(2)/2)*AB130+(1-EXP(-LN(2)/2))/(LN(2)/2)*V131*Y131*VLOOKUP('Données projet'!$B$9,Paramètres!$A$1:$I$88,3,0)*0.475*44/12</f>
        <v>1.0898277782394956E-9</v>
      </c>
      <c r="AC131" s="24">
        <f t="shared" si="57"/>
        <v>33.536133637396247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262.78347246606825</v>
      </c>
      <c r="AO131" s="62">
        <f t="shared" si="90"/>
        <v>448.84541017639367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42.11992611877632</v>
      </c>
      <c r="AV131" s="23">
        <f>EXP(-LN(2)/25)*AV130+(1-EXP(-LN(2)/25))/(LN(2)/25)*Calculateur!AQ131*Calculateur!AS131*VLOOKUP('Données projet'!$B$10,Paramètres!$A$1:$I$88,3,0)*0.475*44/12</f>
        <v>5.777557492200982</v>
      </c>
      <c r="AW131" s="23">
        <f>EXP(-LN(2)/2)*AW130+(1-EXP(-LN(2)/2))/(LN(2)/2)*AQ131*AT131*VLOOKUP('Données projet'!$B$10,Paramètres!$A$1:$I$88,3,0)*0.475*44/12</f>
        <v>1.1836339787739968E-11</v>
      </c>
      <c r="AX131" s="23">
        <f t="shared" si="60"/>
        <v>47.897483610989141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projet'!$B$11,Paramètres!$A$1:$I$88,3,0)*VLOOKUP('Données projet'!$B$11,Paramètres!$A$1:$I$88,5,0)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135.14998708332445</v>
      </c>
      <c r="BJ131" s="62">
        <f t="shared" si="92"/>
        <v>245.50083454484513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25.3900900184866</v>
      </c>
      <c r="BQ131" s="23">
        <f>EXP(-LN(2)/25)*BQ130+(1-EXP(-LN(2)/25))/(LN(2)/25)*Calculateur!BL131*Calculateur!BN131*VLOOKUP('Données projet'!$B$11,Paramètres!$A$1:$I$88,3,0)*0.475*44/12</f>
        <v>5.5572377622260731</v>
      </c>
      <c r="BR131" s="23">
        <f>EXP(-LN(2)/2)*BR130+(1-EXP(-LN(2)/2))/(LN(2)/2)*BL131*BO131*VLOOKUP('Données projet'!$B$11,Paramètres!$A$1:$I$88,3,0)*0.475*44/12</f>
        <v>3.0582092600492734E-11</v>
      </c>
      <c r="BS131" s="24">
        <f t="shared" si="63"/>
        <v>30.947327780743255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projet'!$B$12,Paramètres!$A$1:$I$88,3,0)*VLOOKUP('Données projet'!$B$12,Paramètres!$A$1:$I$88,5,0)</f>
        <v>6.7984728957526396E-14</v>
      </c>
      <c r="CA131" s="14">
        <f t="shared" si="93"/>
        <v>1.0682447123141398E-12</v>
      </c>
      <c r="CB131" s="22">
        <f t="shared" si="64"/>
        <v>1.978932943548152E-12</v>
      </c>
      <c r="CC131" s="62">
        <f t="shared" si="65"/>
        <v>293.3333333333353</v>
      </c>
      <c r="CD131" s="62">
        <f ca="1">AVERAGE(OFFSET($CC$3,0,0,'Données projet'!$E$12+1,1))-AVERAGE(OFFSET($H$3,0,0,'Données projet'!$E$12+1,1))</f>
        <v>168.16583766359378</v>
      </c>
      <c r="CE131" s="62">
        <f t="shared" si="94"/>
        <v>194.52809733694494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39.171665625748865</v>
      </c>
      <c r="CL131" s="23">
        <f>EXP(-LN(2)/25)*CL130+(1-EXP(-LN(2)/25))/(LN(2)/25)*Calculateur!CG131*Calculateur!CI131*VLOOKUP('Données projet'!$B$12,Paramètres!$A$1:$I$88,3,0)*0.475*44/12</f>
        <v>5.1112575954397448</v>
      </c>
      <c r="CM131" s="23">
        <f>EXP(-LN(2)/2)*CM130+(1-EXP(-LN(2)/2))/(LN(2)/2)*CG131*CJ131*VLOOKUP('Données projet'!$B$12,Paramètres!$A$1:$I$88,3,0)*0.475*44/12</f>
        <v>1.5850603816894318E-9</v>
      </c>
      <c r="CN131" s="24">
        <f t="shared" si="66"/>
        <v>44.282923222773668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projet'!$B$13,Paramètres!$A$1:$I$88,3,0)*VLOOKUP('Données projet'!$B$13,Paramètres!$A$1:$I$88,5,0)</f>
        <v>-4.9658410716801891E-14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146.09202487550647</v>
      </c>
      <c r="CZ131" s="62">
        <f t="shared" si="96"/>
        <v>168.58814676269344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26.917581312787654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26.917581312787654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1.7053025658242404E-13</v>
      </c>
      <c r="DP131" s="18">
        <f>DO131*VLOOKUP('Données projet'!$B$14,Paramètres!$A$1:$I$88,3,0)*VLOOKUP('Données projet'!$B$14,Paramètres!$A$1:$I$88,5,0)</f>
        <v>1.250327841262333E-13</v>
      </c>
      <c r="DQ131" s="14">
        <f t="shared" si="97"/>
        <v>1.8301318724634299E-12</v>
      </c>
      <c r="DR131" s="22">
        <f t="shared" si="70"/>
        <v>3.405245110226996E-12</v>
      </c>
      <c r="DS131" s="62">
        <f t="shared" si="71"/>
        <v>293.33333333333672</v>
      </c>
      <c r="DT131" s="62">
        <f ca="1">AVERAGE(OFFSET($DS$3,0,0,'Données projet'!$E$14+1,1))-AVERAGE(OFFSET($H$3,0,0,'Données projet'!$E$14+1,1))</f>
        <v>116.35584360635318</v>
      </c>
      <c r="DU131" s="62">
        <f t="shared" si="98"/>
        <v>86.38226293640173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32.344044323969968</v>
      </c>
      <c r="EB131" s="23">
        <f>EXP(-LN(2)/25)*EB130+(1-EXP(-LN(2)/25))/(LN(2)/25)*Calculateur!DW131*Calculateur!DY131*VLOOKUP('Données projet'!$B$14,Paramètres!$A$1:$I$88,3,0)*0.475*44/12</f>
        <v>0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32.344044323969968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-40</v>
      </c>
      <c r="O132" s="14">
        <f>N132*VLOOKUP('Données projet'!$B$9,Paramètres!$A$1:$I$88,3,0)*VLOOKUP('Données projet'!$B$9,Paramètres!$A$1:$I$88,5,0)</f>
        <v>-18.72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82.229723373996478</v>
      </c>
      <c r="T132" s="62">
        <f t="shared" si="88"/>
        <v>115.86489547584461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29.349451599291072</v>
      </c>
      <c r="AA132" s="23">
        <f>EXP(-LN(2)/25)*AA131+(1-EXP(-LN(2)/25))/(LN(2)/25)*Calculateur!V132*Calculateur!X132*VLOOKUP('Données projet'!$B$9,Paramètres!$A$1:$I$88,3,0)*0.475*44/12</f>
        <v>3.5012132665385525</v>
      </c>
      <c r="AB132" s="23">
        <f>EXP(-LN(2)/2)*AB131+(1-EXP(-LN(2)/2))/(LN(2)/2)*V132*Y132*VLOOKUP('Données projet'!$B$9,Paramètres!$A$1:$I$88,3,0)*0.475*44/12</f>
        <v>7.7062461231861624E-10</v>
      </c>
      <c r="AC132" s="24">
        <f t="shared" ref="AC132:AC153" si="111">SUM(Z132:AB132)</f>
        <v>32.850664866600248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262.78347246606825</v>
      </c>
      <c r="AO132" s="62">
        <f t="shared" si="90"/>
        <v>448.84541017639367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41.293980058205314</v>
      </c>
      <c r="AV132" s="23">
        <f>EXP(-LN(2)/25)*AV131+(1-EXP(-LN(2)/25))/(LN(2)/25)*Calculateur!AQ132*Calculateur!AS132*VLOOKUP('Données projet'!$B$10,Paramètres!$A$1:$I$88,3,0)*0.475*44/12</f>
        <v>5.6195698787482025</v>
      </c>
      <c r="AW132" s="23">
        <f>EXP(-LN(2)/2)*AW131+(1-EXP(-LN(2)/2))/(LN(2)/2)*AQ132*AT132*VLOOKUP('Données projet'!$B$10,Paramètres!$A$1:$I$88,3,0)*0.475*44/12</f>
        <v>8.369556128339072E-12</v>
      </c>
      <c r="AX132" s="23">
        <f t="shared" ref="AX132:AX153" si="114">SUM(AU132:AW132)</f>
        <v>46.913549936961886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projet'!$B$11,Paramètres!$A$1:$I$88,3,0)*VLOOKUP('Données projet'!$B$11,Paramètres!$A$1:$I$88,5,0)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135.14998708332445</v>
      </c>
      <c r="BJ132" s="62">
        <f t="shared" si="92"/>
        <v>245.50083454484513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24.892205839649833</v>
      </c>
      <c r="BQ132" s="23">
        <f>EXP(-LN(2)/25)*BQ131+(1-EXP(-LN(2)/25))/(LN(2)/25)*Calculateur!BL132*Calculateur!BN132*VLOOKUP('Données projet'!$B$11,Paramètres!$A$1:$I$88,3,0)*0.475*44/12</f>
        <v>5.4052748033755682</v>
      </c>
      <c r="BR132" s="23">
        <f>EXP(-LN(2)/2)*BR131+(1-EXP(-LN(2)/2))/(LN(2)/2)*BL132*BO132*VLOOKUP('Données projet'!$B$11,Paramètres!$A$1:$I$88,3,0)*0.475*44/12</f>
        <v>2.162480506068335E-11</v>
      </c>
      <c r="BS132" s="24">
        <f t="shared" ref="BS132:BS153" si="117">SUM(BP132:BR132)</f>
        <v>30.297480643047027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projet'!$B$12,Paramètres!$A$1:$I$88,3,0)*VLOOKUP('Données projet'!$B$12,Paramètres!$A$1:$I$88,5,0)</f>
        <v>6.7984728957526396E-14</v>
      </c>
      <c r="CA132" s="14">
        <f t="shared" si="93"/>
        <v>1.0682447123141398E-12</v>
      </c>
      <c r="CB132" s="22">
        <f t="shared" ref="CB132:CB153" si="118">(BZ132+CA132)*0.475*44/12</f>
        <v>1.978932943548152E-12</v>
      </c>
      <c r="CC132" s="62">
        <f t="shared" ref="CC132:CC195" si="119">CB132+(BT132+BU132)*44/12</f>
        <v>293.3333333333353</v>
      </c>
      <c r="CD132" s="62">
        <f ca="1">AVERAGE(OFFSET($CC$3,0,0,'Données projet'!$E$12+1,1))-AVERAGE(OFFSET($H$3,0,0,'Données projet'!$E$12+1,1))</f>
        <v>168.16583766359378</v>
      </c>
      <c r="CE132" s="62">
        <f t="shared" si="94"/>
        <v>194.52809733694494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38.403533155184789</v>
      </c>
      <c r="CL132" s="23">
        <f>EXP(-LN(2)/25)*CL131+(1-EXP(-LN(2)/25))/(LN(2)/25)*Calculateur!CG132*Calculateur!CI132*VLOOKUP('Données projet'!$B$12,Paramètres!$A$1:$I$88,3,0)*0.475*44/12</f>
        <v>4.97148998770309</v>
      </c>
      <c r="CM132" s="23">
        <f>EXP(-LN(2)/2)*CM131+(1-EXP(-LN(2)/2))/(LN(2)/2)*CG132*CJ132*VLOOKUP('Données projet'!$B$12,Paramètres!$A$1:$I$88,3,0)*0.475*44/12</f>
        <v>1.1208069444827345E-9</v>
      </c>
      <c r="CN132" s="24">
        <f t="shared" ref="CN132:CN153" si="120">SUM(CK132:CM132)</f>
        <v>43.375023144008686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projet'!$B$13,Paramètres!$A$1:$I$88,3,0)*VLOOKUP('Données projet'!$B$13,Paramètres!$A$1:$I$88,5,0)</f>
        <v>-4.9658410716801891E-14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146.09202487550647</v>
      </c>
      <c r="CZ132" s="62">
        <f t="shared" si="96"/>
        <v>168.58814676269344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26.389743961347335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26.389743961347335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1.7053025658242404E-13</v>
      </c>
      <c r="DP132" s="18">
        <f>DO132*VLOOKUP('Données projet'!$B$14,Paramètres!$A$1:$I$88,3,0)*VLOOKUP('Données projet'!$B$14,Paramètres!$A$1:$I$88,5,0)</f>
        <v>1.250327841262333E-13</v>
      </c>
      <c r="DQ132" s="14">
        <f t="shared" si="97"/>
        <v>1.8301318724634299E-12</v>
      </c>
      <c r="DR132" s="22">
        <f t="shared" ref="DR132:DR153" si="124">(DP132+DQ132)*0.475*44/12</f>
        <v>3.405245110226996E-12</v>
      </c>
      <c r="DS132" s="62">
        <f t="shared" ref="DS132:DS195" si="125">DR132+(DJ132+DK132)*44/12</f>
        <v>293.33333333333672</v>
      </c>
      <c r="DT132" s="62">
        <f ca="1">AVERAGE(OFFSET($DS$3,0,0,'Données projet'!$E$14+1,1))-AVERAGE(OFFSET($H$3,0,0,'Données projet'!$E$14+1,1))</f>
        <v>116.35584360635318</v>
      </c>
      <c r="DU132" s="62">
        <f t="shared" si="98"/>
        <v>86.38226293640173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31.709797342695985</v>
      </c>
      <c r="EB132" s="23">
        <f>EXP(-LN(2)/25)*EB131+(1-EXP(-LN(2)/25))/(LN(2)/25)*Calculateur!DW132*Calculateur!DY132*VLOOKUP('Données projet'!$B$14,Paramètres!$A$1:$I$88,3,0)*0.475*44/12</f>
        <v>0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31.709797342695985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-40</v>
      </c>
      <c r="O133" s="14">
        <f>N133*VLOOKUP('Données projet'!$B$9,Paramètres!$A$1:$I$88,3,0)*VLOOKUP('Données projet'!$B$9,Paramètres!$A$1:$I$88,5,0)</f>
        <v>-18.72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82.229723373996478</v>
      </c>
      <c r="T133" s="62">
        <f t="shared" ref="T133:T196" si="142">$T$3</f>
        <v>115.86489547584461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28.773926754826835</v>
      </c>
      <c r="AA133" s="23">
        <f>EXP(-LN(2)/25)*AA132+(1-EXP(-LN(2)/25))/(LN(2)/25)*Calculateur!V133*Calculateur!X133*VLOOKUP('Données projet'!$B$9,Paramètres!$A$1:$I$88,3,0)*0.475*44/12</f>
        <v>3.405472405644252</v>
      </c>
      <c r="AB133" s="23">
        <f>EXP(-LN(2)/2)*AB132+(1-EXP(-LN(2)/2))/(LN(2)/2)*V133*Y133*VLOOKUP('Données projet'!$B$9,Paramètres!$A$1:$I$88,3,0)*0.475*44/12</f>
        <v>5.4491388911974778E-10</v>
      </c>
      <c r="AC133" s="24">
        <f t="shared" si="111"/>
        <v>32.179399161016001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262.78347246606825</v>
      </c>
      <c r="AO133" s="62">
        <f t="shared" ref="AO133:AO196" si="144">$AO$3</f>
        <v>448.84541017639367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40.484230296104748</v>
      </c>
      <c r="AV133" s="23">
        <f>EXP(-LN(2)/25)*AV132+(1-EXP(-LN(2)/25))/(LN(2)/25)*Calculateur!AQ133*Calculateur!AS133*VLOOKUP('Données projet'!$B$10,Paramètres!$A$1:$I$88,3,0)*0.475*44/12</f>
        <v>5.465902444893497</v>
      </c>
      <c r="AW133" s="23">
        <f>EXP(-LN(2)/2)*AW132+(1-EXP(-LN(2)/2))/(LN(2)/2)*AQ133*AT133*VLOOKUP('Données projet'!$B$10,Paramètres!$A$1:$I$88,3,0)*0.475*44/12</f>
        <v>5.9181698938699842E-12</v>
      </c>
      <c r="AX133" s="23">
        <f t="shared" si="114"/>
        <v>45.950132741004161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projet'!$B$11,Paramètres!$A$1:$I$88,3,0)*VLOOKUP('Données projet'!$B$11,Paramètres!$A$1:$I$88,5,0)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135.14998708332445</v>
      </c>
      <c r="BJ133" s="62">
        <f t="shared" ref="BJ133:BJ196" si="146">$BJ$3</f>
        <v>245.50083454484513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24.404084865880691</v>
      </c>
      <c r="BQ133" s="23">
        <f>EXP(-LN(2)/25)*BQ132+(1-EXP(-LN(2)/25))/(LN(2)/25)*Calculateur!BL133*Calculateur!BN133*VLOOKUP('Données projet'!$B$11,Paramètres!$A$1:$I$88,3,0)*0.475*44/12</f>
        <v>5.2574672796262156</v>
      </c>
      <c r="BR133" s="23">
        <f>EXP(-LN(2)/2)*BR132+(1-EXP(-LN(2)/2))/(LN(2)/2)*BL133*BO133*VLOOKUP('Données projet'!$B$11,Paramètres!$A$1:$I$88,3,0)*0.475*44/12</f>
        <v>1.5291046300246367E-11</v>
      </c>
      <c r="BS133" s="24">
        <f t="shared" si="117"/>
        <v>29.661552145522197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projet'!$B$12,Paramètres!$A$1:$I$88,3,0)*VLOOKUP('Données projet'!$B$12,Paramètres!$A$1:$I$88,5,0)</f>
        <v>6.7984728957526396E-14</v>
      </c>
      <c r="CA133" s="14">
        <f t="shared" ref="CA133:CA153" si="147">EXP(-1.0587+0.8836*LN(BZ133)+0.284)</f>
        <v>1.0682447123141398E-12</v>
      </c>
      <c r="CB133" s="22">
        <f t="shared" si="118"/>
        <v>1.978932943548152E-12</v>
      </c>
      <c r="CC133" s="62">
        <f t="shared" si="119"/>
        <v>293.3333333333353</v>
      </c>
      <c r="CD133" s="62">
        <f ca="1">AVERAGE(OFFSET($CC$3,0,0,'Données projet'!$E$12+1,1))-AVERAGE(OFFSET($H$3,0,0,'Données projet'!$E$12+1,1))</f>
        <v>168.16583766359378</v>
      </c>
      <c r="CE133" s="62">
        <f t="shared" ref="CE133:CE196" si="148">$CE$3</f>
        <v>194.52809733694494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37.650463293853925</v>
      </c>
      <c r="CL133" s="23">
        <f>EXP(-LN(2)/25)*CL132+(1-EXP(-LN(2)/25))/(LN(2)/25)*Calculateur!CG133*Calculateur!CI133*VLOOKUP('Données projet'!$B$12,Paramètres!$A$1:$I$88,3,0)*0.475*44/12</f>
        <v>4.8355443325500529</v>
      </c>
      <c r="CM133" s="23">
        <f>EXP(-LN(2)/2)*CM132+(1-EXP(-LN(2)/2))/(LN(2)/2)*CG133*CJ133*VLOOKUP('Données projet'!$B$12,Paramètres!$A$1:$I$88,3,0)*0.475*44/12</f>
        <v>7.9253019084471588E-10</v>
      </c>
      <c r="CN133" s="24">
        <f t="shared" si="120"/>
        <v>42.486007627196507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projet'!$B$13,Paramètres!$A$1:$I$88,3,0)*VLOOKUP('Données projet'!$B$13,Paramètres!$A$1:$I$88,5,0)</f>
        <v>-4.9658410716801891E-14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146.09202487550647</v>
      </c>
      <c r="CZ133" s="62">
        <f t="shared" ref="CZ133:CZ196" si="150">$CZ$3</f>
        <v>168.58814676269344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25.872257178419765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25.872257178419765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1.7053025658242404E-13</v>
      </c>
      <c r="DP133" s="18">
        <f>DO133*VLOOKUP('Données projet'!$B$14,Paramètres!$A$1:$I$88,3,0)*VLOOKUP('Données projet'!$B$14,Paramètres!$A$1:$I$88,5,0)</f>
        <v>1.250327841262333E-13</v>
      </c>
      <c r="DQ133" s="14">
        <f t="shared" ref="DQ133:DQ153" si="151">EXP(-1.0587+0.8836*LN(DP133)+0.284)</f>
        <v>1.8301318724634299E-12</v>
      </c>
      <c r="DR133" s="22">
        <f t="shared" si="124"/>
        <v>3.405245110226996E-12</v>
      </c>
      <c r="DS133" s="62">
        <f t="shared" si="125"/>
        <v>293.33333333333672</v>
      </c>
      <c r="DT133" s="62">
        <f ca="1">AVERAGE(OFFSET($DS$3,0,0,'Données projet'!$E$14+1,1))-AVERAGE(OFFSET($H$3,0,0,'Données projet'!$E$14+1,1))</f>
        <v>116.35584360635318</v>
      </c>
      <c r="DU133" s="62">
        <f t="shared" ref="DU133:DU196" si="152">$DU$3</f>
        <v>86.38226293640173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31.087987557872324</v>
      </c>
      <c r="EB133" s="23">
        <f>EXP(-LN(2)/25)*EB132+(1-EXP(-LN(2)/25))/(LN(2)/25)*Calculateur!DW133*Calculateur!DY133*VLOOKUP('Données projet'!$B$14,Paramètres!$A$1:$I$88,3,0)*0.475*44/12</f>
        <v>0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31.087987557872324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-40</v>
      </c>
      <c r="O134" s="14">
        <f>N134*VLOOKUP('Données projet'!$B$9,Paramètres!$A$1:$I$88,3,0)*VLOOKUP('Données projet'!$B$9,Paramètres!$A$1:$I$88,5,0)</f>
        <v>-18.72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82.229723373996478</v>
      </c>
      <c r="T134" s="62">
        <f t="shared" si="142"/>
        <v>115.86489547584461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28.209687601527047</v>
      </c>
      <c r="AA134" s="23">
        <f>EXP(-LN(2)/25)*AA133+(1-EXP(-LN(2)/25))/(LN(2)/25)*Calculateur!V134*Calculateur!X134*VLOOKUP('Données projet'!$B$9,Paramètres!$A$1:$I$88,3,0)*0.475*44/12</f>
        <v>3.3123495836258994</v>
      </c>
      <c r="AB134" s="23">
        <f>EXP(-LN(2)/2)*AB133+(1-EXP(-LN(2)/2))/(LN(2)/2)*V134*Y134*VLOOKUP('Données projet'!$B$9,Paramètres!$A$1:$I$88,3,0)*0.475*44/12</f>
        <v>3.8531230615930812E-10</v>
      </c>
      <c r="AC134" s="24">
        <f t="shared" si="111"/>
        <v>31.52203718553826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262.78347246606825</v>
      </c>
      <c r="AO134" s="62">
        <f t="shared" si="144"/>
        <v>448.84541017639367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39.690359232940388</v>
      </c>
      <c r="AV134" s="23">
        <f>EXP(-LN(2)/25)*AV133+(1-EXP(-LN(2)/25))/(LN(2)/25)*Calculateur!AQ134*Calculateur!AS134*VLOOKUP('Données projet'!$B$10,Paramètres!$A$1:$I$88,3,0)*0.475*44/12</f>
        <v>5.3164370550985671</v>
      </c>
      <c r="AW134" s="23">
        <f>EXP(-LN(2)/2)*AW133+(1-EXP(-LN(2)/2))/(LN(2)/2)*AQ134*AT134*VLOOKUP('Données projet'!$B$10,Paramètres!$A$1:$I$88,3,0)*0.475*44/12</f>
        <v>4.184778064169536E-12</v>
      </c>
      <c r="AX134" s="23">
        <f t="shared" si="114"/>
        <v>45.006796288043141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projet'!$B$11,Paramètres!$A$1:$I$88,3,0)*VLOOKUP('Données projet'!$B$11,Paramètres!$A$1:$I$88,5,0)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135.14998708332445</v>
      </c>
      <c r="BJ134" s="62">
        <f t="shared" si="146"/>
        <v>245.50083454484513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23.925535646682764</v>
      </c>
      <c r="BQ134" s="23">
        <f>EXP(-LN(2)/25)*BQ133+(1-EXP(-LN(2)/25))/(LN(2)/25)*Calculateur!BL134*Calculateur!BN134*VLOOKUP('Données projet'!$B$11,Paramètres!$A$1:$I$88,3,0)*0.475*44/12</f>
        <v>5.1137015603866489</v>
      </c>
      <c r="BR134" s="23">
        <f>EXP(-LN(2)/2)*BR133+(1-EXP(-LN(2)/2))/(LN(2)/2)*BL134*BO134*VLOOKUP('Données projet'!$B$11,Paramètres!$A$1:$I$88,3,0)*0.475*44/12</f>
        <v>1.0812402530341675E-11</v>
      </c>
      <c r="BS134" s="24">
        <f t="shared" si="117"/>
        <v>29.039237207080223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projet'!$B$12,Paramètres!$A$1:$I$88,3,0)*VLOOKUP('Données projet'!$B$12,Paramètres!$A$1:$I$88,5,0)</f>
        <v>6.7984728957526396E-14</v>
      </c>
      <c r="CA134" s="14">
        <f t="shared" si="147"/>
        <v>1.0682447123141398E-12</v>
      </c>
      <c r="CB134" s="22">
        <f t="shared" si="118"/>
        <v>1.978932943548152E-12</v>
      </c>
      <c r="CC134" s="62">
        <f t="shared" si="119"/>
        <v>293.3333333333353</v>
      </c>
      <c r="CD134" s="62">
        <f ca="1">AVERAGE(OFFSET($CC$3,0,0,'Données projet'!$E$12+1,1))-AVERAGE(OFFSET($H$3,0,0,'Données projet'!$E$12+1,1))</f>
        <v>168.16583766359378</v>
      </c>
      <c r="CE134" s="62">
        <f t="shared" si="148"/>
        <v>194.52809733694494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36.912160673176501</v>
      </c>
      <c r="CL134" s="23">
        <f>EXP(-LN(2)/25)*CL133+(1-EXP(-LN(2)/25))/(LN(2)/25)*Calculateur!CG134*Calculateur!CI134*VLOOKUP('Données projet'!$B$12,Paramètres!$A$1:$I$88,3,0)*0.475*44/12</f>
        <v>4.7033161184862466</v>
      </c>
      <c r="CM134" s="23">
        <f>EXP(-LN(2)/2)*CM133+(1-EXP(-LN(2)/2))/(LN(2)/2)*CG134*CJ134*VLOOKUP('Données projet'!$B$12,Paramètres!$A$1:$I$88,3,0)*0.475*44/12</f>
        <v>5.6040347224136726E-10</v>
      </c>
      <c r="CN134" s="24">
        <f t="shared" si="120"/>
        <v>41.615476792223156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projet'!$B$13,Paramètres!$A$1:$I$88,3,0)*VLOOKUP('Données projet'!$B$13,Paramètres!$A$1:$I$88,5,0)</f>
        <v>-4.9658410716801891E-14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146.09202487550647</v>
      </c>
      <c r="CZ134" s="62">
        <f t="shared" si="150"/>
        <v>168.58814676269344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25.364917995669636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25.364917995669636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1.7053025658242404E-13</v>
      </c>
      <c r="DP134" s="18">
        <f>DO134*VLOOKUP('Données projet'!$B$14,Paramètres!$A$1:$I$88,3,0)*VLOOKUP('Données projet'!$B$14,Paramètres!$A$1:$I$88,5,0)</f>
        <v>1.250327841262333E-13</v>
      </c>
      <c r="DQ134" s="14">
        <f t="shared" si="151"/>
        <v>1.8301318724634299E-12</v>
      </c>
      <c r="DR134" s="22">
        <f t="shared" si="124"/>
        <v>3.405245110226996E-12</v>
      </c>
      <c r="DS134" s="62">
        <f t="shared" si="125"/>
        <v>293.33333333333672</v>
      </c>
      <c r="DT134" s="62">
        <f ca="1">AVERAGE(OFFSET($DS$3,0,0,'Données projet'!$E$14+1,1))-AVERAGE(OFFSET($H$3,0,0,'Données projet'!$E$14+1,1))</f>
        <v>116.35584360635318</v>
      </c>
      <c r="DU134" s="62">
        <f t="shared" si="152"/>
        <v>86.38226293640173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30.478371083662537</v>
      </c>
      <c r="EB134" s="23">
        <f>EXP(-LN(2)/25)*EB133+(1-EXP(-LN(2)/25))/(LN(2)/25)*Calculateur!DW134*Calculateur!DY134*VLOOKUP('Données projet'!$B$14,Paramètres!$A$1:$I$88,3,0)*0.475*44/12</f>
        <v>0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30.478371083662537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-40</v>
      </c>
      <c r="O135" s="14">
        <f>N135*VLOOKUP('Données projet'!$B$9,Paramètres!$A$1:$I$88,3,0)*VLOOKUP('Données projet'!$B$9,Paramètres!$A$1:$I$88,5,0)</f>
        <v>-18.72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82.229723373996478</v>
      </c>
      <c r="T135" s="62">
        <f t="shared" si="142"/>
        <v>115.86489547584461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27.656512833871567</v>
      </c>
      <c r="AA135" s="23">
        <f>EXP(-LN(2)/25)*AA134+(1-EXP(-LN(2)/25))/(LN(2)/25)*Calculateur!V135*Calculateur!X135*VLOOKUP('Données projet'!$B$9,Paramètres!$A$1:$I$88,3,0)*0.475*44/12</f>
        <v>3.221773210072755</v>
      </c>
      <c r="AB135" s="23">
        <f>EXP(-LN(2)/2)*AB134+(1-EXP(-LN(2)/2))/(LN(2)/2)*V135*Y135*VLOOKUP('Données projet'!$B$9,Paramètres!$A$1:$I$88,3,0)*0.475*44/12</f>
        <v>2.7245694455987389E-10</v>
      </c>
      <c r="AC135" s="24">
        <f t="shared" si="111"/>
        <v>30.878286044216779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262.78347246606825</v>
      </c>
      <c r="AO135" s="62">
        <f t="shared" si="144"/>
        <v>448.84541017639367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38.912055497111147</v>
      </c>
      <c r="AV135" s="23">
        <f>EXP(-LN(2)/25)*AV134+(1-EXP(-LN(2)/25))/(LN(2)/25)*Calculateur!AQ135*Calculateur!AS135*VLOOKUP('Données projet'!$B$10,Paramètres!$A$1:$I$88,3,0)*0.475*44/12</f>
        <v>5.1710588042476227</v>
      </c>
      <c r="AW135" s="23">
        <f>EXP(-LN(2)/2)*AW134+(1-EXP(-LN(2)/2))/(LN(2)/2)*AQ135*AT135*VLOOKUP('Données projet'!$B$10,Paramètres!$A$1:$I$88,3,0)*0.475*44/12</f>
        <v>2.9590849469349921E-12</v>
      </c>
      <c r="AX135" s="23">
        <f t="shared" si="114"/>
        <v>44.083114301361725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projet'!$B$11,Paramètres!$A$1:$I$88,3,0)*VLOOKUP('Données projet'!$B$11,Paramètres!$A$1:$I$88,5,0)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135.14998708332445</v>
      </c>
      <c r="BJ135" s="62">
        <f t="shared" si="146"/>
        <v>245.50083454484513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23.456370485787108</v>
      </c>
      <c r="BQ135" s="23">
        <f>EXP(-LN(2)/25)*BQ134+(1-EXP(-LN(2)/25))/(LN(2)/25)*Calculateur!BL135*Calculateur!BN135*VLOOKUP('Données projet'!$B$11,Paramètres!$A$1:$I$88,3,0)*0.475*44/12</f>
        <v>4.9738671222999988</v>
      </c>
      <c r="BR135" s="23">
        <f>EXP(-LN(2)/2)*BR134+(1-EXP(-LN(2)/2))/(LN(2)/2)*BL135*BO135*VLOOKUP('Données projet'!$B$11,Paramètres!$A$1:$I$88,3,0)*0.475*44/12</f>
        <v>7.6455231501231834E-12</v>
      </c>
      <c r="BS135" s="24">
        <f t="shared" si="117"/>
        <v>28.430237608094753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projet'!$B$12,Paramètres!$A$1:$I$88,3,0)*VLOOKUP('Données projet'!$B$12,Paramètres!$A$1:$I$88,5,0)</f>
        <v>6.7984728957526396E-14</v>
      </c>
      <c r="CA135" s="14">
        <f t="shared" si="147"/>
        <v>1.0682447123141398E-12</v>
      </c>
      <c r="CB135" s="22">
        <f t="shared" si="118"/>
        <v>1.978932943548152E-12</v>
      </c>
      <c r="CC135" s="62">
        <f t="shared" si="119"/>
        <v>293.3333333333353</v>
      </c>
      <c r="CD135" s="62">
        <f ca="1">AVERAGE(OFFSET($CC$3,0,0,'Données projet'!$E$12+1,1))-AVERAGE(OFFSET($H$3,0,0,'Données projet'!$E$12+1,1))</f>
        <v>168.16583766359378</v>
      </c>
      <c r="CE135" s="62">
        <f t="shared" si="148"/>
        <v>194.52809733694494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36.188335716570428</v>
      </c>
      <c r="CL135" s="23">
        <f>EXP(-LN(2)/25)*CL134+(1-EXP(-LN(2)/25))/(LN(2)/25)*Calculateur!CG135*Calculateur!CI135*VLOOKUP('Données projet'!$B$12,Paramètres!$A$1:$I$88,3,0)*0.475*44/12</f>
        <v>4.5747036918895949</v>
      </c>
      <c r="CM135" s="23">
        <f>EXP(-LN(2)/2)*CM134+(1-EXP(-LN(2)/2))/(LN(2)/2)*CG135*CJ135*VLOOKUP('Données projet'!$B$12,Paramètres!$A$1:$I$88,3,0)*0.475*44/12</f>
        <v>3.9626509542235794E-10</v>
      </c>
      <c r="CN135" s="24">
        <f t="shared" si="120"/>
        <v>40.763039408856287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projet'!$B$13,Paramètres!$A$1:$I$88,3,0)*VLOOKUP('Données projet'!$B$13,Paramètres!$A$1:$I$88,5,0)</f>
        <v>-4.9658410716801891E-14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146.09202487550647</v>
      </c>
      <c r="CZ135" s="62">
        <f t="shared" si="150"/>
        <v>168.58814676269344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24.867527424846891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24.867527424846891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1.7053025658242404E-13</v>
      </c>
      <c r="DP135" s="18">
        <f>DO135*VLOOKUP('Données projet'!$B$14,Paramètres!$A$1:$I$88,3,0)*VLOOKUP('Données projet'!$B$14,Paramètres!$A$1:$I$88,5,0)</f>
        <v>1.250327841262333E-13</v>
      </c>
      <c r="DQ135" s="14">
        <f t="shared" si="151"/>
        <v>1.8301318724634299E-12</v>
      </c>
      <c r="DR135" s="22">
        <f t="shared" si="124"/>
        <v>3.405245110226996E-12</v>
      </c>
      <c r="DS135" s="62">
        <f t="shared" si="125"/>
        <v>293.33333333333672</v>
      </c>
      <c r="DT135" s="62">
        <f ca="1">AVERAGE(OFFSET($DS$3,0,0,'Données projet'!$E$14+1,1))-AVERAGE(OFFSET($H$3,0,0,'Données projet'!$E$14+1,1))</f>
        <v>116.35584360635318</v>
      </c>
      <c r="DU135" s="62">
        <f t="shared" si="152"/>
        <v>86.38226293640173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29.88070881668267</v>
      </c>
      <c r="EB135" s="23">
        <f>EXP(-LN(2)/25)*EB134+(1-EXP(-LN(2)/25))/(LN(2)/25)*Calculateur!DW135*Calculateur!DY135*VLOOKUP('Données projet'!$B$14,Paramètres!$A$1:$I$88,3,0)*0.475*44/12</f>
        <v>0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29.88070881668267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-40</v>
      </c>
      <c r="O136" s="14">
        <f>N136*VLOOKUP('Données projet'!$B$9,Paramètres!$A$1:$I$88,3,0)*VLOOKUP('Données projet'!$B$9,Paramètres!$A$1:$I$88,5,0)</f>
        <v>-18.72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82.229723373996478</v>
      </c>
      <c r="T136" s="62">
        <f t="shared" si="142"/>
        <v>115.86489547584461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27.114185486006516</v>
      </c>
      <c r="AA136" s="23">
        <f>EXP(-LN(2)/25)*AA135+(1-EXP(-LN(2)/25))/(LN(2)/25)*Calculateur!V136*Calculateur!X136*VLOOKUP('Données projet'!$B$9,Paramètres!$A$1:$I$88,3,0)*0.475*44/12</f>
        <v>3.1336736522176256</v>
      </c>
      <c r="AB136" s="23">
        <f>EXP(-LN(2)/2)*AB135+(1-EXP(-LN(2)/2))/(LN(2)/2)*V136*Y136*VLOOKUP('Données projet'!$B$9,Paramètres!$A$1:$I$88,3,0)*0.475*44/12</f>
        <v>1.9265615307965406E-10</v>
      </c>
      <c r="AC136" s="24">
        <f t="shared" si="111"/>
        <v>30.2478591384168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262.78347246606825</v>
      </c>
      <c r="AO136" s="62">
        <f t="shared" si="144"/>
        <v>448.84541017639367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38.149013822823115</v>
      </c>
      <c r="AV136" s="23">
        <f>EXP(-LN(2)/25)*AV135+(1-EXP(-LN(2)/25))/(LN(2)/25)*Calculateur!AQ136*Calculateur!AS136*VLOOKUP('Données projet'!$B$10,Paramètres!$A$1:$I$88,3,0)*0.475*44/12</f>
        <v>5.0296559293113079</v>
      </c>
      <c r="AW136" s="23">
        <f>EXP(-LN(2)/2)*AW135+(1-EXP(-LN(2)/2))/(LN(2)/2)*AQ136*AT136*VLOOKUP('Données projet'!$B$10,Paramètres!$A$1:$I$88,3,0)*0.475*44/12</f>
        <v>2.092389032084768E-12</v>
      </c>
      <c r="AX136" s="23">
        <f t="shared" si="114"/>
        <v>43.178669752136514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projet'!$B$11,Paramètres!$A$1:$I$88,3,0)*VLOOKUP('Données projet'!$B$11,Paramètres!$A$1:$I$88,5,0)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135.14998708332445</v>
      </c>
      <c r="BJ136" s="62">
        <f t="shared" si="146"/>
        <v>245.50083454484513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22.996405367534123</v>
      </c>
      <c r="BQ136" s="23">
        <f>EXP(-LN(2)/25)*BQ135+(1-EXP(-LN(2)/25))/(LN(2)/25)*Calculateur!BL136*Calculateur!BN136*VLOOKUP('Données projet'!$B$11,Paramètres!$A$1:$I$88,3,0)*0.475*44/12</f>
        <v>4.8378564642764017</v>
      </c>
      <c r="BR136" s="23">
        <f>EXP(-LN(2)/2)*BR135+(1-EXP(-LN(2)/2))/(LN(2)/2)*BL136*BO136*VLOOKUP('Données projet'!$B$11,Paramètres!$A$1:$I$88,3,0)*0.475*44/12</f>
        <v>5.4062012651708374E-12</v>
      </c>
      <c r="BS136" s="24">
        <f t="shared" si="117"/>
        <v>27.834261831815933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projet'!$B$12,Paramètres!$A$1:$I$88,3,0)*VLOOKUP('Données projet'!$B$12,Paramètres!$A$1:$I$88,5,0)</f>
        <v>6.7984728957526396E-14</v>
      </c>
      <c r="CA136" s="14">
        <f t="shared" si="147"/>
        <v>1.0682447123141398E-12</v>
      </c>
      <c r="CB136" s="22">
        <f t="shared" si="118"/>
        <v>1.978932943548152E-12</v>
      </c>
      <c r="CC136" s="62">
        <f t="shared" si="119"/>
        <v>293.3333333333353</v>
      </c>
      <c r="CD136" s="62">
        <f ca="1">AVERAGE(OFFSET($CC$3,0,0,'Données projet'!$E$12+1,1))-AVERAGE(OFFSET($H$3,0,0,'Données projet'!$E$12+1,1))</f>
        <v>168.16583766359378</v>
      </c>
      <c r="CE136" s="62">
        <f t="shared" si="148"/>
        <v>194.52809733694494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35.478704525873773</v>
      </c>
      <c r="CL136" s="23">
        <f>EXP(-LN(2)/25)*CL135+(1-EXP(-LN(2)/25))/(LN(2)/25)*Calculateur!CG136*Calculateur!CI136*VLOOKUP('Données projet'!$B$12,Paramètres!$A$1:$I$88,3,0)*0.475*44/12</f>
        <v>4.4496081788616628</v>
      </c>
      <c r="CM136" s="23">
        <f>EXP(-LN(2)/2)*CM135+(1-EXP(-LN(2)/2))/(LN(2)/2)*CG136*CJ136*VLOOKUP('Données projet'!$B$12,Paramètres!$A$1:$I$88,3,0)*0.475*44/12</f>
        <v>2.8020173612068363E-10</v>
      </c>
      <c r="CN136" s="24">
        <f t="shared" si="120"/>
        <v>39.928312705015635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projet'!$B$13,Paramètres!$A$1:$I$88,3,0)*VLOOKUP('Données projet'!$B$13,Paramètres!$A$1:$I$88,5,0)</f>
        <v>-4.9658410716801891E-14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146.09202487550647</v>
      </c>
      <c r="CZ136" s="62">
        <f t="shared" si="150"/>
        <v>168.58814676269344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24.379890379739688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24.379890379739688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1.7053025658242404E-13</v>
      </c>
      <c r="DP136" s="18">
        <f>DO136*VLOOKUP('Données projet'!$B$14,Paramètres!$A$1:$I$88,3,0)*VLOOKUP('Données projet'!$B$14,Paramètres!$A$1:$I$88,5,0)</f>
        <v>1.250327841262333E-13</v>
      </c>
      <c r="DQ136" s="14">
        <f t="shared" si="151"/>
        <v>1.8301318724634299E-12</v>
      </c>
      <c r="DR136" s="22">
        <f t="shared" si="124"/>
        <v>3.405245110226996E-12</v>
      </c>
      <c r="DS136" s="62">
        <f t="shared" si="125"/>
        <v>293.33333333333672</v>
      </c>
      <c r="DT136" s="62">
        <f ca="1">AVERAGE(OFFSET($DS$3,0,0,'Données projet'!$E$14+1,1))-AVERAGE(OFFSET($H$3,0,0,'Données projet'!$E$14+1,1))</f>
        <v>116.35584360635318</v>
      </c>
      <c r="DU136" s="62">
        <f t="shared" si="152"/>
        <v>86.38226293640173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29.294766342220289</v>
      </c>
      <c r="EB136" s="23">
        <f>EXP(-LN(2)/25)*EB135+(1-EXP(-LN(2)/25))/(LN(2)/25)*Calculateur!DW136*Calculateur!DY136*VLOOKUP('Données projet'!$B$14,Paramètres!$A$1:$I$88,3,0)*0.475*44/12</f>
        <v>0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29.294766342220289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-40</v>
      </c>
      <c r="O137" s="14">
        <f>N137*VLOOKUP('Données projet'!$B$9,Paramètres!$A$1:$I$88,3,0)*VLOOKUP('Données projet'!$B$9,Paramètres!$A$1:$I$88,5,0)</f>
        <v>-18.72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82.229723373996478</v>
      </c>
      <c r="T137" s="62">
        <f t="shared" si="142"/>
        <v>115.86489547584461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26.58249284664608</v>
      </c>
      <c r="AA137" s="23">
        <f>EXP(-LN(2)/25)*AA136+(1-EXP(-LN(2)/25))/(LN(2)/25)*Calculateur!V137*Calculateur!X137*VLOOKUP('Données projet'!$B$9,Paramètres!$A$1:$I$88,3,0)*0.475*44/12</f>
        <v>3.0479831814049994</v>
      </c>
      <c r="AB137" s="23">
        <f>EXP(-LN(2)/2)*AB136+(1-EXP(-LN(2)/2))/(LN(2)/2)*V137*Y137*VLOOKUP('Données projet'!$B$9,Paramètres!$A$1:$I$88,3,0)*0.475*44/12</f>
        <v>1.3622847227993695E-10</v>
      </c>
      <c r="AC137" s="24">
        <f t="shared" si="111"/>
        <v>29.630476028187307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262.78347246606825</v>
      </c>
      <c r="AO137" s="62">
        <f t="shared" si="144"/>
        <v>448.84541017639367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37.400934930358403</v>
      </c>
      <c r="AV137" s="23">
        <f>EXP(-LN(2)/25)*AV136+(1-EXP(-LN(2)/25))/(LN(2)/25)*Calculateur!AQ137*Calculateur!AS137*VLOOKUP('Données projet'!$B$10,Paramètres!$A$1:$I$88,3,0)*0.475*44/12</f>
        <v>4.8921197234261804</v>
      </c>
      <c r="AW137" s="23">
        <f>EXP(-LN(2)/2)*AW136+(1-EXP(-LN(2)/2))/(LN(2)/2)*AQ137*AT137*VLOOKUP('Données projet'!$B$10,Paramètres!$A$1:$I$88,3,0)*0.475*44/12</f>
        <v>1.479542473467496E-12</v>
      </c>
      <c r="AX137" s="23">
        <f t="shared" si="114"/>
        <v>42.293054653786058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projet'!$B$11,Paramètres!$A$1:$I$88,3,0)*VLOOKUP('Données projet'!$B$11,Paramètres!$A$1:$I$88,5,0)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135.14998708332445</v>
      </c>
      <c r="BJ137" s="62">
        <f t="shared" si="146"/>
        <v>245.50083454484513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22.54545988469906</v>
      </c>
      <c r="BQ137" s="23">
        <f>EXP(-LN(2)/25)*BQ136+(1-EXP(-LN(2)/25))/(LN(2)/25)*Calculateur!BL137*Calculateur!BN137*VLOOKUP('Données projet'!$B$11,Paramètres!$A$1:$I$88,3,0)*0.475*44/12</f>
        <v>4.7055650248489487</v>
      </c>
      <c r="BR137" s="23">
        <f>EXP(-LN(2)/2)*BR136+(1-EXP(-LN(2)/2))/(LN(2)/2)*BL137*BO137*VLOOKUP('Données projet'!$B$11,Paramètres!$A$1:$I$88,3,0)*0.475*44/12</f>
        <v>3.8227615750615917E-12</v>
      </c>
      <c r="BS137" s="24">
        <f t="shared" si="117"/>
        <v>27.25102490955183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projet'!$B$12,Paramètres!$A$1:$I$88,3,0)*VLOOKUP('Données projet'!$B$12,Paramètres!$A$1:$I$88,5,0)</f>
        <v>6.7984728957526396E-14</v>
      </c>
      <c r="CA137" s="14">
        <f t="shared" si="147"/>
        <v>1.0682447123141398E-12</v>
      </c>
      <c r="CB137" s="22">
        <f t="shared" si="118"/>
        <v>1.978932943548152E-12</v>
      </c>
      <c r="CC137" s="62">
        <f t="shared" si="119"/>
        <v>293.3333333333353</v>
      </c>
      <c r="CD137" s="62">
        <f ca="1">AVERAGE(OFFSET($CC$3,0,0,'Données projet'!$E$12+1,1))-AVERAGE(OFFSET($H$3,0,0,'Données projet'!$E$12+1,1))</f>
        <v>168.16583766359378</v>
      </c>
      <c r="CE137" s="62">
        <f t="shared" si="148"/>
        <v>194.52809733694494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34.78298876999439</v>
      </c>
      <c r="CL137" s="23">
        <f>EXP(-LN(2)/25)*CL136+(1-EXP(-LN(2)/25))/(LN(2)/25)*Calculateur!CG137*Calculateur!CI137*VLOOKUP('Données projet'!$B$12,Paramètres!$A$1:$I$88,3,0)*0.475*44/12</f>
        <v>4.3279334092159658</v>
      </c>
      <c r="CM137" s="23">
        <f>EXP(-LN(2)/2)*CM136+(1-EXP(-LN(2)/2))/(LN(2)/2)*CG137*CJ137*VLOOKUP('Données projet'!$B$12,Paramètres!$A$1:$I$88,3,0)*0.475*44/12</f>
        <v>1.9813254771117897E-10</v>
      </c>
      <c r="CN137" s="24">
        <f t="shared" si="120"/>
        <v>39.11092217940849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projet'!$B$13,Paramètres!$A$1:$I$88,3,0)*VLOOKUP('Données projet'!$B$13,Paramètres!$A$1:$I$88,5,0)</f>
        <v>-4.9658410716801891E-14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146.09202487550647</v>
      </c>
      <c r="CZ137" s="62">
        <f t="shared" si="150"/>
        <v>168.58814676269344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23.901815599657809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23.901815599657809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1.7053025658242404E-13</v>
      </c>
      <c r="DP137" s="18">
        <f>DO137*VLOOKUP('Données projet'!$B$14,Paramètres!$A$1:$I$88,3,0)*VLOOKUP('Données projet'!$B$14,Paramètres!$A$1:$I$88,5,0)</f>
        <v>1.250327841262333E-13</v>
      </c>
      <c r="DQ137" s="14">
        <f t="shared" si="151"/>
        <v>1.8301318724634299E-12</v>
      </c>
      <c r="DR137" s="22">
        <f t="shared" si="124"/>
        <v>3.405245110226996E-12</v>
      </c>
      <c r="DS137" s="62">
        <f t="shared" si="125"/>
        <v>293.33333333333672</v>
      </c>
      <c r="DT137" s="62">
        <f ca="1">AVERAGE(OFFSET($DS$3,0,0,'Données projet'!$E$14+1,1))-AVERAGE(OFFSET($H$3,0,0,'Données projet'!$E$14+1,1))</f>
        <v>116.35584360635318</v>
      </c>
      <c r="DU137" s="62">
        <f t="shared" si="152"/>
        <v>86.38226293640173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28.720313842292494</v>
      </c>
      <c r="EB137" s="23">
        <f>EXP(-LN(2)/25)*EB136+(1-EXP(-LN(2)/25))/(LN(2)/25)*Calculateur!DW137*Calculateur!DY137*VLOOKUP('Données projet'!$B$14,Paramètres!$A$1:$I$88,3,0)*0.475*44/12</f>
        <v>0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28.720313842292494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-40</v>
      </c>
      <c r="O138" s="14">
        <f>N138*VLOOKUP('Données projet'!$B$9,Paramètres!$A$1:$I$88,3,0)*VLOOKUP('Données projet'!$B$9,Paramètres!$A$1:$I$88,5,0)</f>
        <v>-18.72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82.229723373996478</v>
      </c>
      <c r="T138" s="62">
        <f t="shared" si="142"/>
        <v>115.86489547584461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26.061226375643013</v>
      </c>
      <c r="AA138" s="23">
        <f>EXP(-LN(2)/25)*AA137+(1-EXP(-LN(2)/25))/(LN(2)/25)*Calculateur!V138*Calculateur!X138*VLOOKUP('Données projet'!$B$9,Paramètres!$A$1:$I$88,3,0)*0.475*44/12</f>
        <v>2.9646359210230102</v>
      </c>
      <c r="AB138" s="23">
        <f>EXP(-LN(2)/2)*AB137+(1-EXP(-LN(2)/2))/(LN(2)/2)*V138*Y138*VLOOKUP('Données projet'!$B$9,Paramètres!$A$1:$I$88,3,0)*0.475*44/12</f>
        <v>9.632807653982703E-11</v>
      </c>
      <c r="AC138" s="24">
        <f t="shared" si="111"/>
        <v>29.025862296762352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262.78347246606825</v>
      </c>
      <c r="AO138" s="62">
        <f t="shared" si="144"/>
        <v>448.84541017639367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36.667525408691851</v>
      </c>
      <c r="AV138" s="23">
        <f>EXP(-LN(2)/25)*AV137+(1-EXP(-LN(2)/25))/(LN(2)/25)*Calculateur!AQ138*Calculateur!AS138*VLOOKUP('Données projet'!$B$10,Paramètres!$A$1:$I$88,3,0)*0.475*44/12</f>
        <v>4.758344452323696</v>
      </c>
      <c r="AW138" s="23">
        <f>EXP(-LN(2)/2)*AW137+(1-EXP(-LN(2)/2))/(LN(2)/2)*AQ138*AT138*VLOOKUP('Données projet'!$B$10,Paramètres!$A$1:$I$88,3,0)*0.475*44/12</f>
        <v>1.046194516042384E-12</v>
      </c>
      <c r="AX138" s="23">
        <f t="shared" si="114"/>
        <v>41.425869861016594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projet'!$B$11,Paramètres!$A$1:$I$88,3,0)*VLOOKUP('Données projet'!$B$11,Paramètres!$A$1:$I$88,5,0)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135.14998708332445</v>
      </c>
      <c r="BJ138" s="62">
        <f t="shared" si="146"/>
        <v>245.50083454484513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22.103357167732806</v>
      </c>
      <c r="BQ138" s="23">
        <f>EXP(-LN(2)/25)*BQ137+(1-EXP(-LN(2)/25))/(LN(2)/25)*Calculateur!BL138*Calculateur!BN138*VLOOKUP('Données projet'!$B$11,Paramètres!$A$1:$I$88,3,0)*0.475*44/12</f>
        <v>4.5768911017895446</v>
      </c>
      <c r="BR138" s="23">
        <f>EXP(-LN(2)/2)*BR137+(1-EXP(-LN(2)/2))/(LN(2)/2)*BL138*BO138*VLOOKUP('Données projet'!$B$11,Paramètres!$A$1:$I$88,3,0)*0.475*44/12</f>
        <v>2.7031006325854187E-12</v>
      </c>
      <c r="BS138" s="24">
        <f t="shared" si="117"/>
        <v>26.680248269525055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projet'!$B$12,Paramètres!$A$1:$I$88,3,0)*VLOOKUP('Données projet'!$B$12,Paramètres!$A$1:$I$88,5,0)</f>
        <v>6.7984728957526396E-14</v>
      </c>
      <c r="CA138" s="14">
        <f t="shared" si="147"/>
        <v>1.0682447123141398E-12</v>
      </c>
      <c r="CB138" s="22">
        <f t="shared" si="118"/>
        <v>1.978932943548152E-12</v>
      </c>
      <c r="CC138" s="62">
        <f t="shared" si="119"/>
        <v>293.3333333333353</v>
      </c>
      <c r="CD138" s="62">
        <f ca="1">AVERAGE(OFFSET($CC$3,0,0,'Données projet'!$E$12+1,1))-AVERAGE(OFFSET($H$3,0,0,'Données projet'!$E$12+1,1))</f>
        <v>168.16583766359378</v>
      </c>
      <c r="CE138" s="62">
        <f t="shared" si="148"/>
        <v>194.52809733694494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34.100915575743088</v>
      </c>
      <c r="CL138" s="23">
        <f>EXP(-LN(2)/25)*CL137+(1-EXP(-LN(2)/25))/(LN(2)/25)*Calculateur!CG138*Calculateur!CI138*VLOOKUP('Données projet'!$B$12,Paramètres!$A$1:$I$88,3,0)*0.475*44/12</f>
        <v>4.2095858425448291</v>
      </c>
      <c r="CM138" s="23">
        <f>EXP(-LN(2)/2)*CM137+(1-EXP(-LN(2)/2))/(LN(2)/2)*CG138*CJ138*VLOOKUP('Données projet'!$B$12,Paramètres!$A$1:$I$88,3,0)*0.475*44/12</f>
        <v>1.4010086806034181E-10</v>
      </c>
      <c r="CN138" s="24">
        <f t="shared" si="120"/>
        <v>38.310501418428011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projet'!$B$13,Paramètres!$A$1:$I$88,3,0)*VLOOKUP('Données projet'!$B$13,Paramètres!$A$1:$I$88,5,0)</f>
        <v>-4.9658410716801891E-14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146.09202487550647</v>
      </c>
      <c r="CZ138" s="62">
        <f t="shared" si="150"/>
        <v>168.58814676269344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23.433115574416512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23.433115574416512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1.7053025658242404E-13</v>
      </c>
      <c r="DP138" s="18">
        <f>DO138*VLOOKUP('Données projet'!$B$14,Paramètres!$A$1:$I$88,3,0)*VLOOKUP('Données projet'!$B$14,Paramètres!$A$1:$I$88,5,0)</f>
        <v>1.250327841262333E-13</v>
      </c>
      <c r="DQ138" s="14">
        <f t="shared" si="151"/>
        <v>1.8301318724634299E-12</v>
      </c>
      <c r="DR138" s="22">
        <f t="shared" si="124"/>
        <v>3.405245110226996E-12</v>
      </c>
      <c r="DS138" s="62">
        <f t="shared" si="125"/>
        <v>293.33333333333672</v>
      </c>
      <c r="DT138" s="62">
        <f ca="1">AVERAGE(OFFSET($DS$3,0,0,'Données projet'!$E$14+1,1))-AVERAGE(OFFSET($H$3,0,0,'Données projet'!$E$14+1,1))</f>
        <v>116.35584360635318</v>
      </c>
      <c r="DU138" s="62">
        <f t="shared" si="152"/>
        <v>86.38226293640173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28.157126005506857</v>
      </c>
      <c r="EB138" s="23">
        <f>EXP(-LN(2)/25)*EB137+(1-EXP(-LN(2)/25))/(LN(2)/25)*Calculateur!DW138*Calculateur!DY138*VLOOKUP('Données projet'!$B$14,Paramètres!$A$1:$I$88,3,0)*0.475*44/12</f>
        <v>0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28.157126005506857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-40</v>
      </c>
      <c r="O139" s="14">
        <f>N139*VLOOKUP('Données projet'!$B$9,Paramètres!$A$1:$I$88,3,0)*VLOOKUP('Données projet'!$B$9,Paramètres!$A$1:$I$88,5,0)</f>
        <v>-18.72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82.229723373996478</v>
      </c>
      <c r="T139" s="62">
        <f t="shared" si="142"/>
        <v>115.86489547584461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25.550181622195165</v>
      </c>
      <c r="AA139" s="23">
        <f>EXP(-LN(2)/25)*AA138+(1-EXP(-LN(2)/25))/(LN(2)/25)*Calculateur!V139*Calculateur!X139*VLOOKUP('Données projet'!$B$9,Paramètres!$A$1:$I$88,3,0)*0.475*44/12</f>
        <v>2.8835677958592085</v>
      </c>
      <c r="AB139" s="23">
        <f>EXP(-LN(2)/2)*AB138+(1-EXP(-LN(2)/2))/(LN(2)/2)*V139*Y139*VLOOKUP('Données projet'!$B$9,Paramètres!$A$1:$I$88,3,0)*0.475*44/12</f>
        <v>6.8114236139968473E-11</v>
      </c>
      <c r="AC139" s="24">
        <f t="shared" si="111"/>
        <v>28.433749418122485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262.78347246606825</v>
      </c>
      <c r="AO139" s="62">
        <f t="shared" si="144"/>
        <v>448.84541017639367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35.948497600409546</v>
      </c>
      <c r="AV139" s="23">
        <f>EXP(-LN(2)/25)*AV138+(1-EXP(-LN(2)/25))/(LN(2)/25)*Calculateur!AQ139*Calculateur!AS139*VLOOKUP('Données projet'!$B$10,Paramètres!$A$1:$I$88,3,0)*0.475*44/12</f>
        <v>4.6282272730444447</v>
      </c>
      <c r="AW139" s="23">
        <f>EXP(-LN(2)/2)*AW138+(1-EXP(-LN(2)/2))/(LN(2)/2)*AQ139*AT139*VLOOKUP('Données projet'!$B$10,Paramètres!$A$1:$I$88,3,0)*0.475*44/12</f>
        <v>7.3977123673374802E-13</v>
      </c>
      <c r="AX139" s="23">
        <f t="shared" si="114"/>
        <v>40.576724873454729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projet'!$B$11,Paramètres!$A$1:$I$88,3,0)*VLOOKUP('Données projet'!$B$11,Paramètres!$A$1:$I$88,5,0)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135.14998708332445</v>
      </c>
      <c r="BJ139" s="62">
        <f t="shared" si="146"/>
        <v>245.50083454484513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21.669923815390231</v>
      </c>
      <c r="BQ139" s="23">
        <f>EXP(-LN(2)/25)*BQ138+(1-EXP(-LN(2)/25))/(LN(2)/25)*Calculateur!BL139*Calculateur!BN139*VLOOKUP('Données projet'!$B$11,Paramètres!$A$1:$I$88,3,0)*0.475*44/12</f>
        <v>4.4517357739228673</v>
      </c>
      <c r="BR139" s="23">
        <f>EXP(-LN(2)/2)*BR138+(1-EXP(-LN(2)/2))/(LN(2)/2)*BL139*BO139*VLOOKUP('Données projet'!$B$11,Paramètres!$A$1:$I$88,3,0)*0.475*44/12</f>
        <v>1.9113807875307958E-12</v>
      </c>
      <c r="BS139" s="24">
        <f t="shared" si="117"/>
        <v>26.121659589315009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projet'!$B$12,Paramètres!$A$1:$I$88,3,0)*VLOOKUP('Données projet'!$B$12,Paramètres!$A$1:$I$88,5,0)</f>
        <v>6.7984728957526396E-14</v>
      </c>
      <c r="CA139" s="14">
        <f t="shared" si="147"/>
        <v>1.0682447123141398E-12</v>
      </c>
      <c r="CB139" s="22">
        <f t="shared" si="118"/>
        <v>1.978932943548152E-12</v>
      </c>
      <c r="CC139" s="62">
        <f t="shared" si="119"/>
        <v>293.3333333333353</v>
      </c>
      <c r="CD139" s="62">
        <f ca="1">AVERAGE(OFFSET($CC$3,0,0,'Données projet'!$E$12+1,1))-AVERAGE(OFFSET($H$3,0,0,'Données projet'!$E$12+1,1))</f>
        <v>168.16583766359378</v>
      </c>
      <c r="CE139" s="62">
        <f t="shared" si="148"/>
        <v>194.52809733694494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33.43221742080749</v>
      </c>
      <c r="CL139" s="23">
        <f>EXP(-LN(2)/25)*CL138+(1-EXP(-LN(2)/25))/(LN(2)/25)*Calculateur!CG139*Calculateur!CI139*VLOOKUP('Données projet'!$B$12,Paramètres!$A$1:$I$88,3,0)*0.475*44/12</f>
        <v>4.0944744963079422</v>
      </c>
      <c r="CM139" s="23">
        <f>EXP(-LN(2)/2)*CM138+(1-EXP(-LN(2)/2))/(LN(2)/2)*CG139*CJ139*VLOOKUP('Données projet'!$B$12,Paramètres!$A$1:$I$88,3,0)*0.475*44/12</f>
        <v>9.9066273855589485E-11</v>
      </c>
      <c r="CN139" s="24">
        <f t="shared" si="120"/>
        <v>37.526691917214492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projet'!$B$13,Paramètres!$A$1:$I$88,3,0)*VLOOKUP('Données projet'!$B$13,Paramètres!$A$1:$I$88,5,0)</f>
        <v>-4.9658410716801891E-14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146.09202487550647</v>
      </c>
      <c r="CZ139" s="62">
        <f t="shared" si="150"/>
        <v>168.58814676269344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22.97360647079141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22.97360647079141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1.7053025658242404E-13</v>
      </c>
      <c r="DP139" s="18">
        <f>DO139*VLOOKUP('Données projet'!$B$14,Paramètres!$A$1:$I$88,3,0)*VLOOKUP('Données projet'!$B$14,Paramètres!$A$1:$I$88,5,0)</f>
        <v>1.250327841262333E-13</v>
      </c>
      <c r="DQ139" s="14">
        <f t="shared" si="151"/>
        <v>1.8301318724634299E-12</v>
      </c>
      <c r="DR139" s="22">
        <f t="shared" si="124"/>
        <v>3.405245110226996E-12</v>
      </c>
      <c r="DS139" s="62">
        <f t="shared" si="125"/>
        <v>293.33333333333672</v>
      </c>
      <c r="DT139" s="62">
        <f ca="1">AVERAGE(OFFSET($DS$3,0,0,'Données projet'!$E$14+1,1))-AVERAGE(OFFSET($H$3,0,0,'Données projet'!$E$14+1,1))</f>
        <v>116.35584360635318</v>
      </c>
      <c r="DU139" s="62">
        <f t="shared" si="152"/>
        <v>86.38226293640173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27.604981938689924</v>
      </c>
      <c r="EB139" s="23">
        <f>EXP(-LN(2)/25)*EB138+(1-EXP(-LN(2)/25))/(LN(2)/25)*Calculateur!DW139*Calculateur!DY139*VLOOKUP('Données projet'!$B$14,Paramètres!$A$1:$I$88,3,0)*0.475*44/12</f>
        <v>0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27.604981938689924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-40</v>
      </c>
      <c r="O140" s="14">
        <f>N140*VLOOKUP('Données projet'!$B$9,Paramètres!$A$1:$I$88,3,0)*VLOOKUP('Données projet'!$B$9,Paramètres!$A$1:$I$88,5,0)</f>
        <v>-18.72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82.229723373996478</v>
      </c>
      <c r="T140" s="62">
        <f t="shared" si="142"/>
        <v>115.86489547584461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25.049158144655909</v>
      </c>
      <c r="AA140" s="23">
        <f>EXP(-LN(2)/25)*AA139+(1-EXP(-LN(2)/25))/(LN(2)/25)*Calculateur!V140*Calculateur!X140*VLOOKUP('Données projet'!$B$9,Paramètres!$A$1:$I$88,3,0)*0.475*44/12</f>
        <v>2.8047164828411986</v>
      </c>
      <c r="AB140" s="23">
        <f>EXP(-LN(2)/2)*AB139+(1-EXP(-LN(2)/2))/(LN(2)/2)*V140*Y140*VLOOKUP('Données projet'!$B$9,Paramètres!$A$1:$I$88,3,0)*0.475*44/12</f>
        <v>4.8164038269913515E-11</v>
      </c>
      <c r="AC140" s="24">
        <f t="shared" si="111"/>
        <v>27.85387462754527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262.78347246606825</v>
      </c>
      <c r="AO140" s="62">
        <f t="shared" si="144"/>
        <v>448.84541017639367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35.243569488883999</v>
      </c>
      <c r="AV140" s="23">
        <f>EXP(-LN(2)/25)*AV139+(1-EXP(-LN(2)/25))/(LN(2)/25)*Calculateur!AQ140*Calculateur!AS140*VLOOKUP('Données projet'!$B$10,Paramètres!$A$1:$I$88,3,0)*0.475*44/12</f>
        <v>4.5016681548751496</v>
      </c>
      <c r="AW140" s="23">
        <f>EXP(-LN(2)/2)*AW139+(1-EXP(-LN(2)/2))/(LN(2)/2)*AQ140*AT140*VLOOKUP('Données projet'!$B$10,Paramètres!$A$1:$I$88,3,0)*0.475*44/12</f>
        <v>5.23097258021192E-13</v>
      </c>
      <c r="AX140" s="23">
        <f t="shared" si="114"/>
        <v>39.745237643759673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projet'!$B$11,Paramètres!$A$1:$I$88,3,0)*VLOOKUP('Données projet'!$B$11,Paramètres!$A$1:$I$88,5,0)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135.14998708332445</v>
      </c>
      <c r="BJ140" s="62">
        <f t="shared" si="146"/>
        <v>245.50083454484513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21.24498982671885</v>
      </c>
      <c r="BQ140" s="23">
        <f>EXP(-LN(2)/25)*BQ139+(1-EXP(-LN(2)/25))/(LN(2)/25)*Calculateur!BL140*Calculateur!BN140*VLOOKUP('Données projet'!$B$11,Paramètres!$A$1:$I$88,3,0)*0.475*44/12</f>
        <v>4.3300028250783367</v>
      </c>
      <c r="BR140" s="23">
        <f>EXP(-LN(2)/2)*BR139+(1-EXP(-LN(2)/2))/(LN(2)/2)*BL140*BO140*VLOOKUP('Données projet'!$B$11,Paramètres!$A$1:$I$88,3,0)*0.475*44/12</f>
        <v>1.3515503162927094E-12</v>
      </c>
      <c r="BS140" s="24">
        <f t="shared" si="117"/>
        <v>25.574992651798539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projet'!$B$12,Paramètres!$A$1:$I$88,3,0)*VLOOKUP('Données projet'!$B$12,Paramètres!$A$1:$I$88,5,0)</f>
        <v>6.7984728957526396E-14</v>
      </c>
      <c r="CA140" s="14">
        <f t="shared" si="147"/>
        <v>1.0682447123141398E-12</v>
      </c>
      <c r="CB140" s="22">
        <f t="shared" si="118"/>
        <v>1.978932943548152E-12</v>
      </c>
      <c r="CC140" s="62">
        <f t="shared" si="119"/>
        <v>293.3333333333353</v>
      </c>
      <c r="CD140" s="62">
        <f ca="1">AVERAGE(OFFSET($CC$3,0,0,'Données projet'!$E$12+1,1))-AVERAGE(OFFSET($H$3,0,0,'Données projet'!$E$12+1,1))</f>
        <v>168.16583766359378</v>
      </c>
      <c r="CE140" s="62">
        <f t="shared" si="148"/>
        <v>194.52809733694494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32.776632028824572</v>
      </c>
      <c r="CL140" s="23">
        <f>EXP(-LN(2)/25)*CL139+(1-EXP(-LN(2)/25))/(LN(2)/25)*Calculateur!CG140*Calculateur!CI140*VLOOKUP('Données projet'!$B$12,Paramètres!$A$1:$I$88,3,0)*0.475*44/12</f>
        <v>3.9825108758873458</v>
      </c>
      <c r="CM140" s="23">
        <f>EXP(-LN(2)/2)*CM139+(1-EXP(-LN(2)/2))/(LN(2)/2)*CG140*CJ140*VLOOKUP('Données projet'!$B$12,Paramètres!$A$1:$I$88,3,0)*0.475*44/12</f>
        <v>7.0050434030170907E-11</v>
      </c>
      <c r="CN140" s="24">
        <f t="shared" si="120"/>
        <v>36.759142904781967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projet'!$B$13,Paramètres!$A$1:$I$88,3,0)*VLOOKUP('Données projet'!$B$13,Paramètres!$A$1:$I$88,5,0)</f>
        <v>-4.9658410716801891E-14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146.09202487550647</v>
      </c>
      <c r="CZ140" s="62">
        <f t="shared" si="150"/>
        <v>168.58814676269344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22.523108060415517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22.523108060415517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1.7053025658242404E-13</v>
      </c>
      <c r="DP140" s="18">
        <f>DO140*VLOOKUP('Données projet'!$B$14,Paramètres!$A$1:$I$88,3,0)*VLOOKUP('Données projet'!$B$14,Paramètres!$A$1:$I$88,5,0)</f>
        <v>1.250327841262333E-13</v>
      </c>
      <c r="DQ140" s="14">
        <f t="shared" si="151"/>
        <v>1.8301318724634299E-12</v>
      </c>
      <c r="DR140" s="22">
        <f t="shared" si="124"/>
        <v>3.405245110226996E-12</v>
      </c>
      <c r="DS140" s="62">
        <f t="shared" si="125"/>
        <v>293.33333333333672</v>
      </c>
      <c r="DT140" s="62">
        <f ca="1">AVERAGE(OFFSET($DS$3,0,0,'Données projet'!$E$14+1,1))-AVERAGE(OFFSET($H$3,0,0,'Données projet'!$E$14+1,1))</f>
        <v>116.35584360635318</v>
      </c>
      <c r="DU140" s="62">
        <f t="shared" si="152"/>
        <v>86.38226293640173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27.063665080248644</v>
      </c>
      <c r="EB140" s="23">
        <f>EXP(-LN(2)/25)*EB139+(1-EXP(-LN(2)/25))/(LN(2)/25)*Calculateur!DW140*Calculateur!DY140*VLOOKUP('Données projet'!$B$14,Paramètres!$A$1:$I$88,3,0)*0.475*44/12</f>
        <v>0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27.063665080248644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-40</v>
      </c>
      <c r="O141" s="14">
        <f>N141*VLOOKUP('Données projet'!$B$9,Paramètres!$A$1:$I$88,3,0)*VLOOKUP('Données projet'!$B$9,Paramètres!$A$1:$I$88,5,0)</f>
        <v>-18.72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82.229723373996478</v>
      </c>
      <c r="T141" s="62">
        <f t="shared" si="142"/>
        <v>115.86489547584461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24.557959431917052</v>
      </c>
      <c r="AA141" s="23">
        <f>EXP(-LN(2)/25)*AA140+(1-EXP(-LN(2)/25))/(LN(2)/25)*Calculateur!V141*Calculateur!X141*VLOOKUP('Données projet'!$B$9,Paramètres!$A$1:$I$88,3,0)*0.475*44/12</f>
        <v>2.7280213631242765</v>
      </c>
      <c r="AB141" s="23">
        <f>EXP(-LN(2)/2)*AB140+(1-EXP(-LN(2)/2))/(LN(2)/2)*V141*Y141*VLOOKUP('Données projet'!$B$9,Paramètres!$A$1:$I$88,3,0)*0.475*44/12</f>
        <v>3.4057118069984236E-11</v>
      </c>
      <c r="AC141" s="24">
        <f t="shared" si="111"/>
        <v>27.285980795075385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262.78347246606825</v>
      </c>
      <c r="AO141" s="62">
        <f t="shared" si="144"/>
        <v>448.84541017639367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34.552464587661774</v>
      </c>
      <c r="AV141" s="23">
        <f>EXP(-LN(2)/25)*AV140+(1-EXP(-LN(2)/25))/(LN(2)/25)*Calculateur!AQ141*Calculateur!AS141*VLOOKUP('Données projet'!$B$10,Paramètres!$A$1:$I$88,3,0)*0.475*44/12</f>
        <v>4.3785698024476494</v>
      </c>
      <c r="AW141" s="23">
        <f>EXP(-LN(2)/2)*AW140+(1-EXP(-LN(2)/2))/(LN(2)/2)*AQ141*AT141*VLOOKUP('Données projet'!$B$10,Paramètres!$A$1:$I$88,3,0)*0.475*44/12</f>
        <v>3.6988561836687401E-13</v>
      </c>
      <c r="AX141" s="23">
        <f t="shared" si="114"/>
        <v>38.931034390109794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projet'!$B$11,Paramètres!$A$1:$I$88,3,0)*VLOOKUP('Données projet'!$B$11,Paramètres!$A$1:$I$88,5,0)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135.14998708332445</v>
      </c>
      <c r="BJ141" s="62">
        <f t="shared" si="146"/>
        <v>245.50083454484513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20.828388534381176</v>
      </c>
      <c r="BQ141" s="23">
        <f>EXP(-LN(2)/25)*BQ140+(1-EXP(-LN(2)/25))/(LN(2)/25)*Calculateur!BL141*Calculateur!BN141*VLOOKUP('Données projet'!$B$11,Paramètres!$A$1:$I$88,3,0)*0.475*44/12</f>
        <v>4.2115986701216173</v>
      </c>
      <c r="BR141" s="23">
        <f>EXP(-LN(2)/2)*BR140+(1-EXP(-LN(2)/2))/(LN(2)/2)*BL141*BO141*VLOOKUP('Données projet'!$B$11,Paramètres!$A$1:$I$88,3,0)*0.475*44/12</f>
        <v>9.5569039376539792E-13</v>
      </c>
      <c r="BS141" s="24">
        <f t="shared" si="117"/>
        <v>25.039987204503749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projet'!$B$12,Paramètres!$A$1:$I$88,3,0)*VLOOKUP('Données projet'!$B$12,Paramètres!$A$1:$I$88,5,0)</f>
        <v>6.7984728957526396E-14</v>
      </c>
      <c r="CA141" s="14">
        <f t="shared" si="147"/>
        <v>1.0682447123141398E-12</v>
      </c>
      <c r="CB141" s="22">
        <f t="shared" si="118"/>
        <v>1.978932943548152E-12</v>
      </c>
      <c r="CC141" s="62">
        <f t="shared" si="119"/>
        <v>293.3333333333353</v>
      </c>
      <c r="CD141" s="62">
        <f ca="1">AVERAGE(OFFSET($CC$3,0,0,'Données projet'!$E$12+1,1))-AVERAGE(OFFSET($H$3,0,0,'Données projet'!$E$12+1,1))</f>
        <v>168.16583766359378</v>
      </c>
      <c r="CE141" s="62">
        <f t="shared" si="148"/>
        <v>194.52809733694494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32.133902266510837</v>
      </c>
      <c r="CL141" s="23">
        <f>EXP(-LN(2)/25)*CL140+(1-EXP(-LN(2)/25))/(LN(2)/25)*Calculateur!CG141*Calculateur!CI141*VLOOKUP('Données projet'!$B$12,Paramètres!$A$1:$I$88,3,0)*0.475*44/12</f>
        <v>3.8736089065550616</v>
      </c>
      <c r="CM141" s="23">
        <f>EXP(-LN(2)/2)*CM140+(1-EXP(-LN(2)/2))/(LN(2)/2)*CG141*CJ141*VLOOKUP('Données projet'!$B$12,Paramètres!$A$1:$I$88,3,0)*0.475*44/12</f>
        <v>4.9533136927794743E-11</v>
      </c>
      <c r="CN141" s="24">
        <f t="shared" si="120"/>
        <v>36.007511173115432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projet'!$B$13,Paramètres!$A$1:$I$88,3,0)*VLOOKUP('Données projet'!$B$13,Paramètres!$A$1:$I$88,5,0)</f>
        <v>-4.9658410716801891E-14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146.09202487550647</v>
      </c>
      <c r="CZ141" s="62">
        <f t="shared" si="150"/>
        <v>168.58814676269344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22.081443649090197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22.081443649090197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1.7053025658242404E-13</v>
      </c>
      <c r="DP141" s="18">
        <f>DO141*VLOOKUP('Données projet'!$B$14,Paramètres!$A$1:$I$88,3,0)*VLOOKUP('Données projet'!$B$14,Paramètres!$A$1:$I$88,5,0)</f>
        <v>1.250327841262333E-13</v>
      </c>
      <c r="DQ141" s="14">
        <f t="shared" si="151"/>
        <v>1.8301318724634299E-12</v>
      </c>
      <c r="DR141" s="22">
        <f t="shared" si="124"/>
        <v>3.405245110226996E-12</v>
      </c>
      <c r="DS141" s="62">
        <f t="shared" si="125"/>
        <v>293.33333333333672</v>
      </c>
      <c r="DT141" s="62">
        <f ca="1">AVERAGE(OFFSET($DS$3,0,0,'Données projet'!$E$14+1,1))-AVERAGE(OFFSET($H$3,0,0,'Données projet'!$E$14+1,1))</f>
        <v>116.35584360635318</v>
      </c>
      <c r="DU141" s="62">
        <f t="shared" si="152"/>
        <v>86.38226293640173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26.532963115230714</v>
      </c>
      <c r="EB141" s="23">
        <f>EXP(-LN(2)/25)*EB140+(1-EXP(-LN(2)/25))/(LN(2)/25)*Calculateur!DW141*Calculateur!DY141*VLOOKUP('Données projet'!$B$14,Paramètres!$A$1:$I$88,3,0)*0.475*44/12</f>
        <v>0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26.532963115230714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-40</v>
      </c>
      <c r="O142" s="14">
        <f>N142*VLOOKUP('Données projet'!$B$9,Paramètres!$A$1:$I$88,3,0)*VLOOKUP('Données projet'!$B$9,Paramètres!$A$1:$I$88,5,0)</f>
        <v>-18.72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82.229723373996478</v>
      </c>
      <c r="T142" s="62">
        <f t="shared" si="142"/>
        <v>115.86489547584461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24.076392826333372</v>
      </c>
      <c r="AA142" s="23">
        <f>EXP(-LN(2)/25)*AA141+(1-EXP(-LN(2)/25))/(LN(2)/25)*Calculateur!V142*Calculateur!X142*VLOOKUP('Données projet'!$B$9,Paramètres!$A$1:$I$88,3,0)*0.475*44/12</f>
        <v>2.6534234754892347</v>
      </c>
      <c r="AB142" s="23">
        <f>EXP(-LN(2)/2)*AB141+(1-EXP(-LN(2)/2))/(LN(2)/2)*V142*Y142*VLOOKUP('Données projet'!$B$9,Paramètres!$A$1:$I$88,3,0)*0.475*44/12</f>
        <v>2.4082019134956758E-11</v>
      </c>
      <c r="AC142" s="24">
        <f t="shared" si="111"/>
        <v>26.729816301846686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262.78347246606825</v>
      </c>
      <c r="AO142" s="62">
        <f t="shared" si="144"/>
        <v>448.84541017639367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33.874911832020146</v>
      </c>
      <c r="AV142" s="23">
        <f>EXP(-LN(2)/25)*AV141+(1-EXP(-LN(2)/25))/(LN(2)/25)*Calculateur!AQ142*Calculateur!AS142*VLOOKUP('Données projet'!$B$10,Paramètres!$A$1:$I$88,3,0)*0.475*44/12</f>
        <v>4.2588375809407397</v>
      </c>
      <c r="AW142" s="23">
        <f>EXP(-LN(2)/2)*AW141+(1-EXP(-LN(2)/2))/(LN(2)/2)*AQ142*AT142*VLOOKUP('Données projet'!$B$10,Paramètres!$A$1:$I$88,3,0)*0.475*44/12</f>
        <v>2.61548629010596E-13</v>
      </c>
      <c r="AX142" s="23">
        <f t="shared" si="114"/>
        <v>38.133749412961151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projet'!$B$11,Paramètres!$A$1:$I$88,3,0)*VLOOKUP('Données projet'!$B$11,Paramètres!$A$1:$I$88,5,0)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135.14998708332445</v>
      </c>
      <c r="BJ142" s="62">
        <f t="shared" si="146"/>
        <v>245.50083454484513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20.419956539284545</v>
      </c>
      <c r="BQ142" s="23">
        <f>EXP(-LN(2)/25)*BQ141+(1-EXP(-LN(2)/25))/(LN(2)/25)*Calculateur!BL142*Calculateur!BN142*VLOOKUP('Données projet'!$B$11,Paramètres!$A$1:$I$88,3,0)*0.475*44/12</f>
        <v>4.0964322830087934</v>
      </c>
      <c r="BR142" s="23">
        <f>EXP(-LN(2)/2)*BR141+(1-EXP(-LN(2)/2))/(LN(2)/2)*BL142*BO142*VLOOKUP('Données projet'!$B$11,Paramètres!$A$1:$I$88,3,0)*0.475*44/12</f>
        <v>6.7577515814635468E-13</v>
      </c>
      <c r="BS142" s="24">
        <f t="shared" si="117"/>
        <v>24.516388822294012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projet'!$B$12,Paramètres!$A$1:$I$88,3,0)*VLOOKUP('Données projet'!$B$12,Paramètres!$A$1:$I$88,5,0)</f>
        <v>6.7984728957526396E-14</v>
      </c>
      <c r="CA142" s="14">
        <f t="shared" si="147"/>
        <v>1.0682447123141398E-12</v>
      </c>
      <c r="CB142" s="22">
        <f t="shared" si="118"/>
        <v>1.978932943548152E-12</v>
      </c>
      <c r="CC142" s="62">
        <f t="shared" si="119"/>
        <v>293.3333333333353</v>
      </c>
      <c r="CD142" s="62">
        <f ca="1">AVERAGE(OFFSET($CC$3,0,0,'Données projet'!$E$12+1,1))-AVERAGE(OFFSET($H$3,0,0,'Données projet'!$E$12+1,1))</f>
        <v>168.16583766359378</v>
      </c>
      <c r="CE142" s="62">
        <f t="shared" si="148"/>
        <v>194.52809733694494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31.50377604280963</v>
      </c>
      <c r="CL142" s="23">
        <f>EXP(-LN(2)/25)*CL141+(1-EXP(-LN(2)/25))/(LN(2)/25)*Calculateur!CG142*Calculateur!CI142*VLOOKUP('Données projet'!$B$12,Paramètres!$A$1:$I$88,3,0)*0.475*44/12</f>
        <v>3.7676848673010741</v>
      </c>
      <c r="CM142" s="23">
        <f>EXP(-LN(2)/2)*CM141+(1-EXP(-LN(2)/2))/(LN(2)/2)*CG142*CJ142*VLOOKUP('Données projet'!$B$12,Paramètres!$A$1:$I$88,3,0)*0.475*44/12</f>
        <v>3.5025217015085454E-11</v>
      </c>
      <c r="CN142" s="24">
        <f t="shared" si="120"/>
        <v>35.271460910145727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projet'!$B$13,Paramètres!$A$1:$I$88,3,0)*VLOOKUP('Données projet'!$B$13,Paramètres!$A$1:$I$88,5,0)</f>
        <v>-4.9658410716801891E-14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146.09202487550647</v>
      </c>
      <c r="CZ142" s="62">
        <f t="shared" si="150"/>
        <v>168.58814676269344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21.648440007482275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21.648440007482275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1.7053025658242404E-13</v>
      </c>
      <c r="DP142" s="18">
        <f>DO142*VLOOKUP('Données projet'!$B$14,Paramètres!$A$1:$I$88,3,0)*VLOOKUP('Données projet'!$B$14,Paramètres!$A$1:$I$88,5,0)</f>
        <v>1.250327841262333E-13</v>
      </c>
      <c r="DQ142" s="14">
        <f t="shared" si="151"/>
        <v>1.8301318724634299E-12</v>
      </c>
      <c r="DR142" s="22">
        <f t="shared" si="124"/>
        <v>3.405245110226996E-12</v>
      </c>
      <c r="DS142" s="62">
        <f t="shared" si="125"/>
        <v>293.33333333333672</v>
      </c>
      <c r="DT142" s="62">
        <f ca="1">AVERAGE(OFFSET($DS$3,0,0,'Données projet'!$E$14+1,1))-AVERAGE(OFFSET($H$3,0,0,'Données projet'!$E$14+1,1))</f>
        <v>116.35584360635318</v>
      </c>
      <c r="DU142" s="62">
        <f t="shared" si="152"/>
        <v>86.38226293640173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26.012667892050551</v>
      </c>
      <c r="EB142" s="23">
        <f>EXP(-LN(2)/25)*EB141+(1-EXP(-LN(2)/25))/(LN(2)/25)*Calculateur!DW142*Calculateur!DY142*VLOOKUP('Données projet'!$B$14,Paramètres!$A$1:$I$88,3,0)*0.475*44/12</f>
        <v>0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26.012667892050551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-40</v>
      </c>
      <c r="O143" s="14">
        <f>N143*VLOOKUP('Données projet'!$B$9,Paramètres!$A$1:$I$88,3,0)*VLOOKUP('Données projet'!$B$9,Paramètres!$A$1:$I$88,5,0)</f>
        <v>-18.72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82.229723373996478</v>
      </c>
      <c r="T143" s="62">
        <f t="shared" si="142"/>
        <v>115.86489547584461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23.604269448158561</v>
      </c>
      <c r="AA143" s="23">
        <f>EXP(-LN(2)/25)*AA142+(1-EXP(-LN(2)/25))/(LN(2)/25)*Calculateur!V143*Calculateur!X143*VLOOKUP('Données projet'!$B$9,Paramètres!$A$1:$I$88,3,0)*0.475*44/12</f>
        <v>2.5808654710145054</v>
      </c>
      <c r="AB143" s="23">
        <f>EXP(-LN(2)/2)*AB142+(1-EXP(-LN(2)/2))/(LN(2)/2)*V143*Y143*VLOOKUP('Données projet'!$B$9,Paramètres!$A$1:$I$88,3,0)*0.475*44/12</f>
        <v>1.7028559034992118E-11</v>
      </c>
      <c r="AC143" s="24">
        <f t="shared" si="111"/>
        <v>26.185134919190094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262.78347246606825</v>
      </c>
      <c r="AO143" s="62">
        <f t="shared" si="144"/>
        <v>448.84541017639367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33.210645472650278</v>
      </c>
      <c r="AV143" s="23">
        <f>EXP(-LN(2)/25)*AV142+(1-EXP(-LN(2)/25))/(LN(2)/25)*Calculateur!AQ143*Calculateur!AS143*VLOOKUP('Données projet'!$B$10,Paramètres!$A$1:$I$88,3,0)*0.475*44/12</f>
        <v>4.1423794433273802</v>
      </c>
      <c r="AW143" s="23">
        <f>EXP(-LN(2)/2)*AW142+(1-EXP(-LN(2)/2))/(LN(2)/2)*AQ143*AT143*VLOOKUP('Données projet'!$B$10,Paramètres!$A$1:$I$88,3,0)*0.475*44/12</f>
        <v>1.84942809183437E-13</v>
      </c>
      <c r="AX143" s="23">
        <f t="shared" si="114"/>
        <v>37.353024915977841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projet'!$B$11,Paramètres!$A$1:$I$88,3,0)*VLOOKUP('Données projet'!$B$11,Paramètres!$A$1:$I$88,5,0)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135.14998708332445</v>
      </c>
      <c r="BJ143" s="62">
        <f t="shared" si="146"/>
        <v>245.50083454484513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20.019533646492839</v>
      </c>
      <c r="BQ143" s="23">
        <f>EXP(-LN(2)/25)*BQ142+(1-EXP(-LN(2)/25))/(LN(2)/25)*Calculateur!BL143*Calculateur!BN143*VLOOKUP('Données projet'!$B$11,Paramètres!$A$1:$I$88,3,0)*0.475*44/12</f>
        <v>3.9844151268079067</v>
      </c>
      <c r="BR143" s="23">
        <f>EXP(-LN(2)/2)*BR142+(1-EXP(-LN(2)/2))/(LN(2)/2)*BL143*BO143*VLOOKUP('Données projet'!$B$11,Paramètres!$A$1:$I$88,3,0)*0.475*44/12</f>
        <v>4.7784519688269896E-13</v>
      </c>
      <c r="BS143" s="24">
        <f t="shared" si="117"/>
        <v>24.003948773301225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projet'!$B$12,Paramètres!$A$1:$I$88,3,0)*VLOOKUP('Données projet'!$B$12,Paramètres!$A$1:$I$88,5,0)</f>
        <v>6.7984728957526396E-14</v>
      </c>
      <c r="CA143" s="14">
        <f t="shared" si="147"/>
        <v>1.0682447123141398E-12</v>
      </c>
      <c r="CB143" s="22">
        <f t="shared" si="118"/>
        <v>1.978932943548152E-12</v>
      </c>
      <c r="CC143" s="62">
        <f t="shared" si="119"/>
        <v>293.3333333333353</v>
      </c>
      <c r="CD143" s="62">
        <f ca="1">AVERAGE(OFFSET($CC$3,0,0,'Données projet'!$E$12+1,1))-AVERAGE(OFFSET($H$3,0,0,'Données projet'!$E$12+1,1))</f>
        <v>168.16583766359378</v>
      </c>
      <c r="CE143" s="62">
        <f t="shared" si="148"/>
        <v>194.52809733694494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30.886006210016156</v>
      </c>
      <c r="CL143" s="23">
        <f>EXP(-LN(2)/25)*CL142+(1-EXP(-LN(2)/25))/(LN(2)/25)*Calculateur!CG143*Calculateur!CI143*VLOOKUP('Données projet'!$B$12,Paramètres!$A$1:$I$88,3,0)*0.475*44/12</f>
        <v>3.66465732647079</v>
      </c>
      <c r="CM143" s="23">
        <f>EXP(-LN(2)/2)*CM142+(1-EXP(-LN(2)/2))/(LN(2)/2)*CG143*CJ143*VLOOKUP('Données projet'!$B$12,Paramètres!$A$1:$I$88,3,0)*0.475*44/12</f>
        <v>2.4766568463897371E-11</v>
      </c>
      <c r="CN143" s="24">
        <f t="shared" si="120"/>
        <v>34.550663536511713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projet'!$B$13,Paramètres!$A$1:$I$88,3,0)*VLOOKUP('Données projet'!$B$13,Paramètres!$A$1:$I$88,5,0)</f>
        <v>-4.9658410716801891E-14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146.09202487550647</v>
      </c>
      <c r="CZ143" s="62">
        <f t="shared" si="150"/>
        <v>168.58814676269344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21.22392730318014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21.22392730318014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1.7053025658242404E-13</v>
      </c>
      <c r="DP143" s="18">
        <f>DO143*VLOOKUP('Données projet'!$B$14,Paramètres!$A$1:$I$88,3,0)*VLOOKUP('Données projet'!$B$14,Paramètres!$A$1:$I$88,5,0)</f>
        <v>1.250327841262333E-13</v>
      </c>
      <c r="DQ143" s="14">
        <f t="shared" si="151"/>
        <v>1.8301318724634299E-12</v>
      </c>
      <c r="DR143" s="22">
        <f t="shared" si="124"/>
        <v>3.405245110226996E-12</v>
      </c>
      <c r="DS143" s="62">
        <f t="shared" si="125"/>
        <v>293.33333333333672</v>
      </c>
      <c r="DT143" s="62">
        <f ca="1">AVERAGE(OFFSET($DS$3,0,0,'Données projet'!$E$14+1,1))-AVERAGE(OFFSET($H$3,0,0,'Données projet'!$E$14+1,1))</f>
        <v>116.35584360635318</v>
      </c>
      <c r="DU143" s="62">
        <f t="shared" si="152"/>
        <v>86.38226293640173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25.5025753408482</v>
      </c>
      <c r="EB143" s="23">
        <f>EXP(-LN(2)/25)*EB142+(1-EXP(-LN(2)/25))/(LN(2)/25)*Calculateur!DW143*Calculateur!DY143*VLOOKUP('Données projet'!$B$14,Paramètres!$A$1:$I$88,3,0)*0.475*44/12</f>
        <v>0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25.5025753408482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-40</v>
      </c>
      <c r="O144" s="14">
        <f>N144*VLOOKUP('Données projet'!$B$9,Paramètres!$A$1:$I$88,3,0)*VLOOKUP('Données projet'!$B$9,Paramètres!$A$1:$I$88,5,0)</f>
        <v>-18.72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82.229723373996478</v>
      </c>
      <c r="T144" s="62">
        <f t="shared" si="142"/>
        <v>115.86489547584461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23.14140412146293</v>
      </c>
      <c r="AA144" s="23">
        <f>EXP(-LN(2)/25)*AA143+(1-EXP(-LN(2)/25))/(LN(2)/25)*Calculateur!V144*Calculateur!X144*VLOOKUP('Données projet'!$B$9,Paramètres!$A$1:$I$88,3,0)*0.475*44/12</f>
        <v>2.5102915689877974</v>
      </c>
      <c r="AB144" s="23">
        <f>EXP(-LN(2)/2)*AB143+(1-EXP(-LN(2)/2))/(LN(2)/2)*V144*Y144*VLOOKUP('Données projet'!$B$9,Paramètres!$A$1:$I$88,3,0)*0.475*44/12</f>
        <v>1.2041009567478379E-11</v>
      </c>
      <c r="AC144" s="24">
        <f t="shared" si="111"/>
        <v>25.651695690462766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262.78347246606825</v>
      </c>
      <c r="AO144" s="62">
        <f t="shared" si="144"/>
        <v>448.84541017639367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32.559404971425181</v>
      </c>
      <c r="AV144" s="23">
        <f>EXP(-LN(2)/25)*AV143+(1-EXP(-LN(2)/25))/(LN(2)/25)*Calculateur!AQ144*Calculateur!AS144*VLOOKUP('Données projet'!$B$10,Paramètres!$A$1:$I$88,3,0)*0.475*44/12</f>
        <v>4.0291058596113256</v>
      </c>
      <c r="AW144" s="23">
        <f>EXP(-LN(2)/2)*AW143+(1-EXP(-LN(2)/2))/(LN(2)/2)*AQ144*AT144*VLOOKUP('Données projet'!$B$10,Paramètres!$A$1:$I$88,3,0)*0.475*44/12</f>
        <v>1.30774314505298E-13</v>
      </c>
      <c r="AX144" s="23">
        <f t="shared" si="114"/>
        <v>36.588510831036636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projet'!$B$11,Paramètres!$A$1:$I$88,3,0)*VLOOKUP('Données projet'!$B$11,Paramètres!$A$1:$I$88,5,0)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135.14998708332445</v>
      </c>
      <c r="BJ144" s="62">
        <f t="shared" si="146"/>
        <v>245.50083454484513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19.626962802394932</v>
      </c>
      <c r="BQ144" s="23">
        <f>EXP(-LN(2)/25)*BQ143+(1-EXP(-LN(2)/25))/(LN(2)/25)*Calculateur!BL144*Calculateur!BN144*VLOOKUP('Données projet'!$B$11,Paramètres!$A$1:$I$88,3,0)*0.475*44/12</f>
        <v>3.8754610856340594</v>
      </c>
      <c r="BR144" s="23">
        <f>EXP(-LN(2)/2)*BR143+(1-EXP(-LN(2)/2))/(LN(2)/2)*BL144*BO144*VLOOKUP('Données projet'!$B$11,Paramètres!$A$1:$I$88,3,0)*0.475*44/12</f>
        <v>3.3788757907317734E-13</v>
      </c>
      <c r="BS144" s="24">
        <f t="shared" si="117"/>
        <v>23.50242388802933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projet'!$B$12,Paramètres!$A$1:$I$88,3,0)*VLOOKUP('Données projet'!$B$12,Paramètres!$A$1:$I$88,5,0)</f>
        <v>6.7984728957526396E-14</v>
      </c>
      <c r="CA144" s="14">
        <f t="shared" si="147"/>
        <v>1.0682447123141398E-12</v>
      </c>
      <c r="CB144" s="22">
        <f t="shared" si="118"/>
        <v>1.978932943548152E-12</v>
      </c>
      <c r="CC144" s="62">
        <f t="shared" si="119"/>
        <v>293.3333333333353</v>
      </c>
      <c r="CD144" s="62">
        <f ca="1">AVERAGE(OFFSET($CC$3,0,0,'Données projet'!$E$12+1,1))-AVERAGE(OFFSET($H$3,0,0,'Données projet'!$E$12+1,1))</f>
        <v>168.16583766359378</v>
      </c>
      <c r="CE144" s="62">
        <f t="shared" si="148"/>
        <v>194.52809733694494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30.280350466841369</v>
      </c>
      <c r="CL144" s="23">
        <f>EXP(-LN(2)/25)*CL143+(1-EXP(-LN(2)/25))/(LN(2)/25)*Calculateur!CG144*Calculateur!CI144*VLOOKUP('Données projet'!$B$12,Paramètres!$A$1:$I$88,3,0)*0.475*44/12</f>
        <v>3.5644470791624929</v>
      </c>
      <c r="CM144" s="23">
        <f>EXP(-LN(2)/2)*CM143+(1-EXP(-LN(2)/2))/(LN(2)/2)*CG144*CJ144*VLOOKUP('Données projet'!$B$12,Paramètres!$A$1:$I$88,3,0)*0.475*44/12</f>
        <v>1.7512608507542727E-11</v>
      </c>
      <c r="CN144" s="24">
        <f t="shared" si="120"/>
        <v>33.844797546021375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projet'!$B$13,Paramètres!$A$1:$I$88,3,0)*VLOOKUP('Données projet'!$B$13,Paramètres!$A$1:$I$88,5,0)</f>
        <v>-4.9658410716801891E-14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146.09202487550647</v>
      </c>
      <c r="CZ144" s="62">
        <f t="shared" si="150"/>
        <v>168.58814676269344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20.807739034082189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20.807739034082189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1.7053025658242404E-13</v>
      </c>
      <c r="DP144" s="18">
        <f>DO144*VLOOKUP('Données projet'!$B$14,Paramètres!$A$1:$I$88,3,0)*VLOOKUP('Données projet'!$B$14,Paramètres!$A$1:$I$88,5,0)</f>
        <v>1.250327841262333E-13</v>
      </c>
      <c r="DQ144" s="14">
        <f t="shared" si="151"/>
        <v>1.8301318724634299E-12</v>
      </c>
      <c r="DR144" s="22">
        <f t="shared" si="124"/>
        <v>3.405245110226996E-12</v>
      </c>
      <c r="DS144" s="62">
        <f t="shared" si="125"/>
        <v>293.33333333333672</v>
      </c>
      <c r="DT144" s="62">
        <f ca="1">AVERAGE(OFFSET($DS$3,0,0,'Données projet'!$E$14+1,1))-AVERAGE(OFFSET($H$3,0,0,'Données projet'!$E$14+1,1))</f>
        <v>116.35584360635318</v>
      </c>
      <c r="DU144" s="62">
        <f t="shared" si="152"/>
        <v>86.38226293640173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25.002485393449192</v>
      </c>
      <c r="EB144" s="23">
        <f>EXP(-LN(2)/25)*EB143+(1-EXP(-LN(2)/25))/(LN(2)/25)*Calculateur!DW144*Calculateur!DY144*VLOOKUP('Données projet'!$B$14,Paramètres!$A$1:$I$88,3,0)*0.475*44/12</f>
        <v>0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25.002485393449192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-40</v>
      </c>
      <c r="O145" s="14">
        <f>N145*VLOOKUP('Données projet'!$B$9,Paramètres!$A$1:$I$88,3,0)*VLOOKUP('Données projet'!$B$9,Paramètres!$A$1:$I$88,5,0)</f>
        <v>-18.72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82.229723373996478</v>
      </c>
      <c r="T145" s="62">
        <f t="shared" si="142"/>
        <v>115.86489547584461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22.687615301503829</v>
      </c>
      <c r="AA145" s="23">
        <f>EXP(-LN(2)/25)*AA144+(1-EXP(-LN(2)/25))/(LN(2)/25)*Calculateur!V145*Calculateur!X145*VLOOKUP('Données projet'!$B$9,Paramètres!$A$1:$I$88,3,0)*0.475*44/12</f>
        <v>2.4416475140233298</v>
      </c>
      <c r="AB145" s="23">
        <f>EXP(-LN(2)/2)*AB144+(1-EXP(-LN(2)/2))/(LN(2)/2)*V145*Y145*VLOOKUP('Données projet'!$B$9,Paramètres!$A$1:$I$88,3,0)*0.475*44/12</f>
        <v>8.5142795174960591E-12</v>
      </c>
      <c r="AC145" s="24">
        <f t="shared" si="111"/>
        <v>25.129262815535675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262.78347246606825</v>
      </c>
      <c r="AO145" s="62">
        <f t="shared" si="144"/>
        <v>448.84541017639367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31.920934899211627</v>
      </c>
      <c r="AV145" s="23">
        <f>EXP(-LN(2)/25)*AV144+(1-EXP(-LN(2)/25))/(LN(2)/25)*Calculateur!AQ145*Calculateur!AS145*VLOOKUP('Données projet'!$B$10,Paramètres!$A$1:$I$88,3,0)*0.475*44/12</f>
        <v>3.9189297479987855</v>
      </c>
      <c r="AW145" s="23">
        <f>EXP(-LN(2)/2)*AW144+(1-EXP(-LN(2)/2))/(LN(2)/2)*AQ145*AT145*VLOOKUP('Données projet'!$B$10,Paramètres!$A$1:$I$88,3,0)*0.475*44/12</f>
        <v>9.2471404591718502E-14</v>
      </c>
      <c r="AX145" s="23">
        <f t="shared" si="114"/>
        <v>35.839864647210504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projet'!$B$11,Paramètres!$A$1:$I$88,3,0)*VLOOKUP('Données projet'!$B$11,Paramètres!$A$1:$I$88,5,0)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135.14998708332445</v>
      </c>
      <c r="BJ145" s="62">
        <f t="shared" si="146"/>
        <v>245.50083454484513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19.242090033105214</v>
      </c>
      <c r="BQ145" s="23">
        <f>EXP(-LN(2)/25)*BQ144+(1-EXP(-LN(2)/25))/(LN(2)/25)*Calculateur!BL145*Calculateur!BN145*VLOOKUP('Données projet'!$B$11,Paramètres!$A$1:$I$88,3,0)*0.475*44/12</f>
        <v>3.7694863984457552</v>
      </c>
      <c r="BR145" s="23">
        <f>EXP(-LN(2)/2)*BR144+(1-EXP(-LN(2)/2))/(LN(2)/2)*BL145*BO145*VLOOKUP('Données projet'!$B$11,Paramètres!$A$1:$I$88,3,0)*0.475*44/12</f>
        <v>2.3892259844134948E-13</v>
      </c>
      <c r="BS145" s="24">
        <f t="shared" si="117"/>
        <v>23.011576431551209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projet'!$B$12,Paramètres!$A$1:$I$88,3,0)*VLOOKUP('Données projet'!$B$12,Paramètres!$A$1:$I$88,5,0)</f>
        <v>6.7984728957526396E-14</v>
      </c>
      <c r="CA145" s="14">
        <f t="shared" si="147"/>
        <v>1.0682447123141398E-12</v>
      </c>
      <c r="CB145" s="22">
        <f t="shared" si="118"/>
        <v>1.978932943548152E-12</v>
      </c>
      <c r="CC145" s="62">
        <f t="shared" si="119"/>
        <v>293.3333333333353</v>
      </c>
      <c r="CD145" s="62">
        <f ca="1">AVERAGE(OFFSET($CC$3,0,0,'Données projet'!$E$12+1,1))-AVERAGE(OFFSET($H$3,0,0,'Données projet'!$E$12+1,1))</f>
        <v>168.16583766359378</v>
      </c>
      <c r="CE145" s="62">
        <f t="shared" si="148"/>
        <v>194.52809733694494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29.686571263376713</v>
      </c>
      <c r="CL145" s="23">
        <f>EXP(-LN(2)/25)*CL144+(1-EXP(-LN(2)/25))/(LN(2)/25)*Calculateur!CG145*Calculateur!CI145*VLOOKUP('Données projet'!$B$12,Paramètres!$A$1:$I$88,3,0)*0.475*44/12</f>
        <v>3.4669770863366693</v>
      </c>
      <c r="CM145" s="23">
        <f>EXP(-LN(2)/2)*CM144+(1-EXP(-LN(2)/2))/(LN(2)/2)*CG145*CJ145*VLOOKUP('Données projet'!$B$12,Paramètres!$A$1:$I$88,3,0)*0.475*44/12</f>
        <v>1.2383284231948686E-11</v>
      </c>
      <c r="CN145" s="24">
        <f t="shared" si="120"/>
        <v>33.153548349725767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projet'!$B$13,Paramètres!$A$1:$I$88,3,0)*VLOOKUP('Données projet'!$B$13,Paramètres!$A$1:$I$88,5,0)</f>
        <v>-4.9658410716801891E-14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146.09202487550647</v>
      </c>
      <c r="CZ145" s="62">
        <f t="shared" si="150"/>
        <v>168.58814676269344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20.39971196309147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20.39971196309147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1.7053025658242404E-13</v>
      </c>
      <c r="DP145" s="18">
        <f>DO145*VLOOKUP('Données projet'!$B$14,Paramètres!$A$1:$I$88,3,0)*VLOOKUP('Données projet'!$B$14,Paramètres!$A$1:$I$88,5,0)</f>
        <v>1.250327841262333E-13</v>
      </c>
      <c r="DQ145" s="14">
        <f t="shared" si="151"/>
        <v>1.8301318724634299E-12</v>
      </c>
      <c r="DR145" s="22">
        <f t="shared" si="124"/>
        <v>3.405245110226996E-12</v>
      </c>
      <c r="DS145" s="62">
        <f t="shared" si="125"/>
        <v>293.33333333333672</v>
      </c>
      <c r="DT145" s="62">
        <f ca="1">AVERAGE(OFFSET($DS$3,0,0,'Données projet'!$E$14+1,1))-AVERAGE(OFFSET($H$3,0,0,'Données projet'!$E$14+1,1))</f>
        <v>116.35584360635318</v>
      </c>
      <c r="DU145" s="62">
        <f t="shared" si="152"/>
        <v>86.38226293640173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24.512201904893928</v>
      </c>
      <c r="EB145" s="23">
        <f>EXP(-LN(2)/25)*EB144+(1-EXP(-LN(2)/25))/(LN(2)/25)*Calculateur!DW145*Calculateur!DY145*VLOOKUP('Données projet'!$B$14,Paramètres!$A$1:$I$88,3,0)*0.475*44/12</f>
        <v>0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24.512201904893928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-40</v>
      </c>
      <c r="O146" s="14">
        <f>N146*VLOOKUP('Données projet'!$B$9,Paramètres!$A$1:$I$88,3,0)*VLOOKUP('Données projet'!$B$9,Paramètres!$A$1:$I$88,5,0)</f>
        <v>-18.72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82.229723373996478</v>
      </c>
      <c r="T146" s="62">
        <f t="shared" si="142"/>
        <v>115.86489547584461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22.242725003520277</v>
      </c>
      <c r="AA146" s="23">
        <f>EXP(-LN(2)/25)*AA145+(1-EXP(-LN(2)/25))/(LN(2)/25)*Calculateur!V146*Calculateur!X146*VLOOKUP('Données projet'!$B$9,Paramètres!$A$1:$I$88,3,0)*0.475*44/12</f>
        <v>2.3748805343516994</v>
      </c>
      <c r="AB146" s="23">
        <f>EXP(-LN(2)/2)*AB145+(1-EXP(-LN(2)/2))/(LN(2)/2)*V146*Y146*VLOOKUP('Données projet'!$B$9,Paramètres!$A$1:$I$88,3,0)*0.475*44/12</f>
        <v>6.0205047837391894E-12</v>
      </c>
      <c r="AC146" s="24">
        <f t="shared" si="111"/>
        <v>24.617605537877999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262.78347246606825</v>
      </c>
      <c r="AO146" s="62">
        <f t="shared" si="144"/>
        <v>448.84541017639367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31.294984835685888</v>
      </c>
      <c r="AV146" s="23">
        <f>EXP(-LN(2)/25)*AV145+(1-EXP(-LN(2)/25))/(LN(2)/25)*Calculateur!AQ146*Calculateur!AS146*VLOOKUP('Données projet'!$B$10,Paramètres!$A$1:$I$88,3,0)*0.475*44/12</f>
        <v>3.8117664079522</v>
      </c>
      <c r="AW146" s="23">
        <f>EXP(-LN(2)/2)*AW145+(1-EXP(-LN(2)/2))/(LN(2)/2)*AQ146*AT146*VLOOKUP('Données projet'!$B$10,Paramètres!$A$1:$I$88,3,0)*0.475*44/12</f>
        <v>6.5387157252649E-14</v>
      </c>
      <c r="AX146" s="23">
        <f t="shared" si="114"/>
        <v>35.106751243638151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projet'!$B$11,Paramètres!$A$1:$I$88,3,0)*VLOOKUP('Données projet'!$B$11,Paramètres!$A$1:$I$88,5,0)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135.14998708332445</v>
      </c>
      <c r="BJ146" s="62">
        <f t="shared" si="146"/>
        <v>245.50083454484513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18.864764384072057</v>
      </c>
      <c r="BQ146" s="23">
        <f>EXP(-LN(2)/25)*BQ145+(1-EXP(-LN(2)/25))/(LN(2)/25)*Calculateur!BL146*Calculateur!BN146*VLOOKUP('Données projet'!$B$11,Paramètres!$A$1:$I$88,3,0)*0.475*44/12</f>
        <v>3.6664095946515816</v>
      </c>
      <c r="BR146" s="23">
        <f>EXP(-LN(2)/2)*BR145+(1-EXP(-LN(2)/2))/(LN(2)/2)*BL146*BO146*VLOOKUP('Données projet'!$B$11,Paramètres!$A$1:$I$88,3,0)*0.475*44/12</f>
        <v>1.6894378953658867E-13</v>
      </c>
      <c r="BS146" s="24">
        <f t="shared" si="117"/>
        <v>22.53117397872381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projet'!$B$12,Paramètres!$A$1:$I$88,3,0)*VLOOKUP('Données projet'!$B$12,Paramètres!$A$1:$I$88,5,0)</f>
        <v>6.7984728957526396E-14</v>
      </c>
      <c r="CA146" s="14">
        <f t="shared" si="147"/>
        <v>1.0682447123141398E-12</v>
      </c>
      <c r="CB146" s="22">
        <f t="shared" si="118"/>
        <v>1.978932943548152E-12</v>
      </c>
      <c r="CC146" s="62">
        <f t="shared" si="119"/>
        <v>293.3333333333353</v>
      </c>
      <c r="CD146" s="62">
        <f ca="1">AVERAGE(OFFSET($CC$3,0,0,'Données projet'!$E$12+1,1))-AVERAGE(OFFSET($H$3,0,0,'Données projet'!$E$12+1,1))</f>
        <v>168.16583766359378</v>
      </c>
      <c r="CE146" s="62">
        <f t="shared" si="148"/>
        <v>194.52809733694494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29.104435707922448</v>
      </c>
      <c r="CL146" s="23">
        <f>EXP(-LN(2)/25)*CL145+(1-EXP(-LN(2)/25))/(LN(2)/25)*Calculateur!CG146*Calculateur!CI146*VLOOKUP('Données projet'!$B$12,Paramètres!$A$1:$I$88,3,0)*0.475*44/12</f>
        <v>3.3721724155903918</v>
      </c>
      <c r="CM146" s="23">
        <f>EXP(-LN(2)/2)*CM145+(1-EXP(-LN(2)/2))/(LN(2)/2)*CG146*CJ146*VLOOKUP('Données projet'!$B$12,Paramètres!$A$1:$I$88,3,0)*0.475*44/12</f>
        <v>8.7563042537713634E-12</v>
      </c>
      <c r="CN146" s="24">
        <f t="shared" si="120"/>
        <v>32.476608123521594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projet'!$B$13,Paramètres!$A$1:$I$88,3,0)*VLOOKUP('Données projet'!$B$13,Paramètres!$A$1:$I$88,5,0)</f>
        <v>-4.9658410716801891E-14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146.09202487550647</v>
      </c>
      <c r="CZ146" s="62">
        <f t="shared" si="150"/>
        <v>168.58814676269344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19.99968605409094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19.99968605409094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1.7053025658242404E-13</v>
      </c>
      <c r="DP146" s="18">
        <f>DO146*VLOOKUP('Données projet'!$B$14,Paramètres!$A$1:$I$88,3,0)*VLOOKUP('Données projet'!$B$14,Paramètres!$A$1:$I$88,5,0)</f>
        <v>1.250327841262333E-13</v>
      </c>
      <c r="DQ146" s="14">
        <f t="shared" si="151"/>
        <v>1.8301318724634299E-12</v>
      </c>
      <c r="DR146" s="22">
        <f t="shared" si="124"/>
        <v>3.405245110226996E-12</v>
      </c>
      <c r="DS146" s="62">
        <f t="shared" si="125"/>
        <v>293.33333333333672</v>
      </c>
      <c r="DT146" s="62">
        <f ca="1">AVERAGE(OFFSET($DS$3,0,0,'Données projet'!$E$14+1,1))-AVERAGE(OFFSET($H$3,0,0,'Données projet'!$E$14+1,1))</f>
        <v>116.35584360635318</v>
      </c>
      <c r="DU146" s="62">
        <f t="shared" si="152"/>
        <v>86.38226293640173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24.031532576505835</v>
      </c>
      <c r="EB146" s="23">
        <f>EXP(-LN(2)/25)*EB145+(1-EXP(-LN(2)/25))/(LN(2)/25)*Calculateur!DW146*Calculateur!DY146*VLOOKUP('Données projet'!$B$14,Paramètres!$A$1:$I$88,3,0)*0.475*44/12</f>
        <v>0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24.031532576505835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-40</v>
      </c>
      <c r="O147" s="14">
        <f>N147*VLOOKUP('Données projet'!$B$9,Paramètres!$A$1:$I$88,3,0)*VLOOKUP('Données projet'!$B$9,Paramètres!$A$1:$I$88,5,0)</f>
        <v>-18.72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82.229723373996478</v>
      </c>
      <c r="T147" s="62">
        <f t="shared" si="142"/>
        <v>115.86489547584461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21.806558732923893</v>
      </c>
      <c r="AA147" s="23">
        <f>EXP(-LN(2)/25)*AA146+(1-EXP(-LN(2)/25))/(LN(2)/25)*Calculateur!V147*Calculateur!X147*VLOOKUP('Données projet'!$B$9,Paramètres!$A$1:$I$88,3,0)*0.475*44/12</f>
        <v>2.3099393012503127</v>
      </c>
      <c r="AB147" s="23">
        <f>EXP(-LN(2)/2)*AB146+(1-EXP(-LN(2)/2))/(LN(2)/2)*V147*Y147*VLOOKUP('Données projet'!$B$9,Paramètres!$A$1:$I$88,3,0)*0.475*44/12</f>
        <v>4.2571397587480295E-12</v>
      </c>
      <c r="AC147" s="24">
        <f t="shared" si="111"/>
        <v>24.116498034178463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262.78347246606825</v>
      </c>
      <c r="AO147" s="62">
        <f t="shared" si="144"/>
        <v>448.84541017639367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30.681309271114049</v>
      </c>
      <c r="AV147" s="23">
        <f>EXP(-LN(2)/25)*AV146+(1-EXP(-LN(2)/25))/(LN(2)/25)*Calculateur!AQ147*Calculateur!AS147*VLOOKUP('Données projet'!$B$10,Paramètres!$A$1:$I$88,3,0)*0.475*44/12</f>
        <v>3.7075334550746635</v>
      </c>
      <c r="AW147" s="23">
        <f>EXP(-LN(2)/2)*AW146+(1-EXP(-LN(2)/2))/(LN(2)/2)*AQ147*AT147*VLOOKUP('Données projet'!$B$10,Paramètres!$A$1:$I$88,3,0)*0.475*44/12</f>
        <v>4.6235702295859251E-14</v>
      </c>
      <c r="AX147" s="23">
        <f t="shared" si="114"/>
        <v>34.388842726188763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projet'!$B$11,Paramètres!$A$1:$I$88,3,0)*VLOOKUP('Données projet'!$B$11,Paramètres!$A$1:$I$88,5,0)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135.14998708332445</v>
      </c>
      <c r="BJ147" s="62">
        <f t="shared" si="146"/>
        <v>245.50083454484513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18.494837860870518</v>
      </c>
      <c r="BQ147" s="23">
        <f>EXP(-LN(2)/25)*BQ146+(1-EXP(-LN(2)/25))/(LN(2)/25)*Calculateur!BL147*Calculateur!BN147*VLOOKUP('Données projet'!$B$11,Paramètres!$A$1:$I$88,3,0)*0.475*44/12</f>
        <v>3.5661514314777332</v>
      </c>
      <c r="BR147" s="23">
        <f>EXP(-LN(2)/2)*BR146+(1-EXP(-LN(2)/2))/(LN(2)/2)*BL147*BO147*VLOOKUP('Données projet'!$B$11,Paramètres!$A$1:$I$88,3,0)*0.475*44/12</f>
        <v>1.1946129922067474E-13</v>
      </c>
      <c r="BS147" s="24">
        <f t="shared" si="117"/>
        <v>22.060989292348374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projet'!$B$12,Paramètres!$A$1:$I$88,3,0)*VLOOKUP('Données projet'!$B$12,Paramètres!$A$1:$I$88,5,0)</f>
        <v>6.7984728957526396E-14</v>
      </c>
      <c r="CA147" s="14">
        <f t="shared" si="147"/>
        <v>1.0682447123141398E-12</v>
      </c>
      <c r="CB147" s="22">
        <f t="shared" si="118"/>
        <v>1.978932943548152E-12</v>
      </c>
      <c r="CC147" s="62">
        <f t="shared" si="119"/>
        <v>293.3333333333353</v>
      </c>
      <c r="CD147" s="62">
        <f ca="1">AVERAGE(OFFSET($CC$3,0,0,'Données projet'!$E$12+1,1))-AVERAGE(OFFSET($H$3,0,0,'Données projet'!$E$12+1,1))</f>
        <v>168.16583766359378</v>
      </c>
      <c r="CE147" s="62">
        <f t="shared" si="148"/>
        <v>194.52809733694494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28.53371547564301</v>
      </c>
      <c r="CL147" s="23">
        <f>EXP(-LN(2)/25)*CL146+(1-EXP(-LN(2)/25))/(LN(2)/25)*Calculateur!CG147*Calculateur!CI147*VLOOKUP('Données projet'!$B$12,Paramètres!$A$1:$I$88,3,0)*0.475*44/12</f>
        <v>3.2799601835512324</v>
      </c>
      <c r="CM147" s="23">
        <f>EXP(-LN(2)/2)*CM146+(1-EXP(-LN(2)/2))/(LN(2)/2)*CG147*CJ147*VLOOKUP('Données projet'!$B$12,Paramètres!$A$1:$I$88,3,0)*0.475*44/12</f>
        <v>6.1916421159743428E-12</v>
      </c>
      <c r="CN147" s="24">
        <f t="shared" si="120"/>
        <v>31.813675659200435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projet'!$B$13,Paramètres!$A$1:$I$88,3,0)*VLOOKUP('Données projet'!$B$13,Paramètres!$A$1:$I$88,5,0)</f>
        <v>-4.9658410716801891E-14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146.09202487550647</v>
      </c>
      <c r="CZ147" s="62">
        <f t="shared" si="150"/>
        <v>168.58814676269344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19.607504409174197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19.607504409174197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1.7053025658242404E-13</v>
      </c>
      <c r="DP147" s="18">
        <f>DO147*VLOOKUP('Données projet'!$B$14,Paramètres!$A$1:$I$88,3,0)*VLOOKUP('Données projet'!$B$14,Paramètres!$A$1:$I$88,5,0)</f>
        <v>1.250327841262333E-13</v>
      </c>
      <c r="DQ147" s="14">
        <f t="shared" si="151"/>
        <v>1.8301318724634299E-12</v>
      </c>
      <c r="DR147" s="22">
        <f t="shared" si="124"/>
        <v>3.405245110226996E-12</v>
      </c>
      <c r="DS147" s="62">
        <f t="shared" si="125"/>
        <v>293.33333333333672</v>
      </c>
      <c r="DT147" s="62">
        <f ca="1">AVERAGE(OFFSET($DS$3,0,0,'Données projet'!$E$14+1,1))-AVERAGE(OFFSET($H$3,0,0,'Données projet'!$E$14+1,1))</f>
        <v>116.35584360635318</v>
      </c>
      <c r="DU147" s="62">
        <f t="shared" si="152"/>
        <v>86.38226293640173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23.560288880468093</v>
      </c>
      <c r="EB147" s="23">
        <f>EXP(-LN(2)/25)*EB146+(1-EXP(-LN(2)/25))/(LN(2)/25)*Calculateur!DW147*Calculateur!DY147*VLOOKUP('Données projet'!$B$14,Paramètres!$A$1:$I$88,3,0)*0.475*44/12</f>
        <v>0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23.560288880468093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-40</v>
      </c>
      <c r="O148" s="14">
        <f>N148*VLOOKUP('Données projet'!$B$9,Paramètres!$A$1:$I$88,3,0)*VLOOKUP('Données projet'!$B$9,Paramètres!$A$1:$I$88,5,0)</f>
        <v>-18.72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82.229723373996478</v>
      </c>
      <c r="T148" s="62">
        <f t="shared" si="142"/>
        <v>115.86489547584461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21.378945416858748</v>
      </c>
      <c r="AA148" s="23">
        <f>EXP(-LN(2)/25)*AA147+(1-EXP(-LN(2)/25))/(LN(2)/25)*Calculateur!V148*Calculateur!X148*VLOOKUP('Données projet'!$B$9,Paramètres!$A$1:$I$88,3,0)*0.475*44/12</f>
        <v>2.2467738895831944</v>
      </c>
      <c r="AB148" s="23">
        <f>EXP(-LN(2)/2)*AB147+(1-EXP(-LN(2)/2))/(LN(2)/2)*V148*Y148*VLOOKUP('Données projet'!$B$9,Paramètres!$A$1:$I$88,3,0)*0.475*44/12</f>
        <v>3.0102523918695947E-12</v>
      </c>
      <c r="AC148" s="24">
        <f t="shared" si="111"/>
        <v>23.625719306444953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262.78347246606825</v>
      </c>
      <c r="AO148" s="62">
        <f t="shared" si="144"/>
        <v>448.84541017639367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30.079667510058329</v>
      </c>
      <c r="AV148" s="23">
        <f>EXP(-LN(2)/25)*AV147+(1-EXP(-LN(2)/25))/(LN(2)/25)*Calculateur!AQ148*Calculateur!AS148*VLOOKUP('Données projet'!$B$10,Paramètres!$A$1:$I$88,3,0)*0.475*44/12</f>
        <v>3.6061507577749361</v>
      </c>
      <c r="AW148" s="23">
        <f>EXP(-LN(2)/2)*AW147+(1-EXP(-LN(2)/2))/(LN(2)/2)*AQ148*AT148*VLOOKUP('Données projet'!$B$10,Paramètres!$A$1:$I$88,3,0)*0.475*44/12</f>
        <v>3.26935786263245E-14</v>
      </c>
      <c r="AX148" s="23">
        <f t="shared" si="114"/>
        <v>33.685818267833298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projet'!$B$11,Paramètres!$A$1:$I$88,3,0)*VLOOKUP('Données projet'!$B$11,Paramètres!$A$1:$I$88,5,0)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135.14998708332445</v>
      </c>
      <c r="BJ148" s="62">
        <f t="shared" si="146"/>
        <v>245.50083454484513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18.132165371156063</v>
      </c>
      <c r="BQ148" s="23">
        <f>EXP(-LN(2)/25)*BQ147+(1-EXP(-LN(2)/25))/(LN(2)/25)*Calculateur!BL148*Calculateur!BN148*VLOOKUP('Données projet'!$B$11,Paramètres!$A$1:$I$88,3,0)*0.475*44/12</f>
        <v>3.4686348330482213</v>
      </c>
      <c r="BR148" s="23">
        <f>EXP(-LN(2)/2)*BR147+(1-EXP(-LN(2)/2))/(LN(2)/2)*BL148*BO148*VLOOKUP('Données projet'!$B$11,Paramètres!$A$1:$I$88,3,0)*0.475*44/12</f>
        <v>8.4471894768294334E-14</v>
      </c>
      <c r="BS148" s="24">
        <f t="shared" si="117"/>
        <v>21.600800204204369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projet'!$B$12,Paramètres!$A$1:$I$88,3,0)*VLOOKUP('Données projet'!$B$12,Paramètres!$A$1:$I$88,5,0)</f>
        <v>6.7984728957526396E-14</v>
      </c>
      <c r="CA148" s="14">
        <f t="shared" si="147"/>
        <v>1.0682447123141398E-12</v>
      </c>
      <c r="CB148" s="22">
        <f t="shared" si="118"/>
        <v>1.978932943548152E-12</v>
      </c>
      <c r="CC148" s="62">
        <f t="shared" si="119"/>
        <v>293.3333333333353</v>
      </c>
      <c r="CD148" s="62">
        <f ca="1">AVERAGE(OFFSET($CC$3,0,0,'Données projet'!$E$12+1,1))-AVERAGE(OFFSET($H$3,0,0,'Données projet'!$E$12+1,1))</f>
        <v>168.16583766359378</v>
      </c>
      <c r="CE148" s="62">
        <f t="shared" si="148"/>
        <v>194.52809733694494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27.974186719013602</v>
      </c>
      <c r="CL148" s="23">
        <f>EXP(-LN(2)/25)*CL147+(1-EXP(-LN(2)/25))/(LN(2)/25)*Calculateur!CG148*Calculateur!CI148*VLOOKUP('Données projet'!$B$12,Paramètres!$A$1:$I$88,3,0)*0.475*44/12</f>
        <v>3.1902694998464143</v>
      </c>
      <c r="CM148" s="23">
        <f>EXP(-LN(2)/2)*CM147+(1-EXP(-LN(2)/2))/(LN(2)/2)*CG148*CJ148*VLOOKUP('Données projet'!$B$12,Paramètres!$A$1:$I$88,3,0)*0.475*44/12</f>
        <v>4.3781521268856817E-12</v>
      </c>
      <c r="CN148" s="24">
        <f t="shared" si="120"/>
        <v>31.164456218864395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projet'!$B$13,Paramètres!$A$1:$I$88,3,0)*VLOOKUP('Données projet'!$B$13,Paramètres!$A$1:$I$88,5,0)</f>
        <v>-4.9658410716801891E-14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146.09202487550647</v>
      </c>
      <c r="CZ148" s="62">
        <f t="shared" si="150"/>
        <v>168.58814676269344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19.223013207107087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19.223013207107087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1.7053025658242404E-13</v>
      </c>
      <c r="DP148" s="18">
        <f>DO148*VLOOKUP('Données projet'!$B$14,Paramètres!$A$1:$I$88,3,0)*VLOOKUP('Données projet'!$B$14,Paramètres!$A$1:$I$88,5,0)</f>
        <v>1.250327841262333E-13</v>
      </c>
      <c r="DQ148" s="14">
        <f t="shared" si="151"/>
        <v>1.8301318724634299E-12</v>
      </c>
      <c r="DR148" s="22">
        <f t="shared" si="124"/>
        <v>3.405245110226996E-12</v>
      </c>
      <c r="DS148" s="62">
        <f t="shared" si="125"/>
        <v>293.33333333333672</v>
      </c>
      <c r="DT148" s="62">
        <f ca="1">AVERAGE(OFFSET($DS$3,0,0,'Données projet'!$E$14+1,1))-AVERAGE(OFFSET($H$3,0,0,'Données projet'!$E$14+1,1))</f>
        <v>116.35584360635318</v>
      </c>
      <c r="DU148" s="62">
        <f t="shared" si="152"/>
        <v>86.38226293640173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23.098285985879375</v>
      </c>
      <c r="EB148" s="23">
        <f>EXP(-LN(2)/25)*EB147+(1-EXP(-LN(2)/25))/(LN(2)/25)*Calculateur!DW148*Calculateur!DY148*VLOOKUP('Données projet'!$B$14,Paramètres!$A$1:$I$88,3,0)*0.475*44/12</f>
        <v>0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23.098285985879375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-40</v>
      </c>
      <c r="O149" s="14">
        <f>N149*VLOOKUP('Données projet'!$B$9,Paramètres!$A$1:$I$88,3,0)*VLOOKUP('Données projet'!$B$9,Paramètres!$A$1:$I$88,5,0)</f>
        <v>-18.72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82.229723373996478</v>
      </c>
      <c r="T149" s="62">
        <f t="shared" si="142"/>
        <v>115.86489547584461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20.959717337103271</v>
      </c>
      <c r="AA149" s="23">
        <f>EXP(-LN(2)/25)*AA148+(1-EXP(-LN(2)/25))/(LN(2)/25)*Calculateur!V149*Calculateur!X149*VLOOKUP('Données projet'!$B$9,Paramètres!$A$1:$I$88,3,0)*0.475*44/12</f>
        <v>2.1853357394198381</v>
      </c>
      <c r="AB149" s="23">
        <f>EXP(-LN(2)/2)*AB148+(1-EXP(-LN(2)/2))/(LN(2)/2)*V149*Y149*VLOOKUP('Données projet'!$B$9,Paramètres!$A$1:$I$88,3,0)*0.475*44/12</f>
        <v>2.1285698793740148E-12</v>
      </c>
      <c r="AC149" s="24">
        <f t="shared" si="111"/>
        <v>23.145053076525237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262.78347246606825</v>
      </c>
      <c r="AO149" s="62">
        <f t="shared" si="144"/>
        <v>448.84541017639367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29.48982357697167</v>
      </c>
      <c r="AV149" s="23">
        <f>EXP(-LN(2)/25)*AV148+(1-EXP(-LN(2)/25))/(LN(2)/25)*Calculateur!AQ149*Calculateur!AS149*VLOOKUP('Données projet'!$B$10,Paramètres!$A$1:$I$88,3,0)*0.475*44/12</f>
        <v>3.5075403756643539</v>
      </c>
      <c r="AW149" s="23">
        <f>EXP(-LN(2)/2)*AW148+(1-EXP(-LN(2)/2))/(LN(2)/2)*AQ149*AT149*VLOOKUP('Données projet'!$B$10,Paramètres!$A$1:$I$88,3,0)*0.475*44/12</f>
        <v>2.3117851147929626E-14</v>
      </c>
      <c r="AX149" s="23">
        <f t="shared" si="114"/>
        <v>32.997363952636043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projet'!$B$11,Paramètres!$A$1:$I$88,3,0)*VLOOKUP('Données projet'!$B$11,Paramètres!$A$1:$I$88,5,0)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135.14998708332445</v>
      </c>
      <c r="BJ149" s="62">
        <f t="shared" si="146"/>
        <v>245.50083454484513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17.77660466775653</v>
      </c>
      <c r="BQ149" s="23">
        <f>EXP(-LN(2)/25)*BQ148+(1-EXP(-LN(2)/25))/(LN(2)/25)*Calculateur!BL149*Calculateur!BN149*VLOOKUP('Données projet'!$B$11,Paramètres!$A$1:$I$88,3,0)*0.475*44/12</f>
        <v>3.3737848311309393</v>
      </c>
      <c r="BR149" s="23">
        <f>EXP(-LN(2)/2)*BR148+(1-EXP(-LN(2)/2))/(LN(2)/2)*BL149*BO149*VLOOKUP('Données projet'!$B$11,Paramètres!$A$1:$I$88,3,0)*0.475*44/12</f>
        <v>5.973064961033737E-14</v>
      </c>
      <c r="BS149" s="24">
        <f t="shared" si="117"/>
        <v>21.150389498887531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projet'!$B$12,Paramètres!$A$1:$I$88,3,0)*VLOOKUP('Données projet'!$B$12,Paramètres!$A$1:$I$88,5,0)</f>
        <v>6.7984728957526396E-14</v>
      </c>
      <c r="CA149" s="14">
        <f t="shared" si="147"/>
        <v>1.0682447123141398E-12</v>
      </c>
      <c r="CB149" s="22">
        <f t="shared" si="118"/>
        <v>1.978932943548152E-12</v>
      </c>
      <c r="CC149" s="62">
        <f t="shared" si="119"/>
        <v>293.3333333333353</v>
      </c>
      <c r="CD149" s="62">
        <f ca="1">AVERAGE(OFFSET($CC$3,0,0,'Données projet'!$E$12+1,1))-AVERAGE(OFFSET($H$3,0,0,'Données projet'!$E$12+1,1))</f>
        <v>168.16583766359378</v>
      </c>
      <c r="CE149" s="62">
        <f t="shared" si="148"/>
        <v>194.52809733694494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27.425629980022855</v>
      </c>
      <c r="CL149" s="23">
        <f>EXP(-LN(2)/25)*CL148+(1-EXP(-LN(2)/25))/(LN(2)/25)*Calculateur!CG149*Calculateur!CI149*VLOOKUP('Données projet'!$B$12,Paramètres!$A$1:$I$88,3,0)*0.475*44/12</f>
        <v>3.1030314126041327</v>
      </c>
      <c r="CM149" s="23">
        <f>EXP(-LN(2)/2)*CM148+(1-EXP(-LN(2)/2))/(LN(2)/2)*CG149*CJ149*VLOOKUP('Données projet'!$B$12,Paramètres!$A$1:$I$88,3,0)*0.475*44/12</f>
        <v>3.0958210579871714E-12</v>
      </c>
      <c r="CN149" s="24">
        <f t="shared" si="120"/>
        <v>30.528661392630081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projet'!$B$13,Paramètres!$A$1:$I$88,3,0)*VLOOKUP('Données projet'!$B$13,Paramètres!$A$1:$I$88,5,0)</f>
        <v>-4.9658410716801891E-14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146.09202487550647</v>
      </c>
      <c r="CZ149" s="62">
        <f t="shared" si="150"/>
        <v>168.58814676269344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18.846061642996037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18.846061642996037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1.7053025658242404E-13</v>
      </c>
      <c r="DP149" s="18">
        <f>DO149*VLOOKUP('Données projet'!$B$14,Paramètres!$A$1:$I$88,3,0)*VLOOKUP('Données projet'!$B$14,Paramètres!$A$1:$I$88,5,0)</f>
        <v>1.250327841262333E-13</v>
      </c>
      <c r="DQ149" s="14">
        <f t="shared" si="151"/>
        <v>1.8301318724634299E-12</v>
      </c>
      <c r="DR149" s="22">
        <f t="shared" si="124"/>
        <v>3.405245110226996E-12</v>
      </c>
      <c r="DS149" s="62">
        <f t="shared" si="125"/>
        <v>293.33333333333672</v>
      </c>
      <c r="DT149" s="62">
        <f ca="1">AVERAGE(OFFSET($DS$3,0,0,'Données projet'!$E$14+1,1))-AVERAGE(OFFSET($H$3,0,0,'Données projet'!$E$14+1,1))</f>
        <v>116.35584360635318</v>
      </c>
      <c r="DU149" s="62">
        <f t="shared" si="152"/>
        <v>86.38226293640173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22.645342686259603</v>
      </c>
      <c r="EB149" s="23">
        <f>EXP(-LN(2)/25)*EB148+(1-EXP(-LN(2)/25))/(LN(2)/25)*Calculateur!DW149*Calculateur!DY149*VLOOKUP('Données projet'!$B$14,Paramètres!$A$1:$I$88,3,0)*0.475*44/12</f>
        <v>0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22.645342686259603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-40</v>
      </c>
      <c r="O150" s="14">
        <f>N150*VLOOKUP('Données projet'!$B$9,Paramètres!$A$1:$I$88,3,0)*VLOOKUP('Données projet'!$B$9,Paramètres!$A$1:$I$88,5,0)</f>
        <v>-18.72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82.229723373996478</v>
      </c>
      <c r="T150" s="62">
        <f t="shared" si="142"/>
        <v>115.86489547584461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20.548710064287921</v>
      </c>
      <c r="AA150" s="23">
        <f>EXP(-LN(2)/25)*AA149+(1-EXP(-LN(2)/25))/(LN(2)/25)*Calculateur!V150*Calculateur!X150*VLOOKUP('Données projet'!$B$9,Paramètres!$A$1:$I$88,3,0)*0.475*44/12</f>
        <v>2.1255776187035909</v>
      </c>
      <c r="AB150" s="23">
        <f>EXP(-LN(2)/2)*AB149+(1-EXP(-LN(2)/2))/(LN(2)/2)*V150*Y150*VLOOKUP('Données projet'!$B$9,Paramètres!$A$1:$I$88,3,0)*0.475*44/12</f>
        <v>1.5051261959347973E-12</v>
      </c>
      <c r="AC150" s="24">
        <f t="shared" si="111"/>
        <v>22.674287682993018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262.78347246606825</v>
      </c>
      <c r="AO150" s="62">
        <f t="shared" si="144"/>
        <v>448.84541017639367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28.911546123643568</v>
      </c>
      <c r="AV150" s="23">
        <f>EXP(-LN(2)/25)*AV149+(1-EXP(-LN(2)/25))/(LN(2)/25)*Calculateur!AQ150*Calculateur!AS150*VLOOKUP('Données projet'!$B$10,Paramètres!$A$1:$I$88,3,0)*0.475*44/12</f>
        <v>3.4116264996382806</v>
      </c>
      <c r="AW150" s="23">
        <f>EXP(-LN(2)/2)*AW149+(1-EXP(-LN(2)/2))/(LN(2)/2)*AQ150*AT150*VLOOKUP('Données projet'!$B$10,Paramètres!$A$1:$I$88,3,0)*0.475*44/12</f>
        <v>1.634678931316225E-14</v>
      </c>
      <c r="AX150" s="23">
        <f t="shared" si="114"/>
        <v>32.323172623281863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projet'!$B$11,Paramètres!$A$1:$I$88,3,0)*VLOOKUP('Données projet'!$B$11,Paramètres!$A$1:$I$88,5,0)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135.14998708332445</v>
      </c>
      <c r="BJ150" s="62">
        <f t="shared" si="146"/>
        <v>245.50083454484513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17.428016292880049</v>
      </c>
      <c r="BQ150" s="23">
        <f>EXP(-LN(2)/25)*BQ149+(1-EXP(-LN(2)/25))/(LN(2)/25)*Calculateur!BL150*Calculateur!BN150*VLOOKUP('Données projet'!$B$11,Paramètres!$A$1:$I$88,3,0)*0.475*44/12</f>
        <v>3.2815285075040306</v>
      </c>
      <c r="BR150" s="23">
        <f>EXP(-LN(2)/2)*BR149+(1-EXP(-LN(2)/2))/(LN(2)/2)*BL150*BO150*VLOOKUP('Données projet'!$B$11,Paramètres!$A$1:$I$88,3,0)*0.475*44/12</f>
        <v>4.2235947384147167E-14</v>
      </c>
      <c r="BS150" s="24">
        <f t="shared" si="117"/>
        <v>20.709544800384123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projet'!$B$12,Paramètres!$A$1:$I$88,3,0)*VLOOKUP('Données projet'!$B$12,Paramètres!$A$1:$I$88,5,0)</f>
        <v>6.7984728957526396E-14</v>
      </c>
      <c r="CA150" s="14">
        <f t="shared" si="147"/>
        <v>1.0682447123141398E-12</v>
      </c>
      <c r="CB150" s="22">
        <f t="shared" si="118"/>
        <v>1.978932943548152E-12</v>
      </c>
      <c r="CC150" s="62">
        <f t="shared" si="119"/>
        <v>293.3333333333353</v>
      </c>
      <c r="CD150" s="62">
        <f ca="1">AVERAGE(OFFSET($CC$3,0,0,'Données projet'!$E$12+1,1))-AVERAGE(OFFSET($H$3,0,0,'Données projet'!$E$12+1,1))</f>
        <v>168.16583766359378</v>
      </c>
      <c r="CE150" s="62">
        <f t="shared" si="148"/>
        <v>194.52809733694494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26.887830104097144</v>
      </c>
      <c r="CL150" s="23">
        <f>EXP(-LN(2)/25)*CL149+(1-EXP(-LN(2)/25))/(LN(2)/25)*Calculateur!CG150*Calculateur!CI150*VLOOKUP('Données projet'!$B$12,Paramètres!$A$1:$I$88,3,0)*0.475*44/12</f>
        <v>3.018178855445143</v>
      </c>
      <c r="CM150" s="23">
        <f>EXP(-LN(2)/2)*CM149+(1-EXP(-LN(2)/2))/(LN(2)/2)*CG150*CJ150*VLOOKUP('Données projet'!$B$12,Paramètres!$A$1:$I$88,3,0)*0.475*44/12</f>
        <v>2.1890760634428408E-12</v>
      </c>
      <c r="CN150" s="24">
        <f t="shared" si="120"/>
        <v>29.906008959544476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projet'!$B$13,Paramètres!$A$1:$I$88,3,0)*VLOOKUP('Données projet'!$B$13,Paramètres!$A$1:$I$88,5,0)</f>
        <v>-4.9658410716801891E-14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146.09202487550647</v>
      </c>
      <c r="CZ150" s="62">
        <f t="shared" si="150"/>
        <v>168.58814676269344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18.476501869139454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18.476501869139454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1.7053025658242404E-13</v>
      </c>
      <c r="DP150" s="18">
        <f>DO150*VLOOKUP('Données projet'!$B$14,Paramètres!$A$1:$I$88,3,0)*VLOOKUP('Données projet'!$B$14,Paramètres!$A$1:$I$88,5,0)</f>
        <v>1.250327841262333E-13</v>
      </c>
      <c r="DQ150" s="14">
        <f t="shared" si="151"/>
        <v>1.8301318724634299E-12</v>
      </c>
      <c r="DR150" s="22">
        <f t="shared" si="124"/>
        <v>3.405245110226996E-12</v>
      </c>
      <c r="DS150" s="62">
        <f t="shared" si="125"/>
        <v>293.33333333333672</v>
      </c>
      <c r="DT150" s="62">
        <f ca="1">AVERAGE(OFFSET($DS$3,0,0,'Données projet'!$E$14+1,1))-AVERAGE(OFFSET($H$3,0,0,'Données projet'!$E$14+1,1))</f>
        <v>116.35584360635318</v>
      </c>
      <c r="DU150" s="62">
        <f t="shared" si="152"/>
        <v>86.38226293640173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22.20128132847724</v>
      </c>
      <c r="EB150" s="23">
        <f>EXP(-LN(2)/25)*EB149+(1-EXP(-LN(2)/25))/(LN(2)/25)*Calculateur!DW150*Calculateur!DY150*VLOOKUP('Données projet'!$B$14,Paramètres!$A$1:$I$88,3,0)*0.475*44/12</f>
        <v>0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22.20128132847724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-40</v>
      </c>
      <c r="O151" s="14">
        <f>N151*VLOOKUP('Données projet'!$B$9,Paramètres!$A$1:$I$88,3,0)*VLOOKUP('Données projet'!$B$9,Paramètres!$A$1:$I$88,5,0)</f>
        <v>-18.72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82.229723373996478</v>
      </c>
      <c r="T151" s="62">
        <f t="shared" si="142"/>
        <v>115.86489547584461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20.145762393402794</v>
      </c>
      <c r="AA151" s="23">
        <f>EXP(-LN(2)/25)*AA150+(1-EXP(-LN(2)/25))/(LN(2)/25)*Calculateur!V151*Calculateur!X151*VLOOKUP('Données projet'!$B$9,Paramètres!$A$1:$I$88,3,0)*0.475*44/12</f>
        <v>2.0674535869408723</v>
      </c>
      <c r="AB151" s="23">
        <f>EXP(-LN(2)/2)*AB150+(1-EXP(-LN(2)/2))/(LN(2)/2)*V151*Y151*VLOOKUP('Données projet'!$B$9,Paramètres!$A$1:$I$88,3,0)*0.475*44/12</f>
        <v>1.0642849396870074E-12</v>
      </c>
      <c r="AC151" s="24">
        <f t="shared" si="111"/>
        <v>22.213215980344732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262.78347246606825</v>
      </c>
      <c r="AO151" s="62">
        <f t="shared" si="144"/>
        <v>448.84541017639367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28.344608338460809</v>
      </c>
      <c r="AV151" s="23">
        <f>EXP(-LN(2)/25)*AV150+(1-EXP(-LN(2)/25))/(LN(2)/25)*Calculateur!AQ151*Calculateur!AS151*VLOOKUP('Données projet'!$B$10,Paramètres!$A$1:$I$88,3,0)*0.475*44/12</f>
        <v>3.3183353935960316</v>
      </c>
      <c r="AW151" s="23">
        <f>EXP(-LN(2)/2)*AW150+(1-EXP(-LN(2)/2))/(LN(2)/2)*AQ151*AT151*VLOOKUP('Données projet'!$B$10,Paramètres!$A$1:$I$88,3,0)*0.475*44/12</f>
        <v>1.1558925573964813E-14</v>
      </c>
      <c r="AX151" s="23">
        <f t="shared" si="114"/>
        <v>31.662943732056849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projet'!$B$11,Paramètres!$A$1:$I$88,3,0)*VLOOKUP('Données projet'!$B$11,Paramètres!$A$1:$I$88,5,0)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135.14998708332445</v>
      </c>
      <c r="BJ151" s="62">
        <f t="shared" si="146"/>
        <v>245.50083454484513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17.086263523416982</v>
      </c>
      <c r="BQ151" s="23">
        <f>EXP(-LN(2)/25)*BQ150+(1-EXP(-LN(2)/25))/(LN(2)/25)*Calculateur!BL151*Calculateur!BN151*VLOOKUP('Données projet'!$B$11,Paramètres!$A$1:$I$88,3,0)*0.475*44/12</f>
        <v>3.1917949378982486</v>
      </c>
      <c r="BR151" s="23">
        <f>EXP(-LN(2)/2)*BR150+(1-EXP(-LN(2)/2))/(LN(2)/2)*BL151*BO151*VLOOKUP('Données projet'!$B$11,Paramètres!$A$1:$I$88,3,0)*0.475*44/12</f>
        <v>2.9865324805168685E-14</v>
      </c>
      <c r="BS151" s="24">
        <f t="shared" si="117"/>
        <v>20.278058461315258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projet'!$B$12,Paramètres!$A$1:$I$88,3,0)*VLOOKUP('Données projet'!$B$12,Paramètres!$A$1:$I$88,5,0)</f>
        <v>6.7984728957526396E-14</v>
      </c>
      <c r="CA151" s="14">
        <f t="shared" si="147"/>
        <v>1.0682447123141398E-12</v>
      </c>
      <c r="CB151" s="22">
        <f t="shared" si="118"/>
        <v>1.978932943548152E-12</v>
      </c>
      <c r="CC151" s="62">
        <f t="shared" si="119"/>
        <v>293.3333333333353</v>
      </c>
      <c r="CD151" s="62">
        <f ca="1">AVERAGE(OFFSET($CC$3,0,0,'Données projet'!$E$12+1,1))-AVERAGE(OFFSET($H$3,0,0,'Données projet'!$E$12+1,1))</f>
        <v>168.16583766359378</v>
      </c>
      <c r="CE151" s="62">
        <f t="shared" si="148"/>
        <v>194.52809733694494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26.360576155712803</v>
      </c>
      <c r="CL151" s="23">
        <f>EXP(-LN(2)/25)*CL150+(1-EXP(-LN(2)/25))/(LN(2)/25)*Calculateur!CG151*Calculateur!CI151*VLOOKUP('Données projet'!$B$12,Paramètres!$A$1:$I$88,3,0)*0.475*44/12</f>
        <v>2.9356465959238678</v>
      </c>
      <c r="CM151" s="23">
        <f>EXP(-LN(2)/2)*CM150+(1-EXP(-LN(2)/2))/(LN(2)/2)*CG151*CJ151*VLOOKUP('Données projet'!$B$12,Paramètres!$A$1:$I$88,3,0)*0.475*44/12</f>
        <v>1.5479105289935857E-12</v>
      </c>
      <c r="CN151" s="24">
        <f t="shared" si="120"/>
        <v>29.296222751638219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projet'!$B$13,Paramètres!$A$1:$I$88,3,0)*VLOOKUP('Données projet'!$B$13,Paramètres!$A$1:$I$88,5,0)</f>
        <v>-4.9658410716801891E-14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146.09202487550647</v>
      </c>
      <c r="CZ151" s="62">
        <f t="shared" si="150"/>
        <v>168.58814676269344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18.114188937038993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18.114188937038993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1.7053025658242404E-13</v>
      </c>
      <c r="DP151" s="18">
        <f>DO151*VLOOKUP('Données projet'!$B$14,Paramètres!$A$1:$I$88,3,0)*VLOOKUP('Données projet'!$B$14,Paramètres!$A$1:$I$88,5,0)</f>
        <v>1.250327841262333E-13</v>
      </c>
      <c r="DQ151" s="14">
        <f t="shared" si="151"/>
        <v>1.8301318724634299E-12</v>
      </c>
      <c r="DR151" s="22">
        <f t="shared" si="124"/>
        <v>3.405245110226996E-12</v>
      </c>
      <c r="DS151" s="62">
        <f t="shared" si="125"/>
        <v>293.33333333333672</v>
      </c>
      <c r="DT151" s="62">
        <f ca="1">AVERAGE(OFFSET($DS$3,0,0,'Données projet'!$E$14+1,1))-AVERAGE(OFFSET($H$3,0,0,'Données projet'!$E$14+1,1))</f>
        <v>116.35584360635318</v>
      </c>
      <c r="DU151" s="62">
        <f t="shared" si="152"/>
        <v>86.38226293640173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21.765927743070304</v>
      </c>
      <c r="EB151" s="23">
        <f>EXP(-LN(2)/25)*EB150+(1-EXP(-LN(2)/25))/(LN(2)/25)*Calculateur!DW151*Calculateur!DY151*VLOOKUP('Données projet'!$B$14,Paramètres!$A$1:$I$88,3,0)*0.475*44/12</f>
        <v>0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21.765927743070304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-40</v>
      </c>
      <c r="O152" s="14">
        <f>N152*VLOOKUP('Données projet'!$B$9,Paramètres!$A$1:$I$88,3,0)*VLOOKUP('Données projet'!$B$9,Paramètres!$A$1:$I$88,5,0)</f>
        <v>-18.72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82.229723373996478</v>
      </c>
      <c r="T152" s="62">
        <f t="shared" si="142"/>
        <v>115.86489547584461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19.750716280569915</v>
      </c>
      <c r="AA152" s="23">
        <f>EXP(-LN(2)/25)*AA151+(1-EXP(-LN(2)/25))/(LN(2)/25)*Calculateur!V152*Calculateur!X152*VLOOKUP('Données projet'!$B$9,Paramètres!$A$1:$I$88,3,0)*0.475*44/12</f>
        <v>2.0109189598833153</v>
      </c>
      <c r="AB152" s="23">
        <f>EXP(-LN(2)/2)*AB151+(1-EXP(-LN(2)/2))/(LN(2)/2)*V152*Y152*VLOOKUP('Données projet'!$B$9,Paramètres!$A$1:$I$88,3,0)*0.475*44/12</f>
        <v>7.5256309796739867E-13</v>
      </c>
      <c r="AC152" s="24">
        <f t="shared" si="111"/>
        <v>21.761635240453984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262.78347246606825</v>
      </c>
      <c r="AO152" s="62">
        <f t="shared" si="144"/>
        <v>448.84541017639367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27.788787857447581</v>
      </c>
      <c r="AV152" s="23">
        <f>EXP(-LN(2)/25)*AV151+(1-EXP(-LN(2)/25))/(LN(2)/25)*Calculateur!AQ152*Calculateur!AS152*VLOOKUP('Données projet'!$B$10,Paramètres!$A$1:$I$88,3,0)*0.475*44/12</f>
        <v>3.2275953377544737</v>
      </c>
      <c r="AW152" s="23">
        <f>EXP(-LN(2)/2)*AW151+(1-EXP(-LN(2)/2))/(LN(2)/2)*AQ152*AT152*VLOOKUP('Données projet'!$B$10,Paramètres!$A$1:$I$88,3,0)*0.475*44/12</f>
        <v>8.173394656581125E-15</v>
      </c>
      <c r="AX152" s="23">
        <f t="shared" si="114"/>
        <v>31.01638319520206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projet'!$B$11,Paramètres!$A$1:$I$88,3,0)*VLOOKUP('Données projet'!$B$11,Paramètres!$A$1:$I$88,5,0)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135.14998708332445</v>
      </c>
      <c r="BJ152" s="62">
        <f t="shared" si="146"/>
        <v>245.50083454484513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16.751212317314476</v>
      </c>
      <c r="BQ152" s="23">
        <f>EXP(-LN(2)/25)*BQ151+(1-EXP(-LN(2)/25))/(LN(2)/25)*Calculateur!BL152*Calculateur!BN152*VLOOKUP('Données projet'!$B$11,Paramètres!$A$1:$I$88,3,0)*0.475*44/12</f>
        <v>3.1045151374722204</v>
      </c>
      <c r="BR152" s="23">
        <f>EXP(-LN(2)/2)*BR151+(1-EXP(-LN(2)/2))/(LN(2)/2)*BL152*BO152*VLOOKUP('Données projet'!$B$11,Paramètres!$A$1:$I$88,3,0)*0.475*44/12</f>
        <v>2.1117973692073584E-14</v>
      </c>
      <c r="BS152" s="24">
        <f t="shared" si="117"/>
        <v>19.855727454786717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projet'!$B$12,Paramètres!$A$1:$I$88,3,0)*VLOOKUP('Données projet'!$B$12,Paramètres!$A$1:$I$88,5,0)</f>
        <v>6.7984728957526396E-14</v>
      </c>
      <c r="CA152" s="14">
        <f t="shared" si="147"/>
        <v>1.0682447123141398E-12</v>
      </c>
      <c r="CB152" s="22">
        <f t="shared" si="118"/>
        <v>1.978932943548152E-12</v>
      </c>
      <c r="CC152" s="62">
        <f t="shared" si="119"/>
        <v>293.3333333333353</v>
      </c>
      <c r="CD152" s="62">
        <f ca="1">AVERAGE(OFFSET($CC$3,0,0,'Données projet'!$E$12+1,1))-AVERAGE(OFFSET($H$3,0,0,'Données projet'!$E$12+1,1))</f>
        <v>168.16583766359378</v>
      </c>
      <c r="CE152" s="62">
        <f t="shared" si="148"/>
        <v>194.52809733694494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25.843661335663121</v>
      </c>
      <c r="CL152" s="23">
        <f>EXP(-LN(2)/25)*CL151+(1-EXP(-LN(2)/25))/(LN(2)/25)*Calculateur!CG152*Calculateur!CI152*VLOOKUP('Données projet'!$B$12,Paramètres!$A$1:$I$88,3,0)*0.475*44/12</f>
        <v>2.8553711853793846</v>
      </c>
      <c r="CM152" s="23">
        <f>EXP(-LN(2)/2)*CM151+(1-EXP(-LN(2)/2))/(LN(2)/2)*CG152*CJ152*VLOOKUP('Données projet'!$B$12,Paramètres!$A$1:$I$88,3,0)*0.475*44/12</f>
        <v>1.0945380317214204E-12</v>
      </c>
      <c r="CN152" s="24">
        <f t="shared" si="120"/>
        <v>28.699032521043598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projet'!$B$13,Paramètres!$A$1:$I$88,3,0)*VLOOKUP('Données projet'!$B$13,Paramètres!$A$1:$I$88,5,0)</f>
        <v>-4.9658410716801891E-14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146.09202487550647</v>
      </c>
      <c r="CZ152" s="62">
        <f t="shared" si="150"/>
        <v>168.58814676269344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17.758980740547955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17.758980740547955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1.7053025658242404E-13</v>
      </c>
      <c r="DP152" s="18">
        <f>DO152*VLOOKUP('Données projet'!$B$14,Paramètres!$A$1:$I$88,3,0)*VLOOKUP('Données projet'!$B$14,Paramètres!$A$1:$I$88,5,0)</f>
        <v>1.250327841262333E-13</v>
      </c>
      <c r="DQ152" s="14">
        <f t="shared" si="151"/>
        <v>1.8301318724634299E-12</v>
      </c>
      <c r="DR152" s="22">
        <f t="shared" si="124"/>
        <v>3.405245110226996E-12</v>
      </c>
      <c r="DS152" s="62">
        <f t="shared" si="125"/>
        <v>293.33333333333672</v>
      </c>
      <c r="DT152" s="62">
        <f ca="1">AVERAGE(OFFSET($DS$3,0,0,'Données projet'!$E$14+1,1))-AVERAGE(OFFSET($H$3,0,0,'Données projet'!$E$14+1,1))</f>
        <v>116.35584360635318</v>
      </c>
      <c r="DU152" s="62">
        <f t="shared" si="152"/>
        <v>86.38226293640173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21.339111175933731</v>
      </c>
      <c r="EB152" s="23">
        <f>EXP(-LN(2)/25)*EB151+(1-EXP(-LN(2)/25))/(LN(2)/25)*Calculateur!DW152*Calculateur!DY152*VLOOKUP('Données projet'!$B$14,Paramètres!$A$1:$I$88,3,0)*0.475*44/12</f>
        <v>0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21.339111175933731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-40</v>
      </c>
      <c r="O153" s="14">
        <f>N153*VLOOKUP('Données projet'!$B$9,Paramètres!$A$1:$I$88,3,0)*VLOOKUP('Données projet'!$B$9,Paramètres!$A$1:$I$88,5,0)</f>
        <v>-18.72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82.229723373996478</v>
      </c>
      <c r="T153" s="62">
        <f t="shared" si="142"/>
        <v>115.86489547584461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19.363416781055353</v>
      </c>
      <c r="AA153" s="23">
        <f>EXP(-LN(2)/25)*AA152+(1-EXP(-LN(2)/25))/(LN(2)/25)*Calculateur!V153*Calculateur!X153*VLOOKUP('Données projet'!$B$9,Paramètres!$A$1:$I$88,3,0)*0.475*44/12</f>
        <v>1.955930275175674</v>
      </c>
      <c r="AB153" s="23">
        <f>EXP(-LN(2)/2)*AB152+(1-EXP(-LN(2)/2))/(LN(2)/2)*V153*Y153*VLOOKUP('Données projet'!$B$9,Paramètres!$A$1:$I$88,3,0)*0.475*44/12</f>
        <v>5.3214246984350369E-13</v>
      </c>
      <c r="AC153" s="24">
        <f t="shared" si="111"/>
        <v>21.31934705623156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262.78347246606825</v>
      </c>
      <c r="AO153" s="62">
        <f t="shared" si="144"/>
        <v>448.84541017639367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27.243866677050004</v>
      </c>
      <c r="AV153" s="23">
        <f>EXP(-LN(2)/25)*AV152+(1-EXP(-LN(2)/25))/(LN(2)/25)*Calculateur!AQ153*Calculateur!AS153*VLOOKUP('Données projet'!$B$10,Paramètres!$A$1:$I$88,3,0)*0.475*44/12</f>
        <v>3.1393365735117156</v>
      </c>
      <c r="AW153" s="23">
        <f>EXP(-LN(2)/2)*AW152+(1-EXP(-LN(2)/2))/(LN(2)/2)*AQ153*AT153*VLOOKUP('Données projet'!$B$10,Paramètres!$A$1:$I$88,3,0)*0.475*44/12</f>
        <v>5.7794627869824064E-15</v>
      </c>
      <c r="AX153" s="23">
        <f t="shared" si="114"/>
        <v>30.383203250561728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projet'!$B$11,Paramètres!$A$1:$I$88,3,0)*VLOOKUP('Données projet'!$B$11,Paramètres!$A$1:$I$88,5,0)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135.14998708332445</v>
      </c>
      <c r="BJ153" s="62">
        <f t="shared" si="146"/>
        <v>245.50083454484513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16.422731261002586</v>
      </c>
      <c r="BQ153" s="23">
        <f>EXP(-LN(2)/25)*BQ152+(1-EXP(-LN(2)/25))/(LN(2)/25)*Calculateur!BL153*Calculateur!BN153*VLOOKUP('Données projet'!$B$11,Paramètres!$A$1:$I$88,3,0)*0.475*44/12</f>
        <v>3.0196220077786871</v>
      </c>
      <c r="BR153" s="23">
        <f>EXP(-LN(2)/2)*BR152+(1-EXP(-LN(2)/2))/(LN(2)/2)*BL153*BO153*VLOOKUP('Données projet'!$B$11,Paramètres!$A$1:$I$88,3,0)*0.475*44/12</f>
        <v>1.4932662402584343E-14</v>
      </c>
      <c r="BS153" s="24">
        <f t="shared" si="117"/>
        <v>19.442353268781286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projet'!$B$12,Paramètres!$A$1:$I$88,3,0)*VLOOKUP('Données projet'!$B$12,Paramètres!$A$1:$I$88,5,0)</f>
        <v>6.7984728957526396E-14</v>
      </c>
      <c r="CA153" s="14">
        <f t="shared" si="147"/>
        <v>1.0682447123141398E-12</v>
      </c>
      <c r="CB153" s="22">
        <f t="shared" si="118"/>
        <v>1.978932943548152E-12</v>
      </c>
      <c r="CC153" s="62">
        <f t="shared" si="119"/>
        <v>293.3333333333353</v>
      </c>
      <c r="CD153" s="62">
        <f ca="1">AVERAGE(OFFSET($CC$3,0,0,'Données projet'!$E$12+1,1))-AVERAGE(OFFSET($H$3,0,0,'Données projet'!$E$12+1,1))</f>
        <v>168.16583766359378</v>
      </c>
      <c r="CE153" s="62">
        <f t="shared" si="148"/>
        <v>194.52809733694494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25.336882899947707</v>
      </c>
      <c r="CL153" s="23">
        <f>EXP(-LN(2)/25)*CL152+(1-EXP(-LN(2)/25))/(LN(2)/25)*Calculateur!CG153*Calculateur!CI153*VLOOKUP('Données projet'!$B$12,Paramètres!$A$1:$I$88,3,0)*0.475*44/12</f>
        <v>2.7772909101577405</v>
      </c>
      <c r="CM153" s="23">
        <f>EXP(-LN(2)/2)*CM152+(1-EXP(-LN(2)/2))/(LN(2)/2)*CG153*CJ153*VLOOKUP('Données projet'!$B$12,Paramètres!$A$1:$I$88,3,0)*0.475*44/12</f>
        <v>7.7395526449679285E-13</v>
      </c>
      <c r="CN153" s="24">
        <f t="shared" si="120"/>
        <v>28.114173810106223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projet'!$B$13,Paramètres!$A$1:$I$88,3,0)*VLOOKUP('Données projet'!$B$13,Paramètres!$A$1:$I$88,5,0)</f>
        <v>-4.9658410716801891E-14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146.09202487550647</v>
      </c>
      <c r="CZ153" s="62">
        <f t="shared" si="150"/>
        <v>168.58814676269344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17.410737960134497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17.410737960134497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1.7053025658242404E-13</v>
      </c>
      <c r="DP153" s="18">
        <f>DO153*VLOOKUP('Données projet'!$B$14,Paramètres!$A$1:$I$88,3,0)*VLOOKUP('Données projet'!$B$14,Paramètres!$A$1:$I$88,5,0)</f>
        <v>1.250327841262333E-13</v>
      </c>
      <c r="DQ153" s="14">
        <f t="shared" si="151"/>
        <v>1.8301318724634299E-12</v>
      </c>
      <c r="DR153" s="22">
        <f t="shared" si="124"/>
        <v>3.405245110226996E-12</v>
      </c>
      <c r="DS153" s="62">
        <f t="shared" si="125"/>
        <v>293.33333333333672</v>
      </c>
      <c r="DT153" s="62">
        <f ca="1">AVERAGE(OFFSET($DS$3,0,0,'Données projet'!$E$14+1,1))-AVERAGE(OFFSET($H$3,0,0,'Données projet'!$E$14+1,1))</f>
        <v>116.35584360635318</v>
      </c>
      <c r="DU153" s="62">
        <f t="shared" si="152"/>
        <v>86.38226293640173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20.920664221346307</v>
      </c>
      <c r="EB153" s="23">
        <f>EXP(-LN(2)/25)*EB152+(1-EXP(-LN(2)/25))/(LN(2)/25)*Calculateur!DW153*Calculateur!DY153*VLOOKUP('Données projet'!$B$14,Paramètres!$A$1:$I$88,3,0)*0.475*44/12</f>
        <v>0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20.920664221346307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-40</v>
      </c>
      <c r="O154" s="14">
        <f>N154*VLOOKUP('Données projet'!$B$9,Paramètres!$A$1:$I$88,3,0)*VLOOKUP('Données projet'!$B$9,Paramètres!$A$1:$I$88,5,0)</f>
        <v>-18.72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82.229723373996478</v>
      </c>
      <c r="T154" s="62">
        <f t="shared" si="142"/>
        <v>115.86489547584461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18.983711988496903</v>
      </c>
      <c r="AA154" s="23">
        <f>EXP(-LN(2)/25)*AA153+(1-EXP(-LN(2)/25))/(LN(2)/25)*Calculateur!V154*Calculateur!X154*VLOOKUP('Données projet'!$B$9,Paramètres!$A$1:$I$88,3,0)*0.475*44/12</f>
        <v>1.9024452589430922</v>
      </c>
      <c r="AB154" s="23">
        <f>EXP(-LN(2)/2)*AB153+(1-EXP(-LN(2)/2))/(LN(2)/2)*V154*Y154*VLOOKUP('Données projet'!$B$9,Paramètres!$A$1:$I$88,3,0)*0.475*44/12</f>
        <v>3.7628154898369934E-13</v>
      </c>
      <c r="AC154" s="24">
        <f t="shared" ref="AC154:AC203" si="163">SUM(Z154:AB154)</f>
        <v>20.886157247440373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262.78347246606825</v>
      </c>
      <c r="AO154" s="62">
        <f t="shared" si="144"/>
        <v>448.84541017639367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26.709631068630923</v>
      </c>
      <c r="AV154" s="23">
        <f>EXP(-LN(2)/25)*AV153+(1-EXP(-LN(2)/25))/(LN(2)/25)*Calculateur!AQ154*Calculateur!AS154*VLOOKUP('Données projet'!$B$10,Paramètres!$A$1:$I$88,3,0)*0.475*44/12</f>
        <v>3.0534912498185025</v>
      </c>
      <c r="AW154" s="23">
        <f>EXP(-LN(2)/2)*AW153+(1-EXP(-LN(2)/2))/(LN(2)/2)*AQ154*AT154*VLOOKUP('Données projet'!$B$10,Paramètres!$A$1:$I$88,3,0)*0.475*44/12</f>
        <v>4.0866973282905625E-15</v>
      </c>
      <c r="AX154" s="23">
        <f t="shared" ref="AX154:AX203" si="166">SUM(AU154:AW154)</f>
        <v>29.76312231844943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projet'!$B$11,Paramètres!$A$1:$I$88,3,0)*VLOOKUP('Données projet'!$B$11,Paramètres!$A$1:$I$88,5,0)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135.14998708332445</v>
      </c>
      <c r="BJ154" s="62">
        <f t="shared" si="146"/>
        <v>245.50083454484513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16.10069151785131</v>
      </c>
      <c r="BQ154" s="23">
        <f>EXP(-LN(2)/25)*BQ153+(1-EXP(-LN(2)/25))/(LN(2)/25)*Calculateur!BL154*Calculateur!BN154*VLOOKUP('Données projet'!$B$11,Paramètres!$A$1:$I$88,3,0)*0.475*44/12</f>
        <v>2.937050285180959</v>
      </c>
      <c r="BR154" s="23">
        <f>EXP(-LN(2)/2)*BR153+(1-EXP(-LN(2)/2))/(LN(2)/2)*BL154*BO154*VLOOKUP('Données projet'!$B$11,Paramètres!$A$1:$I$88,3,0)*0.475*44/12</f>
        <v>1.0558986846036792E-14</v>
      </c>
      <c r="BS154" s="24">
        <f t="shared" ref="BS154:BS203" si="169">SUM(BP154:BR154)</f>
        <v>19.037741803032279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projet'!$B$12,Paramètres!$A$1:$I$88,3,0)*VLOOKUP('Données projet'!$B$12,Paramètres!$A$1:$I$88,5,0)</f>
        <v>6.7984728957526396E-14</v>
      </c>
      <c r="CA154" s="14">
        <f t="shared" ref="CA154:CA203" si="170">EXP(-1.0587+0.8836*LN(BZ154)+0.284)</f>
        <v>1.0682447123141398E-12</v>
      </c>
      <c r="CB154" s="22">
        <f t="shared" ref="CB154:CB203" si="171">(BZ154+CA154)*0.475*44/12</f>
        <v>1.978932943548152E-12</v>
      </c>
      <c r="CC154" s="62">
        <f t="shared" si="119"/>
        <v>293.3333333333353</v>
      </c>
      <c r="CD154" s="62">
        <f ca="1">AVERAGE(OFFSET($CC$3,0,0,'Données projet'!$E$12+1,1))-AVERAGE(OFFSET($H$3,0,0,'Données projet'!$E$12+1,1))</f>
        <v>168.16583766359378</v>
      </c>
      <c r="CE154" s="62">
        <f t="shared" si="148"/>
        <v>194.52809733694494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24.840042080252349</v>
      </c>
      <c r="CL154" s="23">
        <f>EXP(-LN(2)/25)*CL153+(1-EXP(-LN(2)/25))/(LN(2)/25)*Calculateur!CG154*Calculateur!CI154*VLOOKUP('Données projet'!$B$12,Paramètres!$A$1:$I$88,3,0)*0.475*44/12</f>
        <v>2.7013457441680959</v>
      </c>
      <c r="CM154" s="23">
        <f>EXP(-LN(2)/2)*CM153+(1-EXP(-LN(2)/2))/(LN(2)/2)*CG154*CJ154*VLOOKUP('Données projet'!$B$12,Paramètres!$A$1:$I$88,3,0)*0.475*44/12</f>
        <v>5.4726901586071021E-13</v>
      </c>
      <c r="CN154" s="24">
        <f t="shared" ref="CN154:CN203" si="172">SUM(CK154:CM154)</f>
        <v>27.541387824420994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projet'!$B$13,Paramètres!$A$1:$I$88,3,0)*VLOOKUP('Données projet'!$B$13,Paramètres!$A$1:$I$88,5,0)</f>
        <v>-4.9658410716801891E-14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146.09202487550647</v>
      </c>
      <c r="CZ154" s="62">
        <f t="shared" si="150"/>
        <v>168.58814676269344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17.069324008237828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17.069324008237828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1.7053025658242404E-13</v>
      </c>
      <c r="DP154" s="18">
        <f>DO154*VLOOKUP('Données projet'!$B$14,Paramètres!$A$1:$I$88,3,0)*VLOOKUP('Données projet'!$B$14,Paramètres!$A$1:$I$88,5,0)</f>
        <v>1.250327841262333E-13</v>
      </c>
      <c r="DQ154" s="14">
        <f t="shared" ref="DQ154:DQ203" si="176">EXP(-1.0587+0.8836*LN(DP154)+0.284)</f>
        <v>1.8301318724634299E-12</v>
      </c>
      <c r="DR154" s="22">
        <f t="shared" ref="DR154:DR203" si="177">(DP154+DQ154)*0.475*44/12</f>
        <v>3.405245110226996E-12</v>
      </c>
      <c r="DS154" s="62">
        <f t="shared" si="125"/>
        <v>293.33333333333672</v>
      </c>
      <c r="DT154" s="62">
        <f ca="1">AVERAGE(OFFSET($DS$3,0,0,'Données projet'!$E$14+1,1))-AVERAGE(OFFSET($H$3,0,0,'Données projet'!$E$14+1,1))</f>
        <v>116.35584360635318</v>
      </c>
      <c r="DU154" s="62">
        <f t="shared" si="152"/>
        <v>86.38226293640173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20.510422756310902</v>
      </c>
      <c r="EB154" s="23">
        <f>EXP(-LN(2)/25)*EB153+(1-EXP(-LN(2)/25))/(LN(2)/25)*Calculateur!DW154*Calculateur!DY154*VLOOKUP('Données projet'!$B$14,Paramètres!$A$1:$I$88,3,0)*0.475*44/12</f>
        <v>0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20.510422756310902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-40</v>
      </c>
      <c r="O155" s="14">
        <f>N155*VLOOKUP('Données projet'!$B$9,Paramètres!$A$1:$I$88,3,0)*VLOOKUP('Données projet'!$B$9,Paramètres!$A$1:$I$88,5,0)</f>
        <v>-18.72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82.229723373996478</v>
      </c>
      <c r="T155" s="62">
        <f t="shared" si="142"/>
        <v>115.86489547584461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18.61145297532347</v>
      </c>
      <c r="AA155" s="23">
        <f>EXP(-LN(2)/25)*AA154+(1-EXP(-LN(2)/25))/(LN(2)/25)*Calculateur!V155*Calculateur!X155*VLOOKUP('Données projet'!$B$9,Paramètres!$A$1:$I$88,3,0)*0.475*44/12</f>
        <v>1.8504227932920454</v>
      </c>
      <c r="AB155" s="23">
        <f>EXP(-LN(2)/2)*AB154+(1-EXP(-LN(2)/2))/(LN(2)/2)*V155*Y155*VLOOKUP('Données projet'!$B$9,Paramètres!$A$1:$I$88,3,0)*0.475*44/12</f>
        <v>2.6607123492175185E-13</v>
      </c>
      <c r="AC155" s="24">
        <f t="shared" si="163"/>
        <v>20.46187576861578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262.78347246606825</v>
      </c>
      <c r="AO155" s="62">
        <f t="shared" si="144"/>
        <v>448.84541017639367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26.185871494641393</v>
      </c>
      <c r="AV155" s="23">
        <f>EXP(-LN(2)/25)*AV154+(1-EXP(-LN(2)/25))/(LN(2)/25)*Calculateur!AQ155*Calculateur!AS155*VLOOKUP('Données projet'!$B$10,Paramètres!$A$1:$I$88,3,0)*0.475*44/12</f>
        <v>2.9699933710160895</v>
      </c>
      <c r="AW155" s="23">
        <f>EXP(-LN(2)/2)*AW154+(1-EXP(-LN(2)/2))/(LN(2)/2)*AQ155*AT155*VLOOKUP('Données projet'!$B$10,Paramètres!$A$1:$I$88,3,0)*0.475*44/12</f>
        <v>2.8897313934912032E-15</v>
      </c>
      <c r="AX155" s="23">
        <f t="shared" si="166"/>
        <v>29.155864865657488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projet'!$B$11,Paramètres!$A$1:$I$88,3,0)*VLOOKUP('Données projet'!$B$11,Paramètres!$A$1:$I$88,5,0)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135.14998708332445</v>
      </c>
      <c r="BJ155" s="62">
        <f t="shared" si="146"/>
        <v>245.50083454484513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15.784966777638383</v>
      </c>
      <c r="BQ155" s="23">
        <f>EXP(-LN(2)/25)*BQ154+(1-EXP(-LN(2)/25))/(LN(2)/25)*Calculateur!BL155*Calculateur!BN155*VLOOKUP('Données projet'!$B$11,Paramètres!$A$1:$I$88,3,0)*0.475*44/12</f>
        <v>2.856736490679924</v>
      </c>
      <c r="BR155" s="23">
        <f>EXP(-LN(2)/2)*BR154+(1-EXP(-LN(2)/2))/(LN(2)/2)*BL155*BO155*VLOOKUP('Données projet'!$B$11,Paramètres!$A$1:$I$88,3,0)*0.475*44/12</f>
        <v>7.4663312012921713E-15</v>
      </c>
      <c r="BS155" s="24">
        <f t="shared" si="169"/>
        <v>18.641703268318313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projet'!$B$12,Paramètres!$A$1:$I$88,3,0)*VLOOKUP('Données projet'!$B$12,Paramètres!$A$1:$I$88,5,0)</f>
        <v>6.7984728957526396E-14</v>
      </c>
      <c r="CA155" s="14">
        <f t="shared" si="170"/>
        <v>1.0682447123141398E-12</v>
      </c>
      <c r="CB155" s="22">
        <f t="shared" si="171"/>
        <v>1.978932943548152E-12</v>
      </c>
      <c r="CC155" s="62">
        <f t="shared" si="119"/>
        <v>293.3333333333353</v>
      </c>
      <c r="CD155" s="62">
        <f ca="1">AVERAGE(OFFSET($CC$3,0,0,'Données projet'!$E$12+1,1))-AVERAGE(OFFSET($H$3,0,0,'Données projet'!$E$12+1,1))</f>
        <v>168.16583766359378</v>
      </c>
      <c r="CE155" s="62">
        <f t="shared" si="148"/>
        <v>194.52809733694494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24.352944005988238</v>
      </c>
      <c r="CL155" s="23">
        <f>EXP(-LN(2)/25)*CL154+(1-EXP(-LN(2)/25))/(LN(2)/25)*Calculateur!CG155*Calculateur!CI155*VLOOKUP('Données projet'!$B$12,Paramètres!$A$1:$I$88,3,0)*0.475*44/12</f>
        <v>2.6274773027362208</v>
      </c>
      <c r="CM155" s="23">
        <f>EXP(-LN(2)/2)*CM154+(1-EXP(-LN(2)/2))/(LN(2)/2)*CG155*CJ155*VLOOKUP('Données projet'!$B$12,Paramètres!$A$1:$I$88,3,0)*0.475*44/12</f>
        <v>3.8697763224839643E-13</v>
      </c>
      <c r="CN155" s="24">
        <f t="shared" si="172"/>
        <v>26.980421308724846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projet'!$B$13,Paramètres!$A$1:$I$88,3,0)*VLOOKUP('Données projet'!$B$13,Paramètres!$A$1:$I$88,5,0)</f>
        <v>-4.9658410716801891E-14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146.09202487550647</v>
      </c>
      <c r="CZ155" s="62">
        <f t="shared" si="150"/>
        <v>168.58814676269344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16.734604975695902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16.734604975695902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1.7053025658242404E-13</v>
      </c>
      <c r="DP155" s="18">
        <f>DO155*VLOOKUP('Données projet'!$B$14,Paramètres!$A$1:$I$88,3,0)*VLOOKUP('Données projet'!$B$14,Paramètres!$A$1:$I$88,5,0)</f>
        <v>1.250327841262333E-13</v>
      </c>
      <c r="DQ155" s="14">
        <f t="shared" si="176"/>
        <v>1.8301318724634299E-12</v>
      </c>
      <c r="DR155" s="22">
        <f t="shared" si="177"/>
        <v>3.405245110226996E-12</v>
      </c>
      <c r="DS155" s="62">
        <f t="shared" si="125"/>
        <v>293.33333333333672</v>
      </c>
      <c r="DT155" s="62">
        <f ca="1">AVERAGE(OFFSET($DS$3,0,0,'Données projet'!$E$14+1,1))-AVERAGE(OFFSET($H$3,0,0,'Données projet'!$E$14+1,1))</f>
        <v>116.35584360635318</v>
      </c>
      <c r="DU155" s="62">
        <f t="shared" si="152"/>
        <v>86.38226293640173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20.108225876182253</v>
      </c>
      <c r="EB155" s="23">
        <f>EXP(-LN(2)/25)*EB154+(1-EXP(-LN(2)/25))/(LN(2)/25)*Calculateur!DW155*Calculateur!DY155*VLOOKUP('Données projet'!$B$14,Paramètres!$A$1:$I$88,3,0)*0.475*44/12</f>
        <v>0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20.108225876182253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-40</v>
      </c>
      <c r="O156" s="14">
        <f>N156*VLOOKUP('Données projet'!$B$9,Paramètres!$A$1:$I$88,3,0)*VLOOKUP('Données projet'!$B$9,Paramètres!$A$1:$I$88,5,0)</f>
        <v>-18.72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82.229723373996478</v>
      </c>
      <c r="T156" s="62">
        <f t="shared" si="142"/>
        <v>115.86489547584461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18.246493734342788</v>
      </c>
      <c r="AA156" s="23">
        <f>EXP(-LN(2)/25)*AA155+(1-EXP(-LN(2)/25))/(LN(2)/25)*Calculateur!V156*Calculateur!X156*VLOOKUP('Données projet'!$B$9,Paramètres!$A$1:$I$88,3,0)*0.475*44/12</f>
        <v>1.7998228846999689</v>
      </c>
      <c r="AB156" s="23">
        <f>EXP(-LN(2)/2)*AB155+(1-EXP(-LN(2)/2))/(LN(2)/2)*V156*Y156*VLOOKUP('Données projet'!$B$9,Paramètres!$A$1:$I$88,3,0)*0.475*44/12</f>
        <v>1.8814077449184967E-13</v>
      </c>
      <c r="AC156" s="24">
        <f t="shared" si="163"/>
        <v>20.046316619042944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262.78347246606825</v>
      </c>
      <c r="AO156" s="62">
        <f t="shared" si="144"/>
        <v>448.84541017639367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25.672382526436003</v>
      </c>
      <c r="AV156" s="23">
        <f>EXP(-LN(2)/25)*AV155+(1-EXP(-LN(2)/25))/(LN(2)/25)*Calculateur!AQ156*Calculateur!AS156*VLOOKUP('Données projet'!$B$10,Paramètres!$A$1:$I$88,3,0)*0.475*44/12</f>
        <v>2.888778746100491</v>
      </c>
      <c r="AW156" s="23">
        <f>EXP(-LN(2)/2)*AW155+(1-EXP(-LN(2)/2))/(LN(2)/2)*AQ156*AT156*VLOOKUP('Données projet'!$B$10,Paramètres!$A$1:$I$88,3,0)*0.475*44/12</f>
        <v>2.0433486641452812E-15</v>
      </c>
      <c r="AX156" s="23">
        <f t="shared" si="166"/>
        <v>28.561161272536499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projet'!$B$11,Paramètres!$A$1:$I$88,3,0)*VLOOKUP('Données projet'!$B$11,Paramètres!$A$1:$I$88,5,0)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135.14998708332445</v>
      </c>
      <c r="BJ156" s="62">
        <f t="shared" si="146"/>
        <v>245.50083454484513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15.475433207007955</v>
      </c>
      <c r="BQ156" s="23">
        <f>EXP(-LN(2)/25)*BQ155+(1-EXP(-LN(2)/25))/(LN(2)/25)*Calculateur!BL156*Calculateur!BN156*VLOOKUP('Données projet'!$B$11,Paramètres!$A$1:$I$88,3,0)*0.475*44/12</f>
        <v>2.7786188811130383</v>
      </c>
      <c r="BR156" s="23">
        <f>EXP(-LN(2)/2)*BR155+(1-EXP(-LN(2)/2))/(LN(2)/2)*BL156*BO156*VLOOKUP('Données projet'!$B$11,Paramètres!$A$1:$I$88,3,0)*0.475*44/12</f>
        <v>5.2794934230183959E-15</v>
      </c>
      <c r="BS156" s="24">
        <f t="shared" si="169"/>
        <v>18.254052088120996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projet'!$B$12,Paramètres!$A$1:$I$88,3,0)*VLOOKUP('Données projet'!$B$12,Paramètres!$A$1:$I$88,5,0)</f>
        <v>6.7984728957526396E-14</v>
      </c>
      <c r="CA156" s="14">
        <f t="shared" si="170"/>
        <v>1.0682447123141398E-12</v>
      </c>
      <c r="CB156" s="22">
        <f t="shared" si="171"/>
        <v>1.978932943548152E-12</v>
      </c>
      <c r="CC156" s="62">
        <f t="shared" si="119"/>
        <v>293.3333333333353</v>
      </c>
      <c r="CD156" s="62">
        <f ca="1">AVERAGE(OFFSET($CC$3,0,0,'Données projet'!$E$12+1,1))-AVERAGE(OFFSET($H$3,0,0,'Données projet'!$E$12+1,1))</f>
        <v>168.16583766359378</v>
      </c>
      <c r="CE156" s="62">
        <f t="shared" si="148"/>
        <v>194.52809733694494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23.875397627859957</v>
      </c>
      <c r="CL156" s="23">
        <f>EXP(-LN(2)/25)*CL155+(1-EXP(-LN(2)/25))/(LN(2)/25)*Calculateur!CG156*Calculateur!CI156*VLOOKUP('Données projet'!$B$12,Paramètres!$A$1:$I$88,3,0)*0.475*44/12</f>
        <v>2.5556287977198728</v>
      </c>
      <c r="CM156" s="23">
        <f>EXP(-LN(2)/2)*CM155+(1-EXP(-LN(2)/2))/(LN(2)/2)*CG156*CJ156*VLOOKUP('Données projet'!$B$12,Paramètres!$A$1:$I$88,3,0)*0.475*44/12</f>
        <v>2.7363450793035511E-13</v>
      </c>
      <c r="CN156" s="24">
        <f t="shared" si="172"/>
        <v>26.431026425580104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projet'!$B$13,Paramètres!$A$1:$I$88,3,0)*VLOOKUP('Données projet'!$B$13,Paramètres!$A$1:$I$88,5,0)</f>
        <v>-4.9658410716801891E-14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146.09202487550647</v>
      </c>
      <c r="CZ156" s="62">
        <f t="shared" si="150"/>
        <v>168.58814676269344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16.406449579223672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16.406449579223672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1.7053025658242404E-13</v>
      </c>
      <c r="DP156" s="18">
        <f>DO156*VLOOKUP('Données projet'!$B$14,Paramètres!$A$1:$I$88,3,0)*VLOOKUP('Données projet'!$B$14,Paramètres!$A$1:$I$88,5,0)</f>
        <v>1.250327841262333E-13</v>
      </c>
      <c r="DQ156" s="14">
        <f t="shared" si="176"/>
        <v>1.8301318724634299E-12</v>
      </c>
      <c r="DR156" s="22">
        <f t="shared" si="177"/>
        <v>3.405245110226996E-12</v>
      </c>
      <c r="DS156" s="62">
        <f t="shared" si="125"/>
        <v>293.33333333333672</v>
      </c>
      <c r="DT156" s="62">
        <f ca="1">AVERAGE(OFFSET($DS$3,0,0,'Données projet'!$E$14+1,1))-AVERAGE(OFFSET($H$3,0,0,'Données projet'!$E$14+1,1))</f>
        <v>116.35584360635318</v>
      </c>
      <c r="DU156" s="62">
        <f t="shared" si="152"/>
        <v>86.38226293640173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19.713915831557053</v>
      </c>
      <c r="EB156" s="23">
        <f>EXP(-LN(2)/25)*EB155+(1-EXP(-LN(2)/25))/(LN(2)/25)*Calculateur!DW156*Calculateur!DY156*VLOOKUP('Données projet'!$B$14,Paramètres!$A$1:$I$88,3,0)*0.475*44/12</f>
        <v>0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19.713915831557053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-40</v>
      </c>
      <c r="O157" s="14">
        <f>N157*VLOOKUP('Données projet'!$B$9,Paramètres!$A$1:$I$88,3,0)*VLOOKUP('Données projet'!$B$9,Paramètres!$A$1:$I$88,5,0)</f>
        <v>-18.72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82.229723373996478</v>
      </c>
      <c r="T157" s="62">
        <f t="shared" si="142"/>
        <v>115.86489547584461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17.888691121474579</v>
      </c>
      <c r="AA157" s="23">
        <f>EXP(-LN(2)/25)*AA156+(1-EXP(-LN(2)/25))/(LN(2)/25)*Calculateur!V157*Calculateur!X157*VLOOKUP('Données projet'!$B$9,Paramètres!$A$1:$I$88,3,0)*0.475*44/12</f>
        <v>1.7506066332692762</v>
      </c>
      <c r="AB157" s="23">
        <f>EXP(-LN(2)/2)*AB156+(1-EXP(-LN(2)/2))/(LN(2)/2)*V157*Y157*VLOOKUP('Données projet'!$B$9,Paramètres!$A$1:$I$88,3,0)*0.475*44/12</f>
        <v>1.3303561746087592E-13</v>
      </c>
      <c r="AC157" s="24">
        <f t="shared" si="163"/>
        <v>19.639297754743986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262.78347246606825</v>
      </c>
      <c r="AO157" s="62">
        <f t="shared" si="144"/>
        <v>448.84541017639367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25.168962763699774</v>
      </c>
      <c r="AV157" s="23">
        <f>EXP(-LN(2)/25)*AV156+(1-EXP(-LN(2)/25))/(LN(2)/25)*Calculateur!AQ157*Calculateur!AS157*VLOOKUP('Données projet'!$B$10,Paramètres!$A$1:$I$88,3,0)*0.475*44/12</f>
        <v>2.8097849393741012</v>
      </c>
      <c r="AW157" s="23">
        <f>EXP(-LN(2)/2)*AW156+(1-EXP(-LN(2)/2))/(LN(2)/2)*AQ157*AT157*VLOOKUP('Données projet'!$B$10,Paramètres!$A$1:$I$88,3,0)*0.475*44/12</f>
        <v>1.4448656967456016E-15</v>
      </c>
      <c r="AX157" s="23">
        <f t="shared" si="166"/>
        <v>27.978747703073875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projet'!$B$11,Paramètres!$A$1:$I$88,3,0)*VLOOKUP('Données projet'!$B$11,Paramètres!$A$1:$I$88,5,0)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135.14998708332445</v>
      </c>
      <c r="BJ157" s="62">
        <f t="shared" si="146"/>
        <v>245.50083454484513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15.171969400900753</v>
      </c>
      <c r="BQ157" s="23">
        <f>EXP(-LN(2)/25)*BQ156+(1-EXP(-LN(2)/25))/(LN(2)/25)*Calculateur!BL157*Calculateur!BN157*VLOOKUP('Données projet'!$B$11,Paramètres!$A$1:$I$88,3,0)*0.475*44/12</f>
        <v>2.7026374016877859</v>
      </c>
      <c r="BR157" s="23">
        <f>EXP(-LN(2)/2)*BR156+(1-EXP(-LN(2)/2))/(LN(2)/2)*BL157*BO157*VLOOKUP('Données projet'!$B$11,Paramètres!$A$1:$I$88,3,0)*0.475*44/12</f>
        <v>3.7331656006460856E-15</v>
      </c>
      <c r="BS157" s="24">
        <f t="shared" si="169"/>
        <v>17.874606802588541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projet'!$B$12,Paramètres!$A$1:$I$88,3,0)*VLOOKUP('Données projet'!$B$12,Paramètres!$A$1:$I$88,5,0)</f>
        <v>6.7984728957526396E-14</v>
      </c>
      <c r="CA157" s="14">
        <f t="shared" si="170"/>
        <v>1.0682447123141398E-12</v>
      </c>
      <c r="CB157" s="22">
        <f t="shared" si="171"/>
        <v>1.978932943548152E-12</v>
      </c>
      <c r="CC157" s="62">
        <f t="shared" si="119"/>
        <v>293.3333333333353</v>
      </c>
      <c r="CD157" s="62">
        <f ca="1">AVERAGE(OFFSET($CC$3,0,0,'Données projet'!$E$12+1,1))-AVERAGE(OFFSET($H$3,0,0,'Données projet'!$E$12+1,1))</f>
        <v>168.16583766359378</v>
      </c>
      <c r="CE157" s="62">
        <f t="shared" si="148"/>
        <v>194.52809733694494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23.407215642932243</v>
      </c>
      <c r="CL157" s="23">
        <f>EXP(-LN(2)/25)*CL156+(1-EXP(-LN(2)/25))/(LN(2)/25)*Calculateur!CG157*Calculateur!CI157*VLOOKUP('Données projet'!$B$12,Paramètres!$A$1:$I$88,3,0)*0.475*44/12</f>
        <v>2.4857449938515455</v>
      </c>
      <c r="CM157" s="23">
        <f>EXP(-LN(2)/2)*CM156+(1-EXP(-LN(2)/2))/(LN(2)/2)*CG157*CJ157*VLOOKUP('Données projet'!$B$12,Paramètres!$A$1:$I$88,3,0)*0.475*44/12</f>
        <v>1.9348881612419821E-13</v>
      </c>
      <c r="CN157" s="24">
        <f t="shared" si="172"/>
        <v>25.892960636783982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projet'!$B$13,Paramètres!$A$1:$I$88,3,0)*VLOOKUP('Données projet'!$B$13,Paramètres!$A$1:$I$88,5,0)</f>
        <v>-4.9658410716801891E-14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146.09202487550647</v>
      </c>
      <c r="CZ157" s="62">
        <f t="shared" si="150"/>
        <v>168.58814676269344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16.084729109921234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16.084729109921234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1.7053025658242404E-13</v>
      </c>
      <c r="DP157" s="18">
        <f>DO157*VLOOKUP('Données projet'!$B$14,Paramètres!$A$1:$I$88,3,0)*VLOOKUP('Données projet'!$B$14,Paramètres!$A$1:$I$88,5,0)</f>
        <v>1.250327841262333E-13</v>
      </c>
      <c r="DQ157" s="14">
        <f t="shared" si="176"/>
        <v>1.8301318724634299E-12</v>
      </c>
      <c r="DR157" s="22">
        <f t="shared" si="177"/>
        <v>3.405245110226996E-12</v>
      </c>
      <c r="DS157" s="62">
        <f t="shared" si="125"/>
        <v>293.33333333333672</v>
      </c>
      <c r="DT157" s="62">
        <f ca="1">AVERAGE(OFFSET($DS$3,0,0,'Données projet'!$E$14+1,1))-AVERAGE(OFFSET($H$3,0,0,'Données projet'!$E$14+1,1))</f>
        <v>116.35584360635318</v>
      </c>
      <c r="DU157" s="62">
        <f t="shared" si="152"/>
        <v>86.38226293640173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19.327337966401576</v>
      </c>
      <c r="EB157" s="23">
        <f>EXP(-LN(2)/25)*EB156+(1-EXP(-LN(2)/25))/(LN(2)/25)*Calculateur!DW157*Calculateur!DY157*VLOOKUP('Données projet'!$B$14,Paramètres!$A$1:$I$88,3,0)*0.475*44/12</f>
        <v>0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19.327337966401576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-40</v>
      </c>
      <c r="O158" s="14">
        <f>N158*VLOOKUP('Données projet'!$B$9,Paramètres!$A$1:$I$88,3,0)*VLOOKUP('Données projet'!$B$9,Paramètres!$A$1:$I$88,5,0)</f>
        <v>-18.72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82.229723373996478</v>
      </c>
      <c r="T158" s="62">
        <f t="shared" si="142"/>
        <v>115.86489547584461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17.537904799606672</v>
      </c>
      <c r="AA158" s="23">
        <f>EXP(-LN(2)/25)*AA157+(1-EXP(-LN(2)/25))/(LN(2)/25)*Calculateur!V158*Calculateur!X158*VLOOKUP('Données projet'!$B$9,Paramètres!$A$1:$I$88,3,0)*0.475*44/12</f>
        <v>1.702736202822126</v>
      </c>
      <c r="AB158" s="23">
        <f>EXP(-LN(2)/2)*AB157+(1-EXP(-LN(2)/2))/(LN(2)/2)*V158*Y158*VLOOKUP('Données projet'!$B$9,Paramètres!$A$1:$I$88,3,0)*0.475*44/12</f>
        <v>9.4070387245924834E-14</v>
      </c>
      <c r="AC158" s="24">
        <f t="shared" si="163"/>
        <v>19.240641002428891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262.78347246606825</v>
      </c>
      <c r="AO158" s="62">
        <f t="shared" si="144"/>
        <v>448.84541017639367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24.675414755455069</v>
      </c>
      <c r="AV158" s="23">
        <f>EXP(-LN(2)/25)*AV157+(1-EXP(-LN(2)/25))/(LN(2)/25)*Calculateur!AQ158*Calculateur!AS158*VLOOKUP('Données projet'!$B$10,Paramètres!$A$1:$I$88,3,0)*0.475*44/12</f>
        <v>2.7329512224467485</v>
      </c>
      <c r="AW158" s="23">
        <f>EXP(-LN(2)/2)*AW157+(1-EXP(-LN(2)/2))/(LN(2)/2)*AQ158*AT158*VLOOKUP('Données projet'!$B$10,Paramètres!$A$1:$I$88,3,0)*0.475*44/12</f>
        <v>1.0216743320726406E-15</v>
      </c>
      <c r="AX158" s="23">
        <f t="shared" si="166"/>
        <v>27.408365977901816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projet'!$B$11,Paramètres!$A$1:$I$88,3,0)*VLOOKUP('Données projet'!$B$11,Paramètres!$A$1:$I$88,5,0)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135.14998708332445</v>
      </c>
      <c r="BJ158" s="62">
        <f t="shared" si="146"/>
        <v>245.50083454484513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14.874456334936669</v>
      </c>
      <c r="BQ158" s="23">
        <f>EXP(-LN(2)/25)*BQ157+(1-EXP(-LN(2)/25))/(LN(2)/25)*Calculateur!BL158*Calculateur!BN158*VLOOKUP('Données projet'!$B$11,Paramètres!$A$1:$I$88,3,0)*0.475*44/12</f>
        <v>2.6287336398131096</v>
      </c>
      <c r="BR158" s="23">
        <f>EXP(-LN(2)/2)*BR157+(1-EXP(-LN(2)/2))/(LN(2)/2)*BL158*BO158*VLOOKUP('Données projet'!$B$11,Paramètres!$A$1:$I$88,3,0)*0.475*44/12</f>
        <v>2.639746711509198E-15</v>
      </c>
      <c r="BS158" s="24">
        <f t="shared" si="169"/>
        <v>17.503189974749784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projet'!$B$12,Paramètres!$A$1:$I$88,3,0)*VLOOKUP('Données projet'!$B$12,Paramètres!$A$1:$I$88,5,0)</f>
        <v>6.7984728957526396E-14</v>
      </c>
      <c r="CA158" s="14">
        <f t="shared" si="170"/>
        <v>1.0682447123141398E-12</v>
      </c>
      <c r="CB158" s="22">
        <f t="shared" si="171"/>
        <v>1.978932943548152E-12</v>
      </c>
      <c r="CC158" s="62">
        <f t="shared" si="119"/>
        <v>293.3333333333353</v>
      </c>
      <c r="CD158" s="62">
        <f ca="1">AVERAGE(OFFSET($CC$3,0,0,'Données projet'!$E$12+1,1))-AVERAGE(OFFSET($H$3,0,0,'Données projet'!$E$12+1,1))</f>
        <v>168.16583766359378</v>
      </c>
      <c r="CE158" s="62">
        <f t="shared" si="148"/>
        <v>194.52809733694494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22.948214421166149</v>
      </c>
      <c r="CL158" s="23">
        <f>EXP(-LN(2)/25)*CL157+(1-EXP(-LN(2)/25))/(LN(2)/25)*Calculateur!CG158*Calculateur!CI158*VLOOKUP('Données projet'!$B$12,Paramètres!$A$1:$I$88,3,0)*0.475*44/12</f>
        <v>2.4177721662750269</v>
      </c>
      <c r="CM158" s="23">
        <f>EXP(-LN(2)/2)*CM157+(1-EXP(-LN(2)/2))/(LN(2)/2)*CG158*CJ158*VLOOKUP('Données projet'!$B$12,Paramètres!$A$1:$I$88,3,0)*0.475*44/12</f>
        <v>1.3681725396517755E-13</v>
      </c>
      <c r="CN158" s="24">
        <f t="shared" si="172"/>
        <v>25.365986587441316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projet'!$B$13,Paramètres!$A$1:$I$88,3,0)*VLOOKUP('Données projet'!$B$13,Paramètres!$A$1:$I$88,5,0)</f>
        <v>-4.9658410716801891E-14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146.09202487550647</v>
      </c>
      <c r="CZ158" s="62">
        <f t="shared" si="150"/>
        <v>168.58814676269344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15.769317382791709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15.769317382791709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1.7053025658242404E-13</v>
      </c>
      <c r="DP158" s="18">
        <f>DO158*VLOOKUP('Données projet'!$B$14,Paramètres!$A$1:$I$88,3,0)*VLOOKUP('Données projet'!$B$14,Paramètres!$A$1:$I$88,5,0)</f>
        <v>1.250327841262333E-13</v>
      </c>
      <c r="DQ158" s="14">
        <f t="shared" si="176"/>
        <v>1.8301318724634299E-12</v>
      </c>
      <c r="DR158" s="22">
        <f t="shared" si="177"/>
        <v>3.405245110226996E-12</v>
      </c>
      <c r="DS158" s="62">
        <f t="shared" si="125"/>
        <v>293.33333333333672</v>
      </c>
      <c r="DT158" s="62">
        <f ca="1">AVERAGE(OFFSET($DS$3,0,0,'Données projet'!$E$14+1,1))-AVERAGE(OFFSET($H$3,0,0,'Données projet'!$E$14+1,1))</f>
        <v>116.35584360635318</v>
      </c>
      <c r="DU158" s="62">
        <f t="shared" si="152"/>
        <v>86.38226293640173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18.948340657392581</v>
      </c>
      <c r="EB158" s="23">
        <f>EXP(-LN(2)/25)*EB157+(1-EXP(-LN(2)/25))/(LN(2)/25)*Calculateur!DW158*Calculateur!DY158*VLOOKUP('Données projet'!$B$14,Paramètres!$A$1:$I$88,3,0)*0.475*44/12</f>
        <v>0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18.948340657392581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-40</v>
      </c>
      <c r="O159" s="14">
        <f>N159*VLOOKUP('Données projet'!$B$9,Paramètres!$A$1:$I$88,3,0)*VLOOKUP('Données projet'!$B$9,Paramètres!$A$1:$I$88,5,0)</f>
        <v>-18.72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82.229723373996478</v>
      </c>
      <c r="T159" s="62">
        <f t="shared" si="142"/>
        <v>115.86489547584461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17.193997183552064</v>
      </c>
      <c r="AA159" s="23">
        <f>EXP(-LN(2)/25)*AA158+(1-EXP(-LN(2)/25))/(LN(2)/25)*Calculateur!V159*Calculateur!X159*VLOOKUP('Données projet'!$B$9,Paramètres!$A$1:$I$88,3,0)*0.475*44/12</f>
        <v>1.6561747918129497</v>
      </c>
      <c r="AB159" s="23">
        <f>EXP(-LN(2)/2)*AB158+(1-EXP(-LN(2)/2))/(LN(2)/2)*V159*Y159*VLOOKUP('Données projet'!$B$9,Paramètres!$A$1:$I$88,3,0)*0.475*44/12</f>
        <v>6.6517808730437962E-14</v>
      </c>
      <c r="AC159" s="24">
        <f t="shared" si="163"/>
        <v>18.850171975365082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262.78347246606825</v>
      </c>
      <c r="AO159" s="62">
        <f t="shared" si="144"/>
        <v>448.84541017639367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24.191544922617481</v>
      </c>
      <c r="AV159" s="23">
        <f>EXP(-LN(2)/25)*AV158+(1-EXP(-LN(2)/25))/(LN(2)/25)*Calculateur!AQ159*Calculateur!AS159*VLOOKUP('Données projet'!$B$10,Paramètres!$A$1:$I$88,3,0)*0.475*44/12</f>
        <v>2.6582185275492836</v>
      </c>
      <c r="AW159" s="23">
        <f>EXP(-LN(2)/2)*AW158+(1-EXP(-LN(2)/2))/(LN(2)/2)*AQ159*AT159*VLOOKUP('Données projet'!$B$10,Paramètres!$A$1:$I$88,3,0)*0.475*44/12</f>
        <v>7.224328483728008E-16</v>
      </c>
      <c r="AX159" s="23">
        <f t="shared" si="166"/>
        <v>26.849763450166765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projet'!$B$11,Paramètres!$A$1:$I$88,3,0)*VLOOKUP('Données projet'!$B$11,Paramètres!$A$1:$I$88,5,0)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135.14998708332445</v>
      </c>
      <c r="BJ159" s="62">
        <f t="shared" si="146"/>
        <v>245.50083454484513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14.582777318731088</v>
      </c>
      <c r="BQ159" s="23">
        <f>EXP(-LN(2)/25)*BQ158+(1-EXP(-LN(2)/25))/(LN(2)/25)*Calculateur!BL159*Calculateur!BN159*VLOOKUP('Données projet'!$B$11,Paramètres!$A$1:$I$88,3,0)*0.475*44/12</f>
        <v>2.5568507801933262</v>
      </c>
      <c r="BR159" s="23">
        <f>EXP(-LN(2)/2)*BR158+(1-EXP(-LN(2)/2))/(LN(2)/2)*BL159*BO159*VLOOKUP('Données projet'!$B$11,Paramètres!$A$1:$I$88,3,0)*0.475*44/12</f>
        <v>1.8665828003230428E-15</v>
      </c>
      <c r="BS159" s="24">
        <f t="shared" si="169"/>
        <v>17.139628098924419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projet'!$B$12,Paramètres!$A$1:$I$88,3,0)*VLOOKUP('Données projet'!$B$12,Paramètres!$A$1:$I$88,5,0)</f>
        <v>6.7984728957526396E-14</v>
      </c>
      <c r="CA159" s="14">
        <f t="shared" si="170"/>
        <v>1.0682447123141398E-12</v>
      </c>
      <c r="CB159" s="22">
        <f t="shared" si="171"/>
        <v>1.978932943548152E-12</v>
      </c>
      <c r="CC159" s="62">
        <f t="shared" si="119"/>
        <v>293.3333333333353</v>
      </c>
      <c r="CD159" s="62">
        <f ca="1">AVERAGE(OFFSET($CC$3,0,0,'Données projet'!$E$12+1,1))-AVERAGE(OFFSET($H$3,0,0,'Données projet'!$E$12+1,1))</f>
        <v>168.16583766359378</v>
      </c>
      <c r="CE159" s="62">
        <f t="shared" si="148"/>
        <v>194.52809733694494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22.498213933395785</v>
      </c>
      <c r="CL159" s="23">
        <f>EXP(-LN(2)/25)*CL158+(1-EXP(-LN(2)/25))/(LN(2)/25)*Calculateur!CG159*Calculateur!CI159*VLOOKUP('Données projet'!$B$12,Paramètres!$A$1:$I$88,3,0)*0.475*44/12</f>
        <v>2.3516580592431238</v>
      </c>
      <c r="CM159" s="23">
        <f>EXP(-LN(2)/2)*CM158+(1-EXP(-LN(2)/2))/(LN(2)/2)*CG159*CJ159*VLOOKUP('Données projet'!$B$12,Paramètres!$A$1:$I$88,3,0)*0.475*44/12</f>
        <v>9.6744408062099107E-14</v>
      </c>
      <c r="CN159" s="24">
        <f t="shared" si="172"/>
        <v>24.849871992639006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projet'!$B$13,Paramètres!$A$1:$I$88,3,0)*VLOOKUP('Données projet'!$B$13,Paramètres!$A$1:$I$88,5,0)</f>
        <v>-4.9658410716801891E-14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146.09202487550647</v>
      </c>
      <c r="CZ159" s="62">
        <f t="shared" si="150"/>
        <v>168.58814676269344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15.460090687249036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15.460090687249036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1.7053025658242404E-13</v>
      </c>
      <c r="DP159" s="18">
        <f>DO159*VLOOKUP('Données projet'!$B$14,Paramètres!$A$1:$I$88,3,0)*VLOOKUP('Données projet'!$B$14,Paramètres!$A$1:$I$88,5,0)</f>
        <v>1.250327841262333E-13</v>
      </c>
      <c r="DQ159" s="14">
        <f t="shared" si="176"/>
        <v>1.8301318724634299E-12</v>
      </c>
      <c r="DR159" s="22">
        <f t="shared" si="177"/>
        <v>3.405245110226996E-12</v>
      </c>
      <c r="DS159" s="62">
        <f t="shared" si="125"/>
        <v>293.33333333333672</v>
      </c>
      <c r="DT159" s="62">
        <f ca="1">AVERAGE(OFFSET($DS$3,0,0,'Données projet'!$E$14+1,1))-AVERAGE(OFFSET($H$3,0,0,'Données projet'!$E$14+1,1))</f>
        <v>116.35584360635318</v>
      </c>
      <c r="DU159" s="62">
        <f t="shared" si="152"/>
        <v>86.38226293640173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18.576775254447721</v>
      </c>
      <c r="EB159" s="23">
        <f>EXP(-LN(2)/25)*EB158+(1-EXP(-LN(2)/25))/(LN(2)/25)*Calculateur!DW159*Calculateur!DY159*VLOOKUP('Données projet'!$B$14,Paramètres!$A$1:$I$88,3,0)*0.475*44/12</f>
        <v>0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18.576775254447721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-40</v>
      </c>
      <c r="O160" s="14">
        <f>N160*VLOOKUP('Données projet'!$B$9,Paramètres!$A$1:$I$88,3,0)*VLOOKUP('Données projet'!$B$9,Paramètres!$A$1:$I$88,5,0)</f>
        <v>-18.72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82.229723373996478</v>
      </c>
      <c r="T160" s="62">
        <f t="shared" si="142"/>
        <v>115.86489547584461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16.856833386085356</v>
      </c>
      <c r="AA160" s="23">
        <f>EXP(-LN(2)/25)*AA159+(1-EXP(-LN(2)/25))/(LN(2)/25)*Calculateur!V160*Calculateur!X160*VLOOKUP('Données projet'!$B$9,Paramètres!$A$1:$I$88,3,0)*0.475*44/12</f>
        <v>1.6108866050363775</v>
      </c>
      <c r="AB160" s="23">
        <f>EXP(-LN(2)/2)*AB159+(1-EXP(-LN(2)/2))/(LN(2)/2)*V160*Y160*VLOOKUP('Données projet'!$B$9,Paramètres!$A$1:$I$88,3,0)*0.475*44/12</f>
        <v>4.7035193622962417E-14</v>
      </c>
      <c r="AC160" s="24">
        <f t="shared" si="163"/>
        <v>18.467719991121779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262.78347246606825</v>
      </c>
      <c r="AO160" s="62">
        <f t="shared" si="144"/>
        <v>448.84541017639367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23.717163482070383</v>
      </c>
      <c r="AV160" s="23">
        <f>EXP(-LN(2)/25)*AV159+(1-EXP(-LN(2)/25))/(LN(2)/25)*Calculateur!AQ160*Calculateur!AS160*VLOOKUP('Données projet'!$B$10,Paramètres!$A$1:$I$88,3,0)*0.475*44/12</f>
        <v>2.5855294021238113</v>
      </c>
      <c r="AW160" s="23">
        <f>EXP(-LN(2)/2)*AW159+(1-EXP(-LN(2)/2))/(LN(2)/2)*AQ160*AT160*VLOOKUP('Données projet'!$B$10,Paramètres!$A$1:$I$88,3,0)*0.475*44/12</f>
        <v>5.1083716603632031E-16</v>
      </c>
      <c r="AX160" s="23">
        <f t="shared" si="166"/>
        <v>26.302692884194194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projet'!$B$11,Paramètres!$A$1:$I$88,3,0)*VLOOKUP('Données projet'!$B$11,Paramètres!$A$1:$I$88,5,0)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135.14998708332445</v>
      </c>
      <c r="BJ160" s="62">
        <f t="shared" si="146"/>
        <v>245.50083454484513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14.296817950126666</v>
      </c>
      <c r="BQ160" s="23">
        <f>EXP(-LN(2)/25)*BQ159+(1-EXP(-LN(2)/25))/(LN(2)/25)*Calculateur!BL160*Calculateur!BN160*VLOOKUP('Données projet'!$B$11,Paramètres!$A$1:$I$88,3,0)*0.475*44/12</f>
        <v>2.4869335611500007</v>
      </c>
      <c r="BR160" s="23">
        <f>EXP(-LN(2)/2)*BR159+(1-EXP(-LN(2)/2))/(LN(2)/2)*BL160*BO160*VLOOKUP('Données projet'!$B$11,Paramètres!$A$1:$I$88,3,0)*0.475*44/12</f>
        <v>1.319873355754599E-15</v>
      </c>
      <c r="BS160" s="24">
        <f t="shared" si="169"/>
        <v>16.783751511276666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projet'!$B$12,Paramètres!$A$1:$I$88,3,0)*VLOOKUP('Données projet'!$B$12,Paramètres!$A$1:$I$88,5,0)</f>
        <v>6.7984728957526396E-14</v>
      </c>
      <c r="CA160" s="14">
        <f t="shared" si="170"/>
        <v>1.0682447123141398E-12</v>
      </c>
      <c r="CB160" s="22">
        <f t="shared" si="171"/>
        <v>1.978932943548152E-12</v>
      </c>
      <c r="CC160" s="62">
        <f t="shared" si="119"/>
        <v>293.3333333333353</v>
      </c>
      <c r="CD160" s="62">
        <f ca="1">AVERAGE(OFFSET($CC$3,0,0,'Données projet'!$E$12+1,1))-AVERAGE(OFFSET($H$3,0,0,'Données projet'!$E$12+1,1))</f>
        <v>168.16583766359378</v>
      </c>
      <c r="CE160" s="62">
        <f t="shared" si="148"/>
        <v>194.52809733694494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22.057037680717404</v>
      </c>
      <c r="CL160" s="23">
        <f>EXP(-LN(2)/25)*CL159+(1-EXP(-LN(2)/25))/(LN(2)/25)*Calculateur!CG160*Calculateur!CI160*VLOOKUP('Données projet'!$B$12,Paramètres!$A$1:$I$88,3,0)*0.475*44/12</f>
        <v>2.2873518459447979</v>
      </c>
      <c r="CM160" s="23">
        <f>EXP(-LN(2)/2)*CM159+(1-EXP(-LN(2)/2))/(LN(2)/2)*CG160*CJ160*VLOOKUP('Données projet'!$B$12,Paramètres!$A$1:$I$88,3,0)*0.475*44/12</f>
        <v>6.8408626982588776E-14</v>
      </c>
      <c r="CN160" s="24">
        <f t="shared" si="172"/>
        <v>24.344389526662269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projet'!$B$13,Paramètres!$A$1:$I$88,3,0)*VLOOKUP('Données projet'!$B$13,Paramètres!$A$1:$I$88,5,0)</f>
        <v>-4.9658410716801891E-14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146.09202487550647</v>
      </c>
      <c r="CZ160" s="62">
        <f t="shared" si="150"/>
        <v>168.58814676269344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15.156927738596293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15.156927738596293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1.7053025658242404E-13</v>
      </c>
      <c r="DP160" s="18">
        <f>DO160*VLOOKUP('Données projet'!$B$14,Paramètres!$A$1:$I$88,3,0)*VLOOKUP('Données projet'!$B$14,Paramètres!$A$1:$I$88,5,0)</f>
        <v>1.250327841262333E-13</v>
      </c>
      <c r="DQ160" s="14">
        <f t="shared" si="176"/>
        <v>1.8301318724634299E-12</v>
      </c>
      <c r="DR160" s="22">
        <f t="shared" si="177"/>
        <v>3.405245110226996E-12</v>
      </c>
      <c r="DS160" s="62">
        <f t="shared" si="125"/>
        <v>293.33333333333672</v>
      </c>
      <c r="DT160" s="62">
        <f ca="1">AVERAGE(OFFSET($DS$3,0,0,'Données projet'!$E$14+1,1))-AVERAGE(OFFSET($H$3,0,0,'Données projet'!$E$14+1,1))</f>
        <v>116.35584360635318</v>
      </c>
      <c r="DU160" s="62">
        <f t="shared" si="152"/>
        <v>86.38226293640173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18.212496022422091</v>
      </c>
      <c r="EB160" s="23">
        <f>EXP(-LN(2)/25)*EB159+(1-EXP(-LN(2)/25))/(LN(2)/25)*Calculateur!DW160*Calculateur!DY160*VLOOKUP('Données projet'!$B$14,Paramètres!$A$1:$I$88,3,0)*0.475*44/12</f>
        <v>0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18.212496022422091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-40</v>
      </c>
      <c r="O161" s="14">
        <f>N161*VLOOKUP('Données projet'!$B$9,Paramètres!$A$1:$I$88,3,0)*VLOOKUP('Données projet'!$B$9,Paramètres!$A$1:$I$88,5,0)</f>
        <v>-18.72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82.229723373996478</v>
      </c>
      <c r="T161" s="62">
        <f t="shared" si="142"/>
        <v>115.86489547584461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16.526281165037357</v>
      </c>
      <c r="AA161" s="23">
        <f>EXP(-LN(2)/25)*AA160+(1-EXP(-LN(2)/25))/(LN(2)/25)*Calculateur!V161*Calculateur!X161*VLOOKUP('Données projet'!$B$9,Paramètres!$A$1:$I$88,3,0)*0.475*44/12</f>
        <v>1.5668368261088128</v>
      </c>
      <c r="AB161" s="23">
        <f>EXP(-LN(2)/2)*AB160+(1-EXP(-LN(2)/2))/(LN(2)/2)*V161*Y161*VLOOKUP('Données projet'!$B$9,Paramètres!$A$1:$I$88,3,0)*0.475*44/12</f>
        <v>3.3258904365218981E-14</v>
      </c>
      <c r="AC161" s="24">
        <f t="shared" si="163"/>
        <v>18.093117991146201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262.78347246606825</v>
      </c>
      <c r="AO161" s="62">
        <f t="shared" si="144"/>
        <v>448.84541017639367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23.252084372228303</v>
      </c>
      <c r="AV161" s="23">
        <f>EXP(-LN(2)/25)*AV160+(1-EXP(-LN(2)/25))/(LN(2)/25)*Calculateur!AQ161*Calculateur!AS161*VLOOKUP('Données projet'!$B$10,Paramètres!$A$1:$I$88,3,0)*0.475*44/12</f>
        <v>2.5148279646556539</v>
      </c>
      <c r="AW161" s="23">
        <f>EXP(-LN(2)/2)*AW160+(1-EXP(-LN(2)/2))/(LN(2)/2)*AQ161*AT161*VLOOKUP('Données projet'!$B$10,Paramètres!$A$1:$I$88,3,0)*0.475*44/12</f>
        <v>3.612164241864004E-16</v>
      </c>
      <c r="AX161" s="23">
        <f t="shared" si="166"/>
        <v>25.766912336883959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projet'!$B$11,Paramètres!$A$1:$I$88,3,0)*VLOOKUP('Données projet'!$B$11,Paramètres!$A$1:$I$88,5,0)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135.14998708332445</v>
      </c>
      <c r="BJ161" s="62">
        <f t="shared" si="146"/>
        <v>245.50083454484513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14.016466070322585</v>
      </c>
      <c r="BQ161" s="23">
        <f>EXP(-LN(2)/25)*BQ160+(1-EXP(-LN(2)/25))/(LN(2)/25)*Calculateur!BL161*Calculateur!BN161*VLOOKUP('Données projet'!$B$11,Paramètres!$A$1:$I$88,3,0)*0.475*44/12</f>
        <v>2.4189282321382017</v>
      </c>
      <c r="BR161" s="23">
        <f>EXP(-LN(2)/2)*BR160+(1-EXP(-LN(2)/2))/(LN(2)/2)*BL161*BO161*VLOOKUP('Données projet'!$B$11,Paramètres!$A$1:$I$88,3,0)*0.475*44/12</f>
        <v>9.3329140016152141E-16</v>
      </c>
      <c r="BS161" s="24">
        <f t="shared" si="169"/>
        <v>16.435394302460786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projet'!$B$12,Paramètres!$A$1:$I$88,3,0)*VLOOKUP('Données projet'!$B$12,Paramètres!$A$1:$I$88,5,0)</f>
        <v>6.7984728957526396E-14</v>
      </c>
      <c r="CA161" s="14">
        <f t="shared" si="170"/>
        <v>1.0682447123141398E-12</v>
      </c>
      <c r="CB161" s="22">
        <f t="shared" si="171"/>
        <v>1.978932943548152E-12</v>
      </c>
      <c r="CC161" s="62">
        <f t="shared" si="119"/>
        <v>293.3333333333353</v>
      </c>
      <c r="CD161" s="62">
        <f ca="1">AVERAGE(OFFSET($CC$3,0,0,'Données projet'!$E$12+1,1))-AVERAGE(OFFSET($H$3,0,0,'Données projet'!$E$12+1,1))</f>
        <v>168.16583766359378</v>
      </c>
      <c r="CE161" s="62">
        <f t="shared" si="148"/>
        <v>194.52809733694494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21.624512625263101</v>
      </c>
      <c r="CL161" s="23">
        <f>EXP(-LN(2)/25)*CL160+(1-EXP(-LN(2)/25))/(LN(2)/25)*Calculateur!CG161*Calculateur!CI161*VLOOKUP('Données projet'!$B$12,Paramètres!$A$1:$I$88,3,0)*0.475*44/12</f>
        <v>2.2248040894308319</v>
      </c>
      <c r="CM161" s="23">
        <f>EXP(-LN(2)/2)*CM160+(1-EXP(-LN(2)/2))/(LN(2)/2)*CG161*CJ161*VLOOKUP('Données projet'!$B$12,Paramètres!$A$1:$I$88,3,0)*0.475*44/12</f>
        <v>4.8372204031049553E-14</v>
      </c>
      <c r="CN161" s="24">
        <f t="shared" si="172"/>
        <v>23.849316714693984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projet'!$B$13,Paramètres!$A$1:$I$88,3,0)*VLOOKUP('Données projet'!$B$13,Paramètres!$A$1:$I$88,5,0)</f>
        <v>-4.9658410716801891E-14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146.09202487550647</v>
      </c>
      <c r="CZ161" s="62">
        <f t="shared" si="150"/>
        <v>168.58814676269344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14.859709630455491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14.859709630455491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1.7053025658242404E-13</v>
      </c>
      <c r="DP161" s="18">
        <f>DO161*VLOOKUP('Données projet'!$B$14,Paramètres!$A$1:$I$88,3,0)*VLOOKUP('Données projet'!$B$14,Paramètres!$A$1:$I$88,5,0)</f>
        <v>1.250327841262333E-13</v>
      </c>
      <c r="DQ161" s="14">
        <f t="shared" si="176"/>
        <v>1.8301318724634299E-12</v>
      </c>
      <c r="DR161" s="22">
        <f t="shared" si="177"/>
        <v>3.405245110226996E-12</v>
      </c>
      <c r="DS161" s="62">
        <f t="shared" si="125"/>
        <v>293.33333333333672</v>
      </c>
      <c r="DT161" s="62">
        <f ca="1">AVERAGE(OFFSET($DS$3,0,0,'Données projet'!$E$14+1,1))-AVERAGE(OFFSET($H$3,0,0,'Données projet'!$E$14+1,1))</f>
        <v>116.35584360635318</v>
      </c>
      <c r="DU161" s="62">
        <f t="shared" si="152"/>
        <v>86.38226293640173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17.855360083948092</v>
      </c>
      <c r="EB161" s="23">
        <f>EXP(-LN(2)/25)*EB160+(1-EXP(-LN(2)/25))/(LN(2)/25)*Calculateur!DW161*Calculateur!DY161*VLOOKUP('Données projet'!$B$14,Paramètres!$A$1:$I$88,3,0)*0.475*44/12</f>
        <v>0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17.855360083948092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-40</v>
      </c>
      <c r="O162" s="14">
        <f>N162*VLOOKUP('Données projet'!$B$9,Paramètres!$A$1:$I$88,3,0)*VLOOKUP('Données projet'!$B$9,Paramètres!$A$1:$I$88,5,0)</f>
        <v>-18.72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82.229723373996478</v>
      </c>
      <c r="T162" s="62">
        <f t="shared" si="142"/>
        <v>115.86489547584461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16.202210871427166</v>
      </c>
      <c r="AA162" s="23">
        <f>EXP(-LN(2)/25)*AA161+(1-EXP(-LN(2)/25))/(LN(2)/25)*Calculateur!V162*Calculateur!X162*VLOOKUP('Données projet'!$B$9,Paramètres!$A$1:$I$88,3,0)*0.475*44/12</f>
        <v>1.5239915907024997</v>
      </c>
      <c r="AB162" s="23">
        <f>EXP(-LN(2)/2)*AB161+(1-EXP(-LN(2)/2))/(LN(2)/2)*V162*Y162*VLOOKUP('Données projet'!$B$9,Paramètres!$A$1:$I$88,3,0)*0.475*44/12</f>
        <v>2.3517596811481209E-14</v>
      </c>
      <c r="AC162" s="24">
        <f t="shared" si="163"/>
        <v>17.726202462129692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262.78347246606825</v>
      </c>
      <c r="AO162" s="62">
        <f t="shared" si="144"/>
        <v>448.84541017639367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22.796125180059981</v>
      </c>
      <c r="AV162" s="23">
        <f>EXP(-LN(2)/25)*AV161+(1-EXP(-LN(2)/25))/(LN(2)/25)*Calculateur!AQ162*Calculateur!AS162*VLOOKUP('Données projet'!$B$10,Paramètres!$A$1:$I$88,3,0)*0.475*44/12</f>
        <v>2.4460598617130902</v>
      </c>
      <c r="AW162" s="23">
        <f>EXP(-LN(2)/2)*AW161+(1-EXP(-LN(2)/2))/(LN(2)/2)*AQ162*AT162*VLOOKUP('Données projet'!$B$10,Paramètres!$A$1:$I$88,3,0)*0.475*44/12</f>
        <v>2.5541858301816016E-16</v>
      </c>
      <c r="AX162" s="23">
        <f t="shared" si="166"/>
        <v>25.24218504177307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projet'!$B$11,Paramètres!$A$1:$I$88,3,0)*VLOOKUP('Données projet'!$B$11,Paramètres!$A$1:$I$88,5,0)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135.14998708332445</v>
      </c>
      <c r="BJ162" s="62">
        <f t="shared" si="146"/>
        <v>245.50083454484513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13.741611719883698</v>
      </c>
      <c r="BQ162" s="23">
        <f>EXP(-LN(2)/25)*BQ161+(1-EXP(-LN(2)/25))/(LN(2)/25)*Calculateur!BL162*Calculateur!BN162*VLOOKUP('Données projet'!$B$11,Paramètres!$A$1:$I$88,3,0)*0.475*44/12</f>
        <v>2.3527825124244752</v>
      </c>
      <c r="BR162" s="23">
        <f>EXP(-LN(2)/2)*BR161+(1-EXP(-LN(2)/2))/(LN(2)/2)*BL162*BO162*VLOOKUP('Données projet'!$B$11,Paramètres!$A$1:$I$88,3,0)*0.475*44/12</f>
        <v>6.5993667787729949E-16</v>
      </c>
      <c r="BS162" s="24">
        <f t="shared" si="169"/>
        <v>16.094394232308172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projet'!$B$12,Paramètres!$A$1:$I$88,3,0)*VLOOKUP('Données projet'!$B$12,Paramètres!$A$1:$I$88,5,0)</f>
        <v>6.7984728957526396E-14</v>
      </c>
      <c r="CA162" s="14">
        <f t="shared" si="170"/>
        <v>1.0682447123141398E-12</v>
      </c>
      <c r="CB162" s="22">
        <f t="shared" si="171"/>
        <v>1.978932943548152E-12</v>
      </c>
      <c r="CC162" s="62">
        <f t="shared" si="119"/>
        <v>293.3333333333353</v>
      </c>
      <c r="CD162" s="62">
        <f ca="1">AVERAGE(OFFSET($CC$3,0,0,'Données projet'!$E$12+1,1))-AVERAGE(OFFSET($H$3,0,0,'Données projet'!$E$12+1,1))</f>
        <v>168.16583766359378</v>
      </c>
      <c r="CE162" s="62">
        <f t="shared" si="148"/>
        <v>194.52809733694494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21.200469122332024</v>
      </c>
      <c r="CL162" s="23">
        <f>EXP(-LN(2)/25)*CL161+(1-EXP(-LN(2)/25))/(LN(2)/25)*Calculateur!CG162*Calculateur!CI162*VLOOKUP('Données projet'!$B$12,Paramètres!$A$1:$I$88,3,0)*0.475*44/12</f>
        <v>2.1639667046079833</v>
      </c>
      <c r="CM162" s="23">
        <f>EXP(-LN(2)/2)*CM161+(1-EXP(-LN(2)/2))/(LN(2)/2)*CG162*CJ162*VLOOKUP('Données projet'!$B$12,Paramètres!$A$1:$I$88,3,0)*0.475*44/12</f>
        <v>3.4204313491294388E-14</v>
      </c>
      <c r="CN162" s="24">
        <f t="shared" si="172"/>
        <v>23.364435826940042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projet'!$B$13,Paramètres!$A$1:$I$88,3,0)*VLOOKUP('Données projet'!$B$13,Paramètres!$A$1:$I$88,5,0)</f>
        <v>-4.9658410716801891E-14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146.09202487550647</v>
      </c>
      <c r="CZ162" s="62">
        <f t="shared" si="150"/>
        <v>168.58814676269344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14.568319788130184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14.568319788130184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1.7053025658242404E-13</v>
      </c>
      <c r="DP162" s="18">
        <f>DO162*VLOOKUP('Données projet'!$B$14,Paramètres!$A$1:$I$88,3,0)*VLOOKUP('Données projet'!$B$14,Paramètres!$A$1:$I$88,5,0)</f>
        <v>1.250327841262333E-13</v>
      </c>
      <c r="DQ162" s="14">
        <f t="shared" si="176"/>
        <v>1.8301318724634299E-12</v>
      </c>
      <c r="DR162" s="22">
        <f t="shared" si="177"/>
        <v>3.405245110226996E-12</v>
      </c>
      <c r="DS162" s="62">
        <f t="shared" si="125"/>
        <v>293.33333333333672</v>
      </c>
      <c r="DT162" s="62">
        <f ca="1">AVERAGE(OFFSET($DS$3,0,0,'Données projet'!$E$14+1,1))-AVERAGE(OFFSET($H$3,0,0,'Données projet'!$E$14+1,1))</f>
        <v>116.35584360635318</v>
      </c>
      <c r="DU162" s="62">
        <f t="shared" si="152"/>
        <v>86.38226293640173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17.505227363396155</v>
      </c>
      <c r="EB162" s="23">
        <f>EXP(-LN(2)/25)*EB161+(1-EXP(-LN(2)/25))/(LN(2)/25)*Calculateur!DW162*Calculateur!DY162*VLOOKUP('Données projet'!$B$14,Paramètres!$A$1:$I$88,3,0)*0.475*44/12</f>
        <v>0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17.505227363396155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-40</v>
      </c>
      <c r="O163" s="14">
        <f>N163*VLOOKUP('Données projet'!$B$9,Paramètres!$A$1:$I$88,3,0)*VLOOKUP('Données projet'!$B$9,Paramètres!$A$1:$I$88,5,0)</f>
        <v>-18.72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82.229723373996478</v>
      </c>
      <c r="T163" s="62">
        <f t="shared" si="142"/>
        <v>115.86489547584461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15.884495398611307</v>
      </c>
      <c r="AA163" s="23">
        <f>EXP(-LN(2)/25)*AA162+(1-EXP(-LN(2)/25))/(LN(2)/25)*Calculateur!V163*Calculateur!X163*VLOOKUP('Données projet'!$B$9,Paramètres!$A$1:$I$88,3,0)*0.475*44/12</f>
        <v>1.4823179605115051</v>
      </c>
      <c r="AB163" s="23">
        <f>EXP(-LN(2)/2)*AB162+(1-EXP(-LN(2)/2))/(LN(2)/2)*V163*Y163*VLOOKUP('Données projet'!$B$9,Paramètres!$A$1:$I$88,3,0)*0.475*44/12</f>
        <v>1.662945218260949E-14</v>
      </c>
      <c r="AC163" s="24">
        <f t="shared" si="163"/>
        <v>17.36681335912283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262.78347246606825</v>
      </c>
      <c r="AO163" s="62">
        <f t="shared" si="144"/>
        <v>448.84541017639367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22.349107069542434</v>
      </c>
      <c r="AV163" s="23">
        <f>EXP(-LN(2)/25)*AV162+(1-EXP(-LN(2)/25))/(LN(2)/25)*Calculateur!AQ163*Calculateur!AS163*VLOOKUP('Données projet'!$B$10,Paramètres!$A$1:$I$88,3,0)*0.475*44/12</f>
        <v>2.379172226161848</v>
      </c>
      <c r="AW163" s="23">
        <f>EXP(-LN(2)/2)*AW162+(1-EXP(-LN(2)/2))/(LN(2)/2)*AQ163*AT163*VLOOKUP('Données projet'!$B$10,Paramètres!$A$1:$I$88,3,0)*0.475*44/12</f>
        <v>1.806082120932002E-16</v>
      </c>
      <c r="AX163" s="23">
        <f t="shared" si="166"/>
        <v>24.728279295704283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projet'!$B$11,Paramètres!$A$1:$I$88,3,0)*VLOOKUP('Données projet'!$B$11,Paramètres!$A$1:$I$88,5,0)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135.14998708332445</v>
      </c>
      <c r="BJ163" s="62">
        <f t="shared" si="146"/>
        <v>245.50083454484513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13.472147095612318</v>
      </c>
      <c r="BQ163" s="23">
        <f>EXP(-LN(2)/25)*BQ162+(1-EXP(-LN(2)/25))/(LN(2)/25)*Calculateur!BL163*Calculateur!BN163*VLOOKUP('Données projet'!$B$11,Paramètres!$A$1:$I$88,3,0)*0.475*44/12</f>
        <v>2.2884455508947732</v>
      </c>
      <c r="BR163" s="23">
        <f>EXP(-LN(2)/2)*BR162+(1-EXP(-LN(2)/2))/(LN(2)/2)*BL163*BO163*VLOOKUP('Données projet'!$B$11,Paramètres!$A$1:$I$88,3,0)*0.475*44/12</f>
        <v>4.6664570008076071E-16</v>
      </c>
      <c r="BS163" s="24">
        <f t="shared" si="169"/>
        <v>15.76059264650709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projet'!$B$12,Paramètres!$A$1:$I$88,3,0)*VLOOKUP('Données projet'!$B$12,Paramètres!$A$1:$I$88,5,0)</f>
        <v>6.7984728957526396E-14</v>
      </c>
      <c r="CA163" s="14">
        <f t="shared" si="170"/>
        <v>1.0682447123141398E-12</v>
      </c>
      <c r="CB163" s="22">
        <f t="shared" si="171"/>
        <v>1.978932943548152E-12</v>
      </c>
      <c r="CC163" s="62">
        <f t="shared" si="119"/>
        <v>293.3333333333353</v>
      </c>
      <c r="CD163" s="62">
        <f ca="1">AVERAGE(OFFSET($CC$3,0,0,'Données projet'!$E$12+1,1))-AVERAGE(OFFSET($H$3,0,0,'Données projet'!$E$12+1,1))</f>
        <v>168.16583766359378</v>
      </c>
      <c r="CE163" s="62">
        <f t="shared" si="148"/>
        <v>194.52809733694494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20.784740853852426</v>
      </c>
      <c r="CL163" s="23">
        <f>EXP(-LN(2)/25)*CL162+(1-EXP(-LN(2)/25))/(LN(2)/25)*Calculateur!CG163*Calculateur!CI163*VLOOKUP('Données projet'!$B$12,Paramètres!$A$1:$I$88,3,0)*0.475*44/12</f>
        <v>2.104792921272415</v>
      </c>
      <c r="CM163" s="23">
        <f>EXP(-LN(2)/2)*CM162+(1-EXP(-LN(2)/2))/(LN(2)/2)*CG163*CJ163*VLOOKUP('Données projet'!$B$12,Paramètres!$A$1:$I$88,3,0)*0.475*44/12</f>
        <v>2.4186102015524777E-14</v>
      </c>
      <c r="CN163" s="24">
        <f t="shared" si="172"/>
        <v>22.889533775124868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projet'!$B$13,Paramètres!$A$1:$I$88,3,0)*VLOOKUP('Données projet'!$B$13,Paramètres!$A$1:$I$88,5,0)</f>
        <v>-4.9658410716801891E-14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146.09202487550647</v>
      </c>
      <c r="CZ163" s="62">
        <f t="shared" si="150"/>
        <v>168.58814676269344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14.282643922882622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14.282643922882622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1.7053025658242404E-13</v>
      </c>
      <c r="DP163" s="18">
        <f>DO163*VLOOKUP('Données projet'!$B$14,Paramètres!$A$1:$I$88,3,0)*VLOOKUP('Données projet'!$B$14,Paramètres!$A$1:$I$88,5,0)</f>
        <v>1.250327841262333E-13</v>
      </c>
      <c r="DQ163" s="14">
        <f t="shared" si="176"/>
        <v>1.8301318724634299E-12</v>
      </c>
      <c r="DR163" s="22">
        <f t="shared" si="177"/>
        <v>3.405245110226996E-12</v>
      </c>
      <c r="DS163" s="62">
        <f t="shared" si="125"/>
        <v>293.33333333333672</v>
      </c>
      <c r="DT163" s="62">
        <f ca="1">AVERAGE(OFFSET($DS$3,0,0,'Données projet'!$E$14+1,1))-AVERAGE(OFFSET($H$3,0,0,'Données projet'!$E$14+1,1))</f>
        <v>116.35584360635318</v>
      </c>
      <c r="DU163" s="62">
        <f t="shared" si="152"/>
        <v>86.38226293640173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17.161960531934369</v>
      </c>
      <c r="EB163" s="23">
        <f>EXP(-LN(2)/25)*EB162+(1-EXP(-LN(2)/25))/(LN(2)/25)*Calculateur!DW163*Calculateur!DY163*VLOOKUP('Données projet'!$B$14,Paramètres!$A$1:$I$88,3,0)*0.475*44/12</f>
        <v>0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17.161960531934369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-40</v>
      </c>
      <c r="O164" s="14">
        <f>N164*VLOOKUP('Données projet'!$B$9,Paramètres!$A$1:$I$88,3,0)*VLOOKUP('Données projet'!$B$9,Paramètres!$A$1:$I$88,5,0)</f>
        <v>-18.72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82.229723373996478</v>
      </c>
      <c r="T164" s="62">
        <f t="shared" si="142"/>
        <v>115.86489547584461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15.573010132430063</v>
      </c>
      <c r="AA164" s="23">
        <f>EXP(-LN(2)/25)*AA163+(1-EXP(-LN(2)/25))/(LN(2)/25)*Calculateur!V164*Calculateur!X164*VLOOKUP('Données projet'!$B$9,Paramètres!$A$1:$I$88,3,0)*0.475*44/12</f>
        <v>1.4417838979296043</v>
      </c>
      <c r="AB164" s="23">
        <f>EXP(-LN(2)/2)*AB163+(1-EXP(-LN(2)/2))/(LN(2)/2)*V164*Y164*VLOOKUP('Données projet'!$B$9,Paramètres!$A$1:$I$88,3,0)*0.475*44/12</f>
        <v>1.1758798405740604E-14</v>
      </c>
      <c r="AC164" s="24">
        <f t="shared" si="163"/>
        <v>17.014794030359678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262.78347246606825</v>
      </c>
      <c r="AO164" s="62">
        <f t="shared" si="144"/>
        <v>448.84541017639367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21.910854711518009</v>
      </c>
      <c r="AV164" s="23">
        <f>EXP(-LN(2)/25)*AV163+(1-EXP(-LN(2)/25))/(LN(2)/25)*Calculateur!AQ164*Calculateur!AS164*VLOOKUP('Données projet'!$B$10,Paramètres!$A$1:$I$88,3,0)*0.475*44/12</f>
        <v>2.3141136365222224</v>
      </c>
      <c r="AW164" s="23">
        <f>EXP(-LN(2)/2)*AW163+(1-EXP(-LN(2)/2))/(LN(2)/2)*AQ164*AT164*VLOOKUP('Données projet'!$B$10,Paramètres!$A$1:$I$88,3,0)*0.475*44/12</f>
        <v>1.2770929150908008E-16</v>
      </c>
      <c r="AX164" s="23">
        <f t="shared" si="166"/>
        <v>24.224968348040232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projet'!$B$11,Paramètres!$A$1:$I$88,3,0)*VLOOKUP('Données projet'!$B$11,Paramètres!$A$1:$I$88,5,0)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135.14998708332445</v>
      </c>
      <c r="BJ164" s="62">
        <f t="shared" si="146"/>
        <v>245.50083454484513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13.207966508265708</v>
      </c>
      <c r="BQ164" s="23">
        <f>EXP(-LN(2)/25)*BQ163+(1-EXP(-LN(2)/25))/(LN(2)/25)*Calculateur!BL164*Calculateur!BN164*VLOOKUP('Données projet'!$B$11,Paramètres!$A$1:$I$88,3,0)*0.475*44/12</f>
        <v>2.2258678869614346</v>
      </c>
      <c r="BR164" s="23">
        <f>EXP(-LN(2)/2)*BR163+(1-EXP(-LN(2)/2))/(LN(2)/2)*BL164*BO164*VLOOKUP('Données projet'!$B$11,Paramètres!$A$1:$I$88,3,0)*0.475*44/12</f>
        <v>3.2996833893864974E-16</v>
      </c>
      <c r="BS164" s="24">
        <f t="shared" si="169"/>
        <v>15.433834395227143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projet'!$B$12,Paramètres!$A$1:$I$88,3,0)*VLOOKUP('Données projet'!$B$12,Paramètres!$A$1:$I$88,5,0)</f>
        <v>6.7984728957526396E-14</v>
      </c>
      <c r="CA164" s="14">
        <f t="shared" si="170"/>
        <v>1.0682447123141398E-12</v>
      </c>
      <c r="CB164" s="22">
        <f t="shared" si="171"/>
        <v>1.978932943548152E-12</v>
      </c>
      <c r="CC164" s="62">
        <f t="shared" si="119"/>
        <v>293.3333333333353</v>
      </c>
      <c r="CD164" s="62">
        <f ca="1">AVERAGE(OFFSET($CC$3,0,0,'Données projet'!$E$12+1,1))-AVERAGE(OFFSET($H$3,0,0,'Données projet'!$E$12+1,1))</f>
        <v>168.16583766359378</v>
      </c>
      <c r="CE164" s="62">
        <f t="shared" si="148"/>
        <v>194.52809733694494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20.377164763148507</v>
      </c>
      <c r="CL164" s="23">
        <f>EXP(-LN(2)/25)*CL163+(1-EXP(-LN(2)/25))/(LN(2)/25)*Calculateur!CG164*Calculateur!CI164*VLOOKUP('Données projet'!$B$12,Paramètres!$A$1:$I$88,3,0)*0.475*44/12</f>
        <v>2.0472372481539716</v>
      </c>
      <c r="CM164" s="23">
        <f>EXP(-LN(2)/2)*CM163+(1-EXP(-LN(2)/2))/(LN(2)/2)*CG164*CJ164*VLOOKUP('Données projet'!$B$12,Paramètres!$A$1:$I$88,3,0)*0.475*44/12</f>
        <v>1.7102156745647194E-14</v>
      </c>
      <c r="CN164" s="24">
        <f t="shared" si="172"/>
        <v>22.424402011302497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projet'!$B$13,Paramètres!$A$1:$I$88,3,0)*VLOOKUP('Données projet'!$B$13,Paramètres!$A$1:$I$88,5,0)</f>
        <v>-4.9658410716801891E-14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146.09202487550647</v>
      </c>
      <c r="CZ164" s="62">
        <f t="shared" si="150"/>
        <v>168.58814676269344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14.002569987107492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14.002569987107492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1.7053025658242404E-13</v>
      </c>
      <c r="DP164" s="18">
        <f>DO164*VLOOKUP('Données projet'!$B$14,Paramètres!$A$1:$I$88,3,0)*VLOOKUP('Données projet'!$B$14,Paramètres!$A$1:$I$88,5,0)</f>
        <v>1.250327841262333E-13</v>
      </c>
      <c r="DQ164" s="14">
        <f t="shared" si="176"/>
        <v>1.8301318724634299E-12</v>
      </c>
      <c r="DR164" s="22">
        <f t="shared" si="177"/>
        <v>3.405245110226996E-12</v>
      </c>
      <c r="DS164" s="62">
        <f t="shared" si="125"/>
        <v>293.33333333333672</v>
      </c>
      <c r="DT164" s="62">
        <f ca="1">AVERAGE(OFFSET($DS$3,0,0,'Données projet'!$E$14+1,1))-AVERAGE(OFFSET($H$3,0,0,'Données projet'!$E$14+1,1))</f>
        <v>116.35584360635318</v>
      </c>
      <c r="DU164" s="62">
        <f t="shared" si="152"/>
        <v>86.38226293640173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16.825424953665454</v>
      </c>
      <c r="EB164" s="23">
        <f>EXP(-LN(2)/25)*EB163+(1-EXP(-LN(2)/25))/(LN(2)/25)*Calculateur!DW164*Calculateur!DY164*VLOOKUP('Données projet'!$B$14,Paramètres!$A$1:$I$88,3,0)*0.475*44/12</f>
        <v>0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16.825424953665454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-40</v>
      </c>
      <c r="O165" s="14">
        <f>N165*VLOOKUP('Données projet'!$B$9,Paramètres!$A$1:$I$88,3,0)*VLOOKUP('Données projet'!$B$9,Paramètres!$A$1:$I$88,5,0)</f>
        <v>-18.72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82.229723373996478</v>
      </c>
      <c r="T165" s="62">
        <f t="shared" si="142"/>
        <v>115.86489547584461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15.267632902331382</v>
      </c>
      <c r="AA165" s="23">
        <f>EXP(-LN(2)/25)*AA164+(1-EXP(-LN(2)/25))/(LN(2)/25)*Calculateur!V165*Calculateur!X165*VLOOKUP('Données projet'!$B$9,Paramètres!$A$1:$I$88,3,0)*0.475*44/12</f>
        <v>1.4023582414205993</v>
      </c>
      <c r="AB165" s="23">
        <f>EXP(-LN(2)/2)*AB164+(1-EXP(-LN(2)/2))/(LN(2)/2)*V165*Y165*VLOOKUP('Données projet'!$B$9,Paramètres!$A$1:$I$88,3,0)*0.475*44/12</f>
        <v>8.3147260913047452E-15</v>
      </c>
      <c r="AC165" s="24">
        <f t="shared" si="163"/>
        <v>16.669991143751989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262.78347246606825</v>
      </c>
      <c r="AO165" s="62">
        <f t="shared" si="144"/>
        <v>448.84541017639367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21.4811962149269</v>
      </c>
      <c r="AV165" s="23">
        <f>EXP(-LN(2)/25)*AV164+(1-EXP(-LN(2)/25))/(LN(2)/25)*Calculateur!AQ165*Calculateur!AS165*VLOOKUP('Données projet'!$B$10,Paramètres!$A$1:$I$88,3,0)*0.475*44/12</f>
        <v>2.2508340774375748</v>
      </c>
      <c r="AW165" s="23">
        <f>EXP(-LN(2)/2)*AW164+(1-EXP(-LN(2)/2))/(LN(2)/2)*AQ165*AT165*VLOOKUP('Données projet'!$B$10,Paramètres!$A$1:$I$88,3,0)*0.475*44/12</f>
        <v>9.03041060466001E-17</v>
      </c>
      <c r="AX165" s="23">
        <f t="shared" si="166"/>
        <v>23.732030292364474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projet'!$B$11,Paramètres!$A$1:$I$88,3,0)*VLOOKUP('Données projet'!$B$11,Paramètres!$A$1:$I$88,5,0)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135.14998708332445</v>
      </c>
      <c r="BJ165" s="62">
        <f t="shared" si="146"/>
        <v>245.50083454484513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12.948966341102716</v>
      </c>
      <c r="BQ165" s="23">
        <f>EXP(-LN(2)/25)*BQ164+(1-EXP(-LN(2)/25))/(LN(2)/25)*Calculateur!BL165*Calculateur!BN165*VLOOKUP('Données projet'!$B$11,Paramètres!$A$1:$I$88,3,0)*0.475*44/12</f>
        <v>2.1650014125391692</v>
      </c>
      <c r="BR165" s="23">
        <f>EXP(-LN(2)/2)*BR164+(1-EXP(-LN(2)/2))/(LN(2)/2)*BL165*BO165*VLOOKUP('Données projet'!$B$11,Paramètres!$A$1:$I$88,3,0)*0.475*44/12</f>
        <v>2.3332285004038035E-16</v>
      </c>
      <c r="BS165" s="24">
        <f t="shared" si="169"/>
        <v>15.113967753641885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projet'!$B$12,Paramètres!$A$1:$I$88,3,0)*VLOOKUP('Données projet'!$B$12,Paramètres!$A$1:$I$88,5,0)</f>
        <v>6.7984728957526396E-14</v>
      </c>
      <c r="CA165" s="14">
        <f t="shared" si="170"/>
        <v>1.0682447123141398E-12</v>
      </c>
      <c r="CB165" s="22">
        <f t="shared" si="171"/>
        <v>1.978932943548152E-12</v>
      </c>
      <c r="CC165" s="62">
        <f t="shared" si="119"/>
        <v>293.3333333333353</v>
      </c>
      <c r="CD165" s="62">
        <f ca="1">AVERAGE(OFFSET($CC$3,0,0,'Données projet'!$E$12+1,1))-AVERAGE(OFFSET($H$3,0,0,'Données projet'!$E$12+1,1))</f>
        <v>168.16583766359378</v>
      </c>
      <c r="CE165" s="62">
        <f t="shared" si="148"/>
        <v>194.52809733694494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19.977580990986425</v>
      </c>
      <c r="CL165" s="23">
        <f>EXP(-LN(2)/25)*CL164+(1-EXP(-LN(2)/25))/(LN(2)/25)*Calculateur!CG165*Calculateur!CI165*VLOOKUP('Données projet'!$B$12,Paramètres!$A$1:$I$88,3,0)*0.475*44/12</f>
        <v>1.9912554379436733</v>
      </c>
      <c r="CM165" s="23">
        <f>EXP(-LN(2)/2)*CM164+(1-EXP(-LN(2)/2))/(LN(2)/2)*CG165*CJ165*VLOOKUP('Données projet'!$B$12,Paramètres!$A$1:$I$88,3,0)*0.475*44/12</f>
        <v>1.2093051007762388E-14</v>
      </c>
      <c r="CN165" s="24">
        <f t="shared" si="172"/>
        <v>21.968836428930111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projet'!$B$13,Paramètres!$A$1:$I$88,3,0)*VLOOKUP('Données projet'!$B$13,Paramètres!$A$1:$I$88,5,0)</f>
        <v>-4.9658410716801891E-14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146.09202487550647</v>
      </c>
      <c r="CZ165" s="62">
        <f t="shared" si="150"/>
        <v>168.58814676269344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13.727988130384679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13.727988130384679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1.7053025658242404E-13</v>
      </c>
      <c r="DP165" s="18">
        <f>DO165*VLOOKUP('Données projet'!$B$14,Paramètres!$A$1:$I$88,3,0)*VLOOKUP('Données projet'!$B$14,Paramètres!$A$1:$I$88,5,0)</f>
        <v>1.250327841262333E-13</v>
      </c>
      <c r="DQ165" s="14">
        <f t="shared" si="176"/>
        <v>1.8301318724634299E-12</v>
      </c>
      <c r="DR165" s="22">
        <f t="shared" si="177"/>
        <v>3.405245110226996E-12</v>
      </c>
      <c r="DS165" s="62">
        <f t="shared" si="125"/>
        <v>293.33333333333672</v>
      </c>
      <c r="DT165" s="62">
        <f ca="1">AVERAGE(OFFSET($DS$3,0,0,'Données projet'!$E$14+1,1))-AVERAGE(OFFSET($H$3,0,0,'Données projet'!$E$14+1,1))</f>
        <v>116.35584360635318</v>
      </c>
      <c r="DU165" s="62">
        <f t="shared" si="152"/>
        <v>86.38226293640173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16.49548863281996</v>
      </c>
      <c r="EB165" s="23">
        <f>EXP(-LN(2)/25)*EB164+(1-EXP(-LN(2)/25))/(LN(2)/25)*Calculateur!DW165*Calculateur!DY165*VLOOKUP('Données projet'!$B$14,Paramètres!$A$1:$I$88,3,0)*0.475*44/12</f>
        <v>0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16.49548863281996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-40</v>
      </c>
      <c r="O166" s="14">
        <f>N166*VLOOKUP('Données projet'!$B$9,Paramètres!$A$1:$I$88,3,0)*VLOOKUP('Données projet'!$B$9,Paramètres!$A$1:$I$88,5,0)</f>
        <v>-18.72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82.229723373996478</v>
      </c>
      <c r="T166" s="62">
        <f t="shared" si="142"/>
        <v>115.86489547584461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14.968243933453216</v>
      </c>
      <c r="AA166" s="23">
        <f>EXP(-LN(2)/25)*AA165+(1-EXP(-LN(2)/25))/(LN(2)/25)*Calculateur!V166*Calculateur!X166*VLOOKUP('Données projet'!$B$9,Paramètres!$A$1:$I$88,3,0)*0.475*44/12</f>
        <v>1.3640106815621382</v>
      </c>
      <c r="AB166" s="23">
        <f>EXP(-LN(2)/2)*AB165+(1-EXP(-LN(2)/2))/(LN(2)/2)*V166*Y166*VLOOKUP('Données projet'!$B$9,Paramètres!$A$1:$I$88,3,0)*0.475*44/12</f>
        <v>5.8793992028703021E-15</v>
      </c>
      <c r="AC166" s="24">
        <f t="shared" si="163"/>
        <v>16.332254615015362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262.78347246606825</v>
      </c>
      <c r="AO166" s="62">
        <f t="shared" si="144"/>
        <v>448.84541017639367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21.059963059388135</v>
      </c>
      <c r="AV166" s="23">
        <f>EXP(-LN(2)/25)*AV165+(1-EXP(-LN(2)/25))/(LN(2)/25)*Calculateur!AQ166*Calculateur!AS166*VLOOKUP('Données projet'!$B$10,Paramètres!$A$1:$I$88,3,0)*0.475*44/12</f>
        <v>2.1892849012238247</v>
      </c>
      <c r="AW166" s="23">
        <f>EXP(-LN(2)/2)*AW165+(1-EXP(-LN(2)/2))/(LN(2)/2)*AQ166*AT166*VLOOKUP('Données projet'!$B$10,Paramètres!$A$1:$I$88,3,0)*0.475*44/12</f>
        <v>6.3854645754540039E-17</v>
      </c>
      <c r="AX166" s="23">
        <f t="shared" si="166"/>
        <v>23.24924796061196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projet'!$B$11,Paramètres!$A$1:$I$88,3,0)*VLOOKUP('Données projet'!$B$11,Paramètres!$A$1:$I$88,5,0)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135.14998708332445</v>
      </c>
      <c r="BJ166" s="62">
        <f t="shared" si="146"/>
        <v>245.50083454484513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12.695045009243289</v>
      </c>
      <c r="BQ166" s="23">
        <f>EXP(-LN(2)/25)*BQ165+(1-EXP(-LN(2)/25))/(LN(2)/25)*Calculateur!BL166*Calculateur!BN166*VLOOKUP('Données projet'!$B$11,Paramètres!$A$1:$I$88,3,0)*0.475*44/12</f>
        <v>2.1057993350608095</v>
      </c>
      <c r="BR166" s="23">
        <f>EXP(-LN(2)/2)*BR165+(1-EXP(-LN(2)/2))/(LN(2)/2)*BL166*BO166*VLOOKUP('Données projet'!$B$11,Paramètres!$A$1:$I$88,3,0)*0.475*44/12</f>
        <v>1.6498416946932487E-16</v>
      </c>
      <c r="BS166" s="24">
        <f t="shared" si="169"/>
        <v>14.8008443443041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projet'!$B$12,Paramètres!$A$1:$I$88,3,0)*VLOOKUP('Données projet'!$B$12,Paramètres!$A$1:$I$88,5,0)</f>
        <v>6.7984728957526396E-14</v>
      </c>
      <c r="CA166" s="14">
        <f t="shared" si="170"/>
        <v>1.0682447123141398E-12</v>
      </c>
      <c r="CB166" s="22">
        <f t="shared" si="171"/>
        <v>1.978932943548152E-12</v>
      </c>
      <c r="CC166" s="62">
        <f t="shared" si="119"/>
        <v>293.3333333333353</v>
      </c>
      <c r="CD166" s="62">
        <f ca="1">AVERAGE(OFFSET($CC$3,0,0,'Données projet'!$E$12+1,1))-AVERAGE(OFFSET($H$3,0,0,'Données projet'!$E$12+1,1))</f>
        <v>168.16583766359378</v>
      </c>
      <c r="CE166" s="62">
        <f t="shared" si="148"/>
        <v>194.52809733694494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19.585832812874404</v>
      </c>
      <c r="CL166" s="23">
        <f>EXP(-LN(2)/25)*CL165+(1-EXP(-LN(2)/25))/(LN(2)/25)*Calculateur!CG166*Calculateur!CI166*VLOOKUP('Données projet'!$B$12,Paramètres!$A$1:$I$88,3,0)*0.475*44/12</f>
        <v>1.9368044532775313</v>
      </c>
      <c r="CM166" s="23">
        <f>EXP(-LN(2)/2)*CM165+(1-EXP(-LN(2)/2))/(LN(2)/2)*CG166*CJ166*VLOOKUP('Données projet'!$B$12,Paramètres!$A$1:$I$88,3,0)*0.475*44/12</f>
        <v>8.5510783728235971E-15</v>
      </c>
      <c r="CN166" s="24">
        <f t="shared" si="172"/>
        <v>21.522637266151943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projet'!$B$13,Paramètres!$A$1:$I$88,3,0)*VLOOKUP('Données projet'!$B$13,Paramètres!$A$1:$I$88,5,0)</f>
        <v>-4.9658410716801891E-14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146.09202487550647</v>
      </c>
      <c r="CZ166" s="62">
        <f t="shared" si="150"/>
        <v>168.58814676269344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13.458790656393806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13.458790656393806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1.7053025658242404E-13</v>
      </c>
      <c r="DP166" s="18">
        <f>DO166*VLOOKUP('Données projet'!$B$14,Paramètres!$A$1:$I$88,3,0)*VLOOKUP('Données projet'!$B$14,Paramètres!$A$1:$I$88,5,0)</f>
        <v>1.250327841262333E-13</v>
      </c>
      <c r="DQ166" s="14">
        <f t="shared" si="176"/>
        <v>1.8301318724634299E-12</v>
      </c>
      <c r="DR166" s="22">
        <f t="shared" si="177"/>
        <v>3.405245110226996E-12</v>
      </c>
      <c r="DS166" s="62">
        <f t="shared" si="125"/>
        <v>293.33333333333672</v>
      </c>
      <c r="DT166" s="62">
        <f ca="1">AVERAGE(OFFSET($DS$3,0,0,'Données projet'!$E$14+1,1))-AVERAGE(OFFSET($H$3,0,0,'Données projet'!$E$14+1,1))</f>
        <v>116.35584360635318</v>
      </c>
      <c r="DU166" s="62">
        <f t="shared" si="152"/>
        <v>86.38226293640173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16.172022161984959</v>
      </c>
      <c r="EB166" s="23">
        <f>EXP(-LN(2)/25)*EB165+(1-EXP(-LN(2)/25))/(LN(2)/25)*Calculateur!DW166*Calculateur!DY166*VLOOKUP('Données projet'!$B$14,Paramètres!$A$1:$I$88,3,0)*0.475*44/12</f>
        <v>0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16.172022161984959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-40</v>
      </c>
      <c r="O167" s="14">
        <f>N167*VLOOKUP('Données projet'!$B$9,Paramètres!$A$1:$I$88,3,0)*VLOOKUP('Données projet'!$B$9,Paramètres!$A$1:$I$88,5,0)</f>
        <v>-18.72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82.229723373996478</v>
      </c>
      <c r="T167" s="62">
        <f t="shared" si="142"/>
        <v>115.86489547584461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14.674725799645513</v>
      </c>
      <c r="AA167" s="23">
        <f>EXP(-LN(2)/25)*AA166+(1-EXP(-LN(2)/25))/(LN(2)/25)*Calculateur!V167*Calculateur!X167*VLOOKUP('Données projet'!$B$9,Paramètres!$A$1:$I$88,3,0)*0.475*44/12</f>
        <v>1.3267117377446174</v>
      </c>
      <c r="AB167" s="23">
        <f>EXP(-LN(2)/2)*AB166+(1-EXP(-LN(2)/2))/(LN(2)/2)*V167*Y167*VLOOKUP('Données projet'!$B$9,Paramètres!$A$1:$I$88,3,0)*0.475*44/12</f>
        <v>4.1573630456523726E-15</v>
      </c>
      <c r="AC167" s="24">
        <f t="shared" si="163"/>
        <v>16.001437537390135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262.78347246606825</v>
      </c>
      <c r="AO167" s="62">
        <f t="shared" si="144"/>
        <v>448.84541017639367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20.646990029102632</v>
      </c>
      <c r="AV167" s="23">
        <f>EXP(-LN(2)/25)*AV166+(1-EXP(-LN(2)/25))/(LN(2)/25)*Calculateur!AQ167*Calculateur!AS167*VLOOKUP('Données projet'!$B$10,Paramètres!$A$1:$I$88,3,0)*0.475*44/12</f>
        <v>2.1294187904703699</v>
      </c>
      <c r="AW167" s="23">
        <f>EXP(-LN(2)/2)*AW166+(1-EXP(-LN(2)/2))/(LN(2)/2)*AQ167*AT167*VLOOKUP('Données projet'!$B$10,Paramètres!$A$1:$I$88,3,0)*0.475*44/12</f>
        <v>4.515205302330005E-17</v>
      </c>
      <c r="AX167" s="23">
        <f t="shared" si="166"/>
        <v>22.776408819573003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projet'!$B$11,Paramètres!$A$1:$I$88,3,0)*VLOOKUP('Données projet'!$B$11,Paramètres!$A$1:$I$88,5,0)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135.14998708332445</v>
      </c>
      <c r="BJ167" s="62">
        <f t="shared" si="146"/>
        <v>245.50083454484513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12.446102919824906</v>
      </c>
      <c r="BQ167" s="23">
        <f>EXP(-LN(2)/25)*BQ166+(1-EXP(-LN(2)/25))/(LN(2)/25)*Calculateur!BL167*Calculateur!BN167*VLOOKUP('Données projet'!$B$11,Paramètres!$A$1:$I$88,3,0)*0.475*44/12</f>
        <v>2.0482161415043976</v>
      </c>
      <c r="BR167" s="23">
        <f>EXP(-LN(2)/2)*BR166+(1-EXP(-LN(2)/2))/(LN(2)/2)*BL167*BO167*VLOOKUP('Données projet'!$B$11,Paramètres!$A$1:$I$88,3,0)*0.475*44/12</f>
        <v>1.1666142502019018E-16</v>
      </c>
      <c r="BS167" s="24">
        <f t="shared" si="169"/>
        <v>14.494319061329303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projet'!$B$12,Paramètres!$A$1:$I$88,3,0)*VLOOKUP('Données projet'!$B$12,Paramètres!$A$1:$I$88,5,0)</f>
        <v>6.7984728957526396E-14</v>
      </c>
      <c r="CA167" s="14">
        <f t="shared" si="170"/>
        <v>1.0682447123141398E-12</v>
      </c>
      <c r="CB167" s="22">
        <f t="shared" si="171"/>
        <v>1.978932943548152E-12</v>
      </c>
      <c r="CC167" s="62">
        <f t="shared" si="119"/>
        <v>293.3333333333353</v>
      </c>
      <c r="CD167" s="62">
        <f ca="1">AVERAGE(OFFSET($CC$3,0,0,'Données projet'!$E$12+1,1))-AVERAGE(OFFSET($H$3,0,0,'Données projet'!$E$12+1,1))</f>
        <v>168.16583766359378</v>
      </c>
      <c r="CE167" s="62">
        <f t="shared" si="148"/>
        <v>194.52809733694494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19.201766577592366</v>
      </c>
      <c r="CL167" s="23">
        <f>EXP(-LN(2)/25)*CL166+(1-EXP(-LN(2)/25))/(LN(2)/25)*Calculateur!CG167*Calculateur!CI167*VLOOKUP('Données projet'!$B$12,Paramètres!$A$1:$I$88,3,0)*0.475*44/12</f>
        <v>1.8838424336505375</v>
      </c>
      <c r="CM167" s="23">
        <f>EXP(-LN(2)/2)*CM166+(1-EXP(-LN(2)/2))/(LN(2)/2)*CG167*CJ167*VLOOKUP('Données projet'!$B$12,Paramètres!$A$1:$I$88,3,0)*0.475*44/12</f>
        <v>6.0465255038811942E-15</v>
      </c>
      <c r="CN167" s="24">
        <f t="shared" si="172"/>
        <v>21.085609011242912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projet'!$B$13,Paramètres!$A$1:$I$88,3,0)*VLOOKUP('Données projet'!$B$13,Paramètres!$A$1:$I$88,5,0)</f>
        <v>-4.9658410716801891E-14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146.09202487550647</v>
      </c>
      <c r="CZ167" s="62">
        <f t="shared" si="150"/>
        <v>168.58814676269344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13.194871980673646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13.194871980673646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1.7053025658242404E-13</v>
      </c>
      <c r="DP167" s="18">
        <f>DO167*VLOOKUP('Données projet'!$B$14,Paramètres!$A$1:$I$88,3,0)*VLOOKUP('Données projet'!$B$14,Paramètres!$A$1:$I$88,5,0)</f>
        <v>1.250327841262333E-13</v>
      </c>
      <c r="DQ167" s="14">
        <f t="shared" si="176"/>
        <v>1.8301318724634299E-12</v>
      </c>
      <c r="DR167" s="22">
        <f t="shared" si="177"/>
        <v>3.405245110226996E-12</v>
      </c>
      <c r="DS167" s="62">
        <f t="shared" si="125"/>
        <v>293.33333333333672</v>
      </c>
      <c r="DT167" s="62">
        <f ca="1">AVERAGE(OFFSET($DS$3,0,0,'Données projet'!$E$14+1,1))-AVERAGE(OFFSET($H$3,0,0,'Données projet'!$E$14+1,1))</f>
        <v>116.35584360635318</v>
      </c>
      <c r="DU167" s="62">
        <f t="shared" si="152"/>
        <v>86.38226293640173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15.854898671347968</v>
      </c>
      <c r="EB167" s="23">
        <f>EXP(-LN(2)/25)*EB166+(1-EXP(-LN(2)/25))/(LN(2)/25)*Calculateur!DW167*Calculateur!DY167*VLOOKUP('Données projet'!$B$14,Paramètres!$A$1:$I$88,3,0)*0.475*44/12</f>
        <v>0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15.854898671347968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-40</v>
      </c>
      <c r="O168" s="14">
        <f>N168*VLOOKUP('Données projet'!$B$9,Paramètres!$A$1:$I$88,3,0)*VLOOKUP('Données projet'!$B$9,Paramètres!$A$1:$I$88,5,0)</f>
        <v>-18.72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82.229723373996478</v>
      </c>
      <c r="T168" s="62">
        <f t="shared" si="142"/>
        <v>115.86489547584461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14.386963377413394</v>
      </c>
      <c r="AA168" s="23">
        <f>EXP(-LN(2)/25)*AA167+(1-EXP(-LN(2)/25))/(LN(2)/25)*Calculateur!V168*Calculateur!X168*VLOOKUP('Données projet'!$B$9,Paramètres!$A$1:$I$88,3,0)*0.475*44/12</f>
        <v>1.2904327355072527</v>
      </c>
      <c r="AB168" s="23">
        <f>EXP(-LN(2)/2)*AB167+(1-EXP(-LN(2)/2))/(LN(2)/2)*V168*Y168*VLOOKUP('Données projet'!$B$9,Paramètres!$A$1:$I$88,3,0)*0.475*44/12</f>
        <v>2.9396996014351511E-15</v>
      </c>
      <c r="AC168" s="24">
        <f t="shared" si="163"/>
        <v>15.67739611292065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262.78347246606825</v>
      </c>
      <c r="AO168" s="62">
        <f t="shared" si="144"/>
        <v>448.84541017639367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20.242115148052349</v>
      </c>
      <c r="AV168" s="23">
        <f>EXP(-LN(2)/25)*AV167+(1-EXP(-LN(2)/25))/(LN(2)/25)*Calculateur!AQ168*Calculateur!AS168*VLOOKUP('Données projet'!$B$10,Paramètres!$A$1:$I$88,3,0)*0.475*44/12</f>
        <v>2.0711897216636901</v>
      </c>
      <c r="AW168" s="23">
        <f>EXP(-LN(2)/2)*AW167+(1-EXP(-LN(2)/2))/(LN(2)/2)*AQ168*AT168*VLOOKUP('Données projet'!$B$10,Paramètres!$A$1:$I$88,3,0)*0.475*44/12</f>
        <v>3.1927322877270019E-17</v>
      </c>
      <c r="AX168" s="23">
        <f t="shared" si="166"/>
        <v>22.313304869716038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projet'!$B$11,Paramètres!$A$1:$I$88,3,0)*VLOOKUP('Données projet'!$B$11,Paramètres!$A$1:$I$88,5,0)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135.14998708332445</v>
      </c>
      <c r="BJ168" s="62">
        <f t="shared" si="146"/>
        <v>245.50083454484513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12.202042432940335</v>
      </c>
      <c r="BQ168" s="23">
        <f>EXP(-LN(2)/25)*BQ167+(1-EXP(-LN(2)/25))/(LN(2)/25)*Calculateur!BL168*Calculateur!BN168*VLOOKUP('Données projet'!$B$11,Paramètres!$A$1:$I$88,3,0)*0.475*44/12</f>
        <v>1.9922075634039542</v>
      </c>
      <c r="BR168" s="23">
        <f>EXP(-LN(2)/2)*BR167+(1-EXP(-LN(2)/2))/(LN(2)/2)*BL168*BO168*VLOOKUP('Données projet'!$B$11,Paramètres!$A$1:$I$88,3,0)*0.475*44/12</f>
        <v>8.2492084734662436E-17</v>
      </c>
      <c r="BS168" s="24">
        <f t="shared" si="169"/>
        <v>14.19424999634429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projet'!$B$12,Paramètres!$A$1:$I$88,3,0)*VLOOKUP('Données projet'!$B$12,Paramètres!$A$1:$I$88,5,0)</f>
        <v>6.7984728957526396E-14</v>
      </c>
      <c r="CA168" s="14">
        <f t="shared" si="170"/>
        <v>1.0682447123141398E-12</v>
      </c>
      <c r="CB168" s="22">
        <f t="shared" si="171"/>
        <v>1.978932943548152E-12</v>
      </c>
      <c r="CC168" s="62">
        <f t="shared" si="119"/>
        <v>293.3333333333353</v>
      </c>
      <c r="CD168" s="62">
        <f ca="1">AVERAGE(OFFSET($CC$3,0,0,'Données projet'!$E$12+1,1))-AVERAGE(OFFSET($H$3,0,0,'Données projet'!$E$12+1,1))</f>
        <v>168.16583766359378</v>
      </c>
      <c r="CE168" s="62">
        <f t="shared" si="148"/>
        <v>194.52809733694494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18.825231646926937</v>
      </c>
      <c r="CL168" s="23">
        <f>EXP(-LN(2)/25)*CL167+(1-EXP(-LN(2)/25))/(LN(2)/25)*Calculateur!CG168*Calculateur!CI168*VLOOKUP('Données projet'!$B$12,Paramètres!$A$1:$I$88,3,0)*0.475*44/12</f>
        <v>1.8323286632353954</v>
      </c>
      <c r="CM168" s="23">
        <f>EXP(-LN(2)/2)*CM167+(1-EXP(-LN(2)/2))/(LN(2)/2)*CG168*CJ168*VLOOKUP('Données projet'!$B$12,Paramètres!$A$1:$I$88,3,0)*0.475*44/12</f>
        <v>4.2755391864117985E-15</v>
      </c>
      <c r="CN168" s="24">
        <f t="shared" si="172"/>
        <v>20.657560310162335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projet'!$B$13,Paramètres!$A$1:$I$88,3,0)*VLOOKUP('Données projet'!$B$13,Paramètres!$A$1:$I$88,5,0)</f>
        <v>-4.9658410716801891E-14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146.09202487550647</v>
      </c>
      <c r="CZ168" s="62">
        <f t="shared" si="150"/>
        <v>168.58814676269344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12.936128589209863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12.936128589209863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1.7053025658242404E-13</v>
      </c>
      <c r="DP168" s="18">
        <f>DO168*VLOOKUP('Données projet'!$B$14,Paramètres!$A$1:$I$88,3,0)*VLOOKUP('Données projet'!$B$14,Paramètres!$A$1:$I$88,5,0)</f>
        <v>1.250327841262333E-13</v>
      </c>
      <c r="DQ168" s="14">
        <f t="shared" si="176"/>
        <v>1.8301318724634299E-12</v>
      </c>
      <c r="DR168" s="22">
        <f t="shared" si="177"/>
        <v>3.405245110226996E-12</v>
      </c>
      <c r="DS168" s="62">
        <f t="shared" si="125"/>
        <v>293.33333333333672</v>
      </c>
      <c r="DT168" s="62">
        <f ca="1">AVERAGE(OFFSET($DS$3,0,0,'Données projet'!$E$14+1,1))-AVERAGE(OFFSET($H$3,0,0,'Données projet'!$E$14+1,1))</f>
        <v>116.35584360635318</v>
      </c>
      <c r="DU168" s="62">
        <f t="shared" si="152"/>
        <v>86.38226293640173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15.543993778936137</v>
      </c>
      <c r="EB168" s="23">
        <f>EXP(-LN(2)/25)*EB167+(1-EXP(-LN(2)/25))/(LN(2)/25)*Calculateur!DW168*Calculateur!DY168*VLOOKUP('Données projet'!$B$14,Paramètres!$A$1:$I$88,3,0)*0.475*44/12</f>
        <v>0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15.543993778936137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-40</v>
      </c>
      <c r="O169" s="14">
        <f>N169*VLOOKUP('Données projet'!$B$9,Paramètres!$A$1:$I$88,3,0)*VLOOKUP('Données projet'!$B$9,Paramètres!$A$1:$I$88,5,0)</f>
        <v>-18.72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82.229723373996478</v>
      </c>
      <c r="T169" s="62">
        <f t="shared" si="142"/>
        <v>115.86489547584461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14.104843800763501</v>
      </c>
      <c r="AA169" s="23">
        <f>EXP(-LN(2)/25)*AA168+(1-EXP(-LN(2)/25))/(LN(2)/25)*Calculateur!V169*Calculateur!X169*VLOOKUP('Données projet'!$B$9,Paramètres!$A$1:$I$88,3,0)*0.475*44/12</f>
        <v>1.2551457844938987</v>
      </c>
      <c r="AB169" s="23">
        <f>EXP(-LN(2)/2)*AB168+(1-EXP(-LN(2)/2))/(LN(2)/2)*V169*Y169*VLOOKUP('Données projet'!$B$9,Paramètres!$A$1:$I$88,3,0)*0.475*44/12</f>
        <v>2.0786815228261863E-15</v>
      </c>
      <c r="AC169" s="24">
        <f t="shared" si="163"/>
        <v>15.3599895852574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262.78347246606825</v>
      </c>
      <c r="AO169" s="62">
        <f t="shared" si="144"/>
        <v>448.84541017639367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19.845179616470169</v>
      </c>
      <c r="AV169" s="23">
        <f>EXP(-LN(2)/25)*AV168+(1-EXP(-LN(2)/25))/(LN(2)/25)*Calculateur!AQ169*Calculateur!AS169*VLOOKUP('Données projet'!$B$10,Paramètres!$A$1:$I$88,3,0)*0.475*44/12</f>
        <v>2.0145529298056628</v>
      </c>
      <c r="AW169" s="23">
        <f>EXP(-LN(2)/2)*AW168+(1-EXP(-LN(2)/2))/(LN(2)/2)*AQ169*AT169*VLOOKUP('Données projet'!$B$10,Paramètres!$A$1:$I$88,3,0)*0.475*44/12</f>
        <v>2.2576026511650025E-17</v>
      </c>
      <c r="AX169" s="23">
        <f t="shared" si="166"/>
        <v>21.859732546275833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projet'!$B$11,Paramètres!$A$1:$I$88,3,0)*VLOOKUP('Données projet'!$B$11,Paramètres!$A$1:$I$88,5,0)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135.14998708332445</v>
      </c>
      <c r="BJ169" s="62">
        <f t="shared" si="146"/>
        <v>245.50083454484513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11.962767823341371</v>
      </c>
      <c r="BQ169" s="23">
        <f>EXP(-LN(2)/25)*BQ168+(1-EXP(-LN(2)/25))/(LN(2)/25)*Calculateur!BL169*Calculateur!BN169*VLOOKUP('Données projet'!$B$11,Paramètres!$A$1:$I$88,3,0)*0.475*44/12</f>
        <v>1.9377305428170306</v>
      </c>
      <c r="BR169" s="23">
        <f>EXP(-LN(2)/2)*BR168+(1-EXP(-LN(2)/2))/(LN(2)/2)*BL169*BO169*VLOOKUP('Données projet'!$B$11,Paramètres!$A$1:$I$88,3,0)*0.475*44/12</f>
        <v>5.8330712510095088E-17</v>
      </c>
      <c r="BS169" s="24">
        <f t="shared" si="169"/>
        <v>13.900498366158402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projet'!$B$12,Paramètres!$A$1:$I$88,3,0)*VLOOKUP('Données projet'!$B$12,Paramètres!$A$1:$I$88,5,0)</f>
        <v>6.7984728957526396E-14</v>
      </c>
      <c r="CA169" s="14">
        <f t="shared" si="170"/>
        <v>1.0682447123141398E-12</v>
      </c>
      <c r="CB169" s="22">
        <f t="shared" si="171"/>
        <v>1.978932943548152E-12</v>
      </c>
      <c r="CC169" s="62">
        <f t="shared" si="119"/>
        <v>293.3333333333353</v>
      </c>
      <c r="CD169" s="62">
        <f ca="1">AVERAGE(OFFSET($CC$3,0,0,'Données projet'!$E$12+1,1))-AVERAGE(OFFSET($H$3,0,0,'Données projet'!$E$12+1,1))</f>
        <v>168.16583766359378</v>
      </c>
      <c r="CE169" s="62">
        <f t="shared" si="148"/>
        <v>194.52809733694494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18.456080336588226</v>
      </c>
      <c r="CL169" s="23">
        <f>EXP(-LN(2)/25)*CL168+(1-EXP(-LN(2)/25))/(LN(2)/25)*Calculateur!CG169*Calculateur!CI169*VLOOKUP('Données projet'!$B$12,Paramètres!$A$1:$I$88,3,0)*0.475*44/12</f>
        <v>1.7822235395812469</v>
      </c>
      <c r="CM169" s="23">
        <f>EXP(-LN(2)/2)*CM168+(1-EXP(-LN(2)/2))/(LN(2)/2)*CG169*CJ169*VLOOKUP('Données projet'!$B$12,Paramètres!$A$1:$I$88,3,0)*0.475*44/12</f>
        <v>3.0232627519405971E-15</v>
      </c>
      <c r="CN169" s="24">
        <f t="shared" si="172"/>
        <v>20.238303876169475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projet'!$B$13,Paramètres!$A$1:$I$88,3,0)*VLOOKUP('Données projet'!$B$13,Paramètres!$A$1:$I$88,5,0)</f>
        <v>-4.9658410716801891E-14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146.09202487550647</v>
      </c>
      <c r="CZ169" s="62">
        <f t="shared" si="150"/>
        <v>168.58814676269344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12.682458997834798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12.682458997834798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1.7053025658242404E-13</v>
      </c>
      <c r="DP169" s="18">
        <f>DO169*VLOOKUP('Données projet'!$B$14,Paramètres!$A$1:$I$88,3,0)*VLOOKUP('Données projet'!$B$14,Paramètres!$A$1:$I$88,5,0)</f>
        <v>1.250327841262333E-13</v>
      </c>
      <c r="DQ169" s="14">
        <f t="shared" si="176"/>
        <v>1.8301318724634299E-12</v>
      </c>
      <c r="DR169" s="22">
        <f t="shared" si="177"/>
        <v>3.405245110226996E-12</v>
      </c>
      <c r="DS169" s="62">
        <f t="shared" si="125"/>
        <v>293.33333333333672</v>
      </c>
      <c r="DT169" s="62">
        <f ca="1">AVERAGE(OFFSET($DS$3,0,0,'Données projet'!$E$14+1,1))-AVERAGE(OFFSET($H$3,0,0,'Données projet'!$E$14+1,1))</f>
        <v>116.35584360635318</v>
      </c>
      <c r="DU169" s="62">
        <f t="shared" si="152"/>
        <v>86.38226293640173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15.239185541831244</v>
      </c>
      <c r="EB169" s="23">
        <f>EXP(-LN(2)/25)*EB168+(1-EXP(-LN(2)/25))/(LN(2)/25)*Calculateur!DW169*Calculateur!DY169*VLOOKUP('Données projet'!$B$14,Paramètres!$A$1:$I$88,3,0)*0.475*44/12</f>
        <v>0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15.239185541831244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-40</v>
      </c>
      <c r="O170" s="14">
        <f>N170*VLOOKUP('Données projet'!$B$9,Paramètres!$A$1:$I$88,3,0)*VLOOKUP('Données projet'!$B$9,Paramètres!$A$1:$I$88,5,0)</f>
        <v>-18.72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82.229723373996478</v>
      </c>
      <c r="T170" s="62">
        <f t="shared" si="142"/>
        <v>115.86489547584461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13.82825641693576</v>
      </c>
      <c r="AA170" s="23">
        <f>EXP(-LN(2)/25)*AA169+(1-EXP(-LN(2)/25))/(LN(2)/25)*Calculateur!V170*Calculateur!X170*VLOOKUP('Données projet'!$B$9,Paramètres!$A$1:$I$88,3,0)*0.475*44/12</f>
        <v>1.2208237570116649</v>
      </c>
      <c r="AB170" s="23">
        <f>EXP(-LN(2)/2)*AB169+(1-EXP(-LN(2)/2))/(LN(2)/2)*V170*Y170*VLOOKUP('Données projet'!$B$9,Paramètres!$A$1:$I$88,3,0)*0.475*44/12</f>
        <v>1.4698498007175755E-15</v>
      </c>
      <c r="AC170" s="24">
        <f t="shared" si="163"/>
        <v>15.049080173947427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262.78347246606825</v>
      </c>
      <c r="AO170" s="62">
        <f t="shared" si="144"/>
        <v>448.84541017639367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19.456027748555549</v>
      </c>
      <c r="AV170" s="23">
        <f>EXP(-LN(2)/25)*AV169+(1-EXP(-LN(2)/25))/(LN(2)/25)*Calculateur!AQ170*Calculateur!AS170*VLOOKUP('Données projet'!$B$10,Paramètres!$A$1:$I$88,3,0)*0.475*44/12</f>
        <v>1.9594648739993927</v>
      </c>
      <c r="AW170" s="23">
        <f>EXP(-LN(2)/2)*AW169+(1-EXP(-LN(2)/2))/(LN(2)/2)*AQ170*AT170*VLOOKUP('Données projet'!$B$10,Paramètres!$A$1:$I$88,3,0)*0.475*44/12</f>
        <v>1.596366143863501E-17</v>
      </c>
      <c r="AX170" s="23">
        <f t="shared" si="166"/>
        <v>21.415492622554943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projet'!$B$11,Paramètres!$A$1:$I$88,3,0)*VLOOKUP('Données projet'!$B$11,Paramètres!$A$1:$I$88,5,0)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135.14998708332445</v>
      </c>
      <c r="BJ170" s="62">
        <f t="shared" si="146"/>
        <v>245.50083454484513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11.728185242893543</v>
      </c>
      <c r="BQ170" s="23">
        <f>EXP(-LN(2)/25)*BQ169+(1-EXP(-LN(2)/25))/(LN(2)/25)*Calculateur!BL170*Calculateur!BN170*VLOOKUP('Données projet'!$B$11,Paramètres!$A$1:$I$88,3,0)*0.475*44/12</f>
        <v>1.8847431992228785</v>
      </c>
      <c r="BR170" s="23">
        <f>EXP(-LN(2)/2)*BR169+(1-EXP(-LN(2)/2))/(LN(2)/2)*BL170*BO170*VLOOKUP('Données projet'!$B$11,Paramètres!$A$1:$I$88,3,0)*0.475*44/12</f>
        <v>4.1246042367331218E-17</v>
      </c>
      <c r="BS170" s="24">
        <f t="shared" si="169"/>
        <v>13.612928442116422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projet'!$B$12,Paramètres!$A$1:$I$88,3,0)*VLOOKUP('Données projet'!$B$12,Paramètres!$A$1:$I$88,5,0)</f>
        <v>6.7984728957526396E-14</v>
      </c>
      <c r="CA170" s="14">
        <f t="shared" si="170"/>
        <v>1.0682447123141398E-12</v>
      </c>
      <c r="CB170" s="22">
        <f t="shared" si="171"/>
        <v>1.978932943548152E-12</v>
      </c>
      <c r="CC170" s="62">
        <f t="shared" si="119"/>
        <v>293.3333333333353</v>
      </c>
      <c r="CD170" s="62">
        <f ca="1">AVERAGE(OFFSET($CC$3,0,0,'Données projet'!$E$12+1,1))-AVERAGE(OFFSET($H$3,0,0,'Données projet'!$E$12+1,1))</f>
        <v>168.16583766359378</v>
      </c>
      <c r="CE170" s="62">
        <f t="shared" si="148"/>
        <v>194.52809733694494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18.094167858285189</v>
      </c>
      <c r="CL170" s="23">
        <f>EXP(-LN(2)/25)*CL169+(1-EXP(-LN(2)/25))/(LN(2)/25)*Calculateur!CG170*Calculateur!CI170*VLOOKUP('Données projet'!$B$12,Paramètres!$A$1:$I$88,3,0)*0.475*44/12</f>
        <v>1.7334885431683351</v>
      </c>
      <c r="CM170" s="23">
        <f>EXP(-LN(2)/2)*CM169+(1-EXP(-LN(2)/2))/(LN(2)/2)*CG170*CJ170*VLOOKUP('Données projet'!$B$12,Paramètres!$A$1:$I$88,3,0)*0.475*44/12</f>
        <v>2.1377695932058993E-15</v>
      </c>
      <c r="CN170" s="24">
        <f t="shared" si="172"/>
        <v>19.827656401453527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projet'!$B$13,Paramètres!$A$1:$I$88,3,0)*VLOOKUP('Données projet'!$B$13,Paramètres!$A$1:$I$88,5,0)</f>
        <v>-4.9658410716801891E-14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146.09202487550647</v>
      </c>
      <c r="CZ170" s="62">
        <f t="shared" si="150"/>
        <v>168.58814676269344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12.433763712423426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12.433763712423426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1.7053025658242404E-13</v>
      </c>
      <c r="DP170" s="18">
        <f>DO170*VLOOKUP('Données projet'!$B$14,Paramètres!$A$1:$I$88,3,0)*VLOOKUP('Données projet'!$B$14,Paramètres!$A$1:$I$88,5,0)</f>
        <v>1.250327841262333E-13</v>
      </c>
      <c r="DQ170" s="14">
        <f t="shared" si="176"/>
        <v>1.8301318724634299E-12</v>
      </c>
      <c r="DR170" s="22">
        <f t="shared" si="177"/>
        <v>3.405245110226996E-12</v>
      </c>
      <c r="DS170" s="62">
        <f t="shared" si="125"/>
        <v>293.33333333333672</v>
      </c>
      <c r="DT170" s="62">
        <f ca="1">AVERAGE(OFFSET($DS$3,0,0,'Données projet'!$E$14+1,1))-AVERAGE(OFFSET($H$3,0,0,'Données projet'!$E$14+1,1))</f>
        <v>116.35584360635318</v>
      </c>
      <c r="DU170" s="62">
        <f t="shared" si="152"/>
        <v>86.38226293640173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14.94035440834131</v>
      </c>
      <c r="EB170" s="23">
        <f>EXP(-LN(2)/25)*EB169+(1-EXP(-LN(2)/25))/(LN(2)/25)*Calculateur!DW170*Calculateur!DY170*VLOOKUP('Données projet'!$B$14,Paramètres!$A$1:$I$88,3,0)*0.475*44/12</f>
        <v>0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14.94035440834131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-40</v>
      </c>
      <c r="O171" s="14">
        <f>N171*VLOOKUP('Données projet'!$B$9,Paramètres!$A$1:$I$88,3,0)*VLOOKUP('Données projet'!$B$9,Paramètres!$A$1:$I$88,5,0)</f>
        <v>-18.72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82.229723373996478</v>
      </c>
      <c r="T171" s="62">
        <f t="shared" si="142"/>
        <v>115.86489547584461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13.557092743003237</v>
      </c>
      <c r="AA171" s="23">
        <f>EXP(-LN(2)/25)*AA170+(1-EXP(-LN(2)/25))/(LN(2)/25)*Calculateur!V171*Calculateur!X171*VLOOKUP('Données projet'!$B$9,Paramètres!$A$1:$I$88,3,0)*0.475*44/12</f>
        <v>1.1874402671758497</v>
      </c>
      <c r="AB171" s="23">
        <f>EXP(-LN(2)/2)*AB170+(1-EXP(-LN(2)/2))/(LN(2)/2)*V171*Y171*VLOOKUP('Données projet'!$B$9,Paramètres!$A$1:$I$88,3,0)*0.475*44/12</f>
        <v>1.0393407614130932E-15</v>
      </c>
      <c r="AC171" s="24">
        <f t="shared" si="163"/>
        <v>14.744533010179088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262.78347246606825</v>
      </c>
      <c r="AO171" s="62">
        <f t="shared" si="144"/>
        <v>448.84541017639367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19.074506911411532</v>
      </c>
      <c r="AV171" s="23">
        <f>EXP(-LN(2)/25)*AV170+(1-EXP(-LN(2)/25))/(LN(2)/25)*Calculateur!AQ171*Calculateur!AS171*VLOOKUP('Données projet'!$B$10,Paramètres!$A$1:$I$88,3,0)*0.475*44/12</f>
        <v>1.9058832039761</v>
      </c>
      <c r="AW171" s="23">
        <f>EXP(-LN(2)/2)*AW170+(1-EXP(-LN(2)/2))/(LN(2)/2)*AQ171*AT171*VLOOKUP('Données projet'!$B$10,Paramètres!$A$1:$I$88,3,0)*0.475*44/12</f>
        <v>1.1288013255825013E-17</v>
      </c>
      <c r="AX171" s="23">
        <f t="shared" si="166"/>
        <v>20.980390115387632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projet'!$B$11,Paramètres!$A$1:$I$88,3,0)*VLOOKUP('Données projet'!$B$11,Paramètres!$A$1:$I$88,5,0)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135.14998708332445</v>
      </c>
      <c r="BJ171" s="62">
        <f t="shared" si="146"/>
        <v>245.50083454484513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11.498202683767051</v>
      </c>
      <c r="BQ171" s="23">
        <f>EXP(-LN(2)/25)*BQ170+(1-EXP(-LN(2)/25))/(LN(2)/25)*Calculateur!BL171*Calculateur!BN171*VLOOKUP('Données projet'!$B$11,Paramètres!$A$1:$I$88,3,0)*0.475*44/12</f>
        <v>1.8332047973257917</v>
      </c>
      <c r="BR171" s="23">
        <f>EXP(-LN(2)/2)*BR170+(1-EXP(-LN(2)/2))/(LN(2)/2)*BL171*BO171*VLOOKUP('Données projet'!$B$11,Paramètres!$A$1:$I$88,3,0)*0.475*44/12</f>
        <v>2.9165356255047544E-17</v>
      </c>
      <c r="BS171" s="24">
        <f t="shared" si="169"/>
        <v>13.331407481092842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projet'!$B$12,Paramètres!$A$1:$I$88,3,0)*VLOOKUP('Données projet'!$B$12,Paramètres!$A$1:$I$88,5,0)</f>
        <v>6.7984728957526396E-14</v>
      </c>
      <c r="CA171" s="14">
        <f t="shared" si="170"/>
        <v>1.0682447123141398E-12</v>
      </c>
      <c r="CB171" s="22">
        <f t="shared" si="171"/>
        <v>1.978932943548152E-12</v>
      </c>
      <c r="CC171" s="62">
        <f t="shared" si="119"/>
        <v>293.3333333333353</v>
      </c>
      <c r="CD171" s="62">
        <f ca="1">AVERAGE(OFFSET($CC$3,0,0,'Données projet'!$E$12+1,1))-AVERAGE(OFFSET($H$3,0,0,'Données projet'!$E$12+1,1))</f>
        <v>168.16583766359378</v>
      </c>
      <c r="CE171" s="62">
        <f t="shared" si="148"/>
        <v>194.52809733694494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17.739352262936862</v>
      </c>
      <c r="CL171" s="23">
        <f>EXP(-LN(2)/25)*CL170+(1-EXP(-LN(2)/25))/(LN(2)/25)*Calculateur!CG171*Calculateur!CI171*VLOOKUP('Données projet'!$B$12,Paramètres!$A$1:$I$88,3,0)*0.475*44/12</f>
        <v>1.6860862077951964</v>
      </c>
      <c r="CM171" s="23">
        <f>EXP(-LN(2)/2)*CM170+(1-EXP(-LN(2)/2))/(LN(2)/2)*CG171*CJ171*VLOOKUP('Données projet'!$B$12,Paramètres!$A$1:$I$88,3,0)*0.475*44/12</f>
        <v>1.5116313759702985E-15</v>
      </c>
      <c r="CN171" s="24">
        <f t="shared" si="172"/>
        <v>19.425438470732058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projet'!$B$13,Paramètres!$A$1:$I$88,3,0)*VLOOKUP('Données projet'!$B$13,Paramètres!$A$1:$I$88,5,0)</f>
        <v>-4.9658410716801891E-14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146.09202487550647</v>
      </c>
      <c r="CZ171" s="62">
        <f t="shared" si="150"/>
        <v>168.58814676269344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12.189945189869825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12.189945189869825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1.7053025658242404E-13</v>
      </c>
      <c r="DP171" s="18">
        <f>DO171*VLOOKUP('Données projet'!$B$14,Paramètres!$A$1:$I$88,3,0)*VLOOKUP('Données projet'!$B$14,Paramètres!$A$1:$I$88,5,0)</f>
        <v>1.250327841262333E-13</v>
      </c>
      <c r="DQ171" s="14">
        <f t="shared" si="176"/>
        <v>1.8301318724634299E-12</v>
      </c>
      <c r="DR171" s="22">
        <f t="shared" si="177"/>
        <v>3.405245110226996E-12</v>
      </c>
      <c r="DS171" s="62">
        <f t="shared" si="125"/>
        <v>293.33333333333672</v>
      </c>
      <c r="DT171" s="62">
        <f ca="1">AVERAGE(OFFSET($DS$3,0,0,'Données projet'!$E$14+1,1))-AVERAGE(OFFSET($H$3,0,0,'Données projet'!$E$14+1,1))</f>
        <v>116.35584360635318</v>
      </c>
      <c r="DU171" s="62">
        <f t="shared" si="152"/>
        <v>86.38226293640173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14.647383171110119</v>
      </c>
      <c r="EB171" s="23">
        <f>EXP(-LN(2)/25)*EB170+(1-EXP(-LN(2)/25))/(LN(2)/25)*Calculateur!DW171*Calculateur!DY171*VLOOKUP('Données projet'!$B$14,Paramètres!$A$1:$I$88,3,0)*0.475*44/12</f>
        <v>0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14.647383171110119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-40</v>
      </c>
      <c r="O172" s="14">
        <f>N172*VLOOKUP('Données projet'!$B$9,Paramètres!$A$1:$I$88,3,0)*VLOOKUP('Données projet'!$B$9,Paramètres!$A$1:$I$88,5,0)</f>
        <v>-18.72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82.229723373996478</v>
      </c>
      <c r="T172" s="62">
        <f t="shared" si="142"/>
        <v>115.86489547584461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13.29124642332302</v>
      </c>
      <c r="AA172" s="23">
        <f>EXP(-LN(2)/25)*AA171+(1-EXP(-LN(2)/25))/(LN(2)/25)*Calculateur!V172*Calculateur!X172*VLOOKUP('Données projet'!$B$9,Paramètres!$A$1:$I$88,3,0)*0.475*44/12</f>
        <v>1.1549696506251563</v>
      </c>
      <c r="AB172" s="23">
        <f>EXP(-LN(2)/2)*AB171+(1-EXP(-LN(2)/2))/(LN(2)/2)*V172*Y172*VLOOKUP('Données projet'!$B$9,Paramètres!$A$1:$I$88,3,0)*0.475*44/12</f>
        <v>7.3492490035878777E-16</v>
      </c>
      <c r="AC172" s="24">
        <f t="shared" si="163"/>
        <v>14.446216073948177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262.78347246606825</v>
      </c>
      <c r="AO172" s="62">
        <f t="shared" si="144"/>
        <v>448.84541017639367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18.700467465179177</v>
      </c>
      <c r="AV172" s="23">
        <f>EXP(-LN(2)/25)*AV171+(1-EXP(-LN(2)/25))/(LN(2)/25)*Calculateur!AQ172*Calculateur!AS172*VLOOKUP('Données projet'!$B$10,Paramètres!$A$1:$I$88,3,0)*0.475*44/12</f>
        <v>1.8537667275373317</v>
      </c>
      <c r="AW172" s="23">
        <f>EXP(-LN(2)/2)*AW171+(1-EXP(-LN(2)/2))/(LN(2)/2)*AQ172*AT172*VLOOKUP('Données projet'!$B$10,Paramètres!$A$1:$I$88,3,0)*0.475*44/12</f>
        <v>7.9818307193175049E-18</v>
      </c>
      <c r="AX172" s="23">
        <f t="shared" si="166"/>
        <v>20.554234192716507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projet'!$B$11,Paramètres!$A$1:$I$88,3,0)*VLOOKUP('Données projet'!$B$11,Paramètres!$A$1:$I$88,5,0)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135.14998708332445</v>
      </c>
      <c r="BJ172" s="62">
        <f t="shared" si="146"/>
        <v>245.50083454484513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11.272729942349519</v>
      </c>
      <c r="BQ172" s="23">
        <f>EXP(-LN(2)/25)*BQ171+(1-EXP(-LN(2)/25))/(LN(2)/25)*Calculateur!BL172*Calculateur!BN172*VLOOKUP('Données projet'!$B$11,Paramètres!$A$1:$I$88,3,0)*0.475*44/12</f>
        <v>1.7830757157388675</v>
      </c>
      <c r="BR172" s="23">
        <f>EXP(-LN(2)/2)*BR171+(1-EXP(-LN(2)/2))/(LN(2)/2)*BL172*BO172*VLOOKUP('Données projet'!$B$11,Paramètres!$A$1:$I$88,3,0)*0.475*44/12</f>
        <v>2.0623021183665609E-17</v>
      </c>
      <c r="BS172" s="24">
        <f t="shared" si="169"/>
        <v>13.055805658088387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projet'!$B$12,Paramètres!$A$1:$I$88,3,0)*VLOOKUP('Données projet'!$B$12,Paramètres!$A$1:$I$88,5,0)</f>
        <v>6.7984728957526396E-14</v>
      </c>
      <c r="CA172" s="14">
        <f t="shared" si="170"/>
        <v>1.0682447123141398E-12</v>
      </c>
      <c r="CB172" s="22">
        <f t="shared" si="171"/>
        <v>1.978932943548152E-12</v>
      </c>
      <c r="CC172" s="62">
        <f t="shared" si="119"/>
        <v>293.3333333333353</v>
      </c>
      <c r="CD172" s="62">
        <f ca="1">AVERAGE(OFFSET($CC$3,0,0,'Données projet'!$E$12+1,1))-AVERAGE(OFFSET($H$3,0,0,'Données projet'!$E$12+1,1))</f>
        <v>168.16583766359378</v>
      </c>
      <c r="CE172" s="62">
        <f t="shared" si="148"/>
        <v>194.52809733694494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17.39149438499717</v>
      </c>
      <c r="CL172" s="23">
        <f>EXP(-LN(2)/25)*CL171+(1-EXP(-LN(2)/25))/(LN(2)/25)*Calculateur!CG172*Calculateur!CI172*VLOOKUP('Données projet'!$B$12,Paramètres!$A$1:$I$88,3,0)*0.475*44/12</f>
        <v>1.6399800917756167</v>
      </c>
      <c r="CM172" s="23">
        <f>EXP(-LN(2)/2)*CM171+(1-EXP(-LN(2)/2))/(LN(2)/2)*CG172*CJ172*VLOOKUP('Données projet'!$B$12,Paramètres!$A$1:$I$88,3,0)*0.475*44/12</f>
        <v>1.0688847966029496E-15</v>
      </c>
      <c r="CN172" s="24">
        <f t="shared" si="172"/>
        <v>19.031474476772786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projet'!$B$13,Paramètres!$A$1:$I$88,3,0)*VLOOKUP('Données projet'!$B$13,Paramètres!$A$1:$I$88,5,0)</f>
        <v>-4.9658410716801891E-14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146.09202487550647</v>
      </c>
      <c r="CZ172" s="62">
        <f t="shared" si="150"/>
        <v>168.58814676269344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11.950907799828885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11.950907799828885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1.7053025658242404E-13</v>
      </c>
      <c r="DP172" s="18">
        <f>DO172*VLOOKUP('Données projet'!$B$14,Paramètres!$A$1:$I$88,3,0)*VLOOKUP('Données projet'!$B$14,Paramètres!$A$1:$I$88,5,0)</f>
        <v>1.250327841262333E-13</v>
      </c>
      <c r="DQ172" s="14">
        <f t="shared" si="176"/>
        <v>1.8301318724634299E-12</v>
      </c>
      <c r="DR172" s="22">
        <f t="shared" si="177"/>
        <v>3.405245110226996E-12</v>
      </c>
      <c r="DS172" s="62">
        <f t="shared" si="125"/>
        <v>293.33333333333672</v>
      </c>
      <c r="DT172" s="62">
        <f ca="1">AVERAGE(OFFSET($DS$3,0,0,'Données projet'!$E$14+1,1))-AVERAGE(OFFSET($H$3,0,0,'Données projet'!$E$14+1,1))</f>
        <v>116.35584360635318</v>
      </c>
      <c r="DU172" s="62">
        <f t="shared" si="152"/>
        <v>86.38226293640173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14.360156921146222</v>
      </c>
      <c r="EB172" s="23">
        <f>EXP(-LN(2)/25)*EB171+(1-EXP(-LN(2)/25))/(LN(2)/25)*Calculateur!DW172*Calculateur!DY172*VLOOKUP('Données projet'!$B$14,Paramètres!$A$1:$I$88,3,0)*0.475*44/12</f>
        <v>0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14.360156921146222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-40</v>
      </c>
      <c r="O173" s="14">
        <f>N173*VLOOKUP('Données projet'!$B$9,Paramètres!$A$1:$I$88,3,0)*VLOOKUP('Données projet'!$B$9,Paramètres!$A$1:$I$88,5,0)</f>
        <v>-18.72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82.229723373996478</v>
      </c>
      <c r="T173" s="62">
        <f t="shared" si="142"/>
        <v>115.86489547584461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13.030613187821489</v>
      </c>
      <c r="AA173" s="23">
        <f>EXP(-LN(2)/25)*AA172+(1-EXP(-LN(2)/25))/(LN(2)/25)*Calculateur!V173*Calculateur!X173*VLOOKUP('Données projet'!$B$9,Paramètres!$A$1:$I$88,3,0)*0.475*44/12</f>
        <v>1.1233869447915972</v>
      </c>
      <c r="AB173" s="23">
        <f>EXP(-LN(2)/2)*AB172+(1-EXP(-LN(2)/2))/(LN(2)/2)*V173*Y173*VLOOKUP('Données projet'!$B$9,Paramètres!$A$1:$I$88,3,0)*0.475*44/12</f>
        <v>5.1967038070654658E-16</v>
      </c>
      <c r="AC173" s="24">
        <f t="shared" si="163"/>
        <v>14.154000132613087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262.78347246606825</v>
      </c>
      <c r="AO173" s="62">
        <f t="shared" si="144"/>
        <v>448.84541017639367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18.333762704345901</v>
      </c>
      <c r="AV173" s="23">
        <f>EXP(-LN(2)/25)*AV172+(1-EXP(-LN(2)/25))/(LN(2)/25)*Calculateur!AQ173*Calculateur!AS173*VLOOKUP('Données projet'!$B$10,Paramètres!$A$1:$I$88,3,0)*0.475*44/12</f>
        <v>1.803075378887468</v>
      </c>
      <c r="AW173" s="23">
        <f>EXP(-LN(2)/2)*AW172+(1-EXP(-LN(2)/2))/(LN(2)/2)*AQ173*AT173*VLOOKUP('Données projet'!$B$10,Paramètres!$A$1:$I$88,3,0)*0.475*44/12</f>
        <v>5.6440066279125063E-18</v>
      </c>
      <c r="AX173" s="23">
        <f t="shared" si="166"/>
        <v>20.136838083233368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projet'!$B$11,Paramètres!$A$1:$I$88,3,0)*VLOOKUP('Données projet'!$B$11,Paramètres!$A$1:$I$88,5,0)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135.14998708332445</v>
      </c>
      <c r="BJ173" s="62">
        <f t="shared" si="146"/>
        <v>245.50083454484513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11.051678583866392</v>
      </c>
      <c r="BQ173" s="23">
        <f>EXP(-LN(2)/25)*BQ172+(1-EXP(-LN(2)/25))/(LN(2)/25)*Calculateur!BL173*Calculateur!BN173*VLOOKUP('Données projet'!$B$11,Paramètres!$A$1:$I$88,3,0)*0.475*44/12</f>
        <v>1.7343174165241115</v>
      </c>
      <c r="BR173" s="23">
        <f>EXP(-LN(2)/2)*BR172+(1-EXP(-LN(2)/2))/(LN(2)/2)*BL173*BO173*VLOOKUP('Données projet'!$B$11,Paramètres!$A$1:$I$88,3,0)*0.475*44/12</f>
        <v>1.4582678127523772E-17</v>
      </c>
      <c r="BS173" s="24">
        <f t="shared" si="169"/>
        <v>12.785996000390504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projet'!$B$12,Paramètres!$A$1:$I$88,3,0)*VLOOKUP('Données projet'!$B$12,Paramètres!$A$1:$I$88,5,0)</f>
        <v>6.7984728957526396E-14</v>
      </c>
      <c r="CA173" s="14">
        <f t="shared" si="170"/>
        <v>1.0682447123141398E-12</v>
      </c>
      <c r="CB173" s="22">
        <f t="shared" si="171"/>
        <v>1.978932943548152E-12</v>
      </c>
      <c r="CC173" s="62">
        <f t="shared" si="119"/>
        <v>293.3333333333353</v>
      </c>
      <c r="CD173" s="62">
        <f ca="1">AVERAGE(OFFSET($CC$3,0,0,'Données projet'!$E$12+1,1))-AVERAGE(OFFSET($H$3,0,0,'Données projet'!$E$12+1,1))</f>
        <v>168.16583766359378</v>
      </c>
      <c r="CE173" s="62">
        <f t="shared" si="148"/>
        <v>194.52809733694494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17.050457787871519</v>
      </c>
      <c r="CL173" s="23">
        <f>EXP(-LN(2)/25)*CL172+(1-EXP(-LN(2)/25))/(LN(2)/25)*Calculateur!CG173*Calculateur!CI173*VLOOKUP('Données projet'!$B$12,Paramètres!$A$1:$I$88,3,0)*0.475*44/12</f>
        <v>1.5951347499232076</v>
      </c>
      <c r="CM173" s="23">
        <f>EXP(-LN(2)/2)*CM172+(1-EXP(-LN(2)/2))/(LN(2)/2)*CG173*CJ173*VLOOKUP('Données projet'!$B$12,Paramètres!$A$1:$I$88,3,0)*0.475*44/12</f>
        <v>7.5581568798514927E-16</v>
      </c>
      <c r="CN173" s="24">
        <f t="shared" si="172"/>
        <v>18.645592537794727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projet'!$B$13,Paramètres!$A$1:$I$88,3,0)*VLOOKUP('Données projet'!$B$13,Paramètres!$A$1:$I$88,5,0)</f>
        <v>-4.9658410716801891E-14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146.09202487550647</v>
      </c>
      <c r="CZ173" s="62">
        <f t="shared" si="150"/>
        <v>168.58814676269344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11.716557787208236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11.716557787208236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1.7053025658242404E-13</v>
      </c>
      <c r="DP173" s="18">
        <f>DO173*VLOOKUP('Données projet'!$B$14,Paramètres!$A$1:$I$88,3,0)*VLOOKUP('Données projet'!$B$14,Paramètres!$A$1:$I$88,5,0)</f>
        <v>1.250327841262333E-13</v>
      </c>
      <c r="DQ173" s="14">
        <f t="shared" si="176"/>
        <v>1.8301318724634299E-12</v>
      </c>
      <c r="DR173" s="22">
        <f t="shared" si="177"/>
        <v>3.405245110226996E-12</v>
      </c>
      <c r="DS173" s="62">
        <f t="shared" si="125"/>
        <v>293.33333333333672</v>
      </c>
      <c r="DT173" s="62">
        <f ca="1">AVERAGE(OFFSET($DS$3,0,0,'Données projet'!$E$14+1,1))-AVERAGE(OFFSET($H$3,0,0,'Données projet'!$E$14+1,1))</f>
        <v>116.35584360635318</v>
      </c>
      <c r="DU173" s="62">
        <f t="shared" si="152"/>
        <v>86.38226293640173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14.078563002753404</v>
      </c>
      <c r="EB173" s="23">
        <f>EXP(-LN(2)/25)*EB172+(1-EXP(-LN(2)/25))/(LN(2)/25)*Calculateur!DW173*Calculateur!DY173*VLOOKUP('Données projet'!$B$14,Paramètres!$A$1:$I$88,3,0)*0.475*44/12</f>
        <v>0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14.078563002753404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-40</v>
      </c>
      <c r="O174" s="14">
        <f>N174*VLOOKUP('Données projet'!$B$9,Paramètres!$A$1:$I$88,3,0)*VLOOKUP('Données projet'!$B$9,Paramètres!$A$1:$I$88,5,0)</f>
        <v>-18.72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82.229723373996478</v>
      </c>
      <c r="T174" s="62">
        <f t="shared" si="142"/>
        <v>115.86489547584461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12.775090811097565</v>
      </c>
      <c r="AA174" s="23">
        <f>EXP(-LN(2)/25)*AA173+(1-EXP(-LN(2)/25))/(LN(2)/25)*Calculateur!V174*Calculateur!X174*VLOOKUP('Données projet'!$B$9,Paramètres!$A$1:$I$88,3,0)*0.475*44/12</f>
        <v>1.092667869709919</v>
      </c>
      <c r="AB174" s="23">
        <f>EXP(-LN(2)/2)*AB173+(1-EXP(-LN(2)/2))/(LN(2)/2)*V174*Y174*VLOOKUP('Données projet'!$B$9,Paramètres!$A$1:$I$88,3,0)*0.475*44/12</f>
        <v>3.6746245017939388E-16</v>
      </c>
      <c r="AC174" s="24">
        <f t="shared" si="163"/>
        <v>13.867758680807484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262.78347246606825</v>
      </c>
      <c r="AO174" s="62">
        <f t="shared" si="144"/>
        <v>448.84541017639367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17.974248800204748</v>
      </c>
      <c r="AV174" s="23">
        <f>EXP(-LN(2)/25)*AV173+(1-EXP(-LN(2)/25))/(LN(2)/25)*Calculateur!AQ174*Calculateur!AS174*VLOOKUP('Données projet'!$B$10,Paramètres!$A$1:$I$88,3,0)*0.475*44/12</f>
        <v>1.753770187832177</v>
      </c>
      <c r="AW174" s="23">
        <f>EXP(-LN(2)/2)*AW173+(1-EXP(-LN(2)/2))/(LN(2)/2)*AQ174*AT174*VLOOKUP('Données projet'!$B$10,Paramètres!$A$1:$I$88,3,0)*0.475*44/12</f>
        <v>3.9909153596587524E-18</v>
      </c>
      <c r="AX174" s="23">
        <f t="shared" si="166"/>
        <v>19.728018988036926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projet'!$B$11,Paramètres!$A$1:$I$88,3,0)*VLOOKUP('Données projet'!$B$11,Paramètres!$A$1:$I$88,5,0)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135.14998708332445</v>
      </c>
      <c r="BJ174" s="62">
        <f t="shared" si="146"/>
        <v>245.50083454484513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10.834961907695105</v>
      </c>
      <c r="BQ174" s="23">
        <f>EXP(-LN(2)/25)*BQ173+(1-EXP(-LN(2)/25))/(LN(2)/25)*Calculateur!BL174*Calculateur!BN174*VLOOKUP('Données projet'!$B$11,Paramètres!$A$1:$I$88,3,0)*0.475*44/12</f>
        <v>1.6868924155654705</v>
      </c>
      <c r="BR174" s="23">
        <f>EXP(-LN(2)/2)*BR173+(1-EXP(-LN(2)/2))/(LN(2)/2)*BL174*BO174*VLOOKUP('Données projet'!$B$11,Paramètres!$A$1:$I$88,3,0)*0.475*44/12</f>
        <v>1.0311510591832804E-17</v>
      </c>
      <c r="BS174" s="24">
        <f t="shared" si="169"/>
        <v>12.521854323260575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projet'!$B$12,Paramètres!$A$1:$I$88,3,0)*VLOOKUP('Données projet'!$B$12,Paramètres!$A$1:$I$88,5,0)</f>
        <v>6.7984728957526396E-14</v>
      </c>
      <c r="CA174" s="14">
        <f t="shared" si="170"/>
        <v>1.0682447123141398E-12</v>
      </c>
      <c r="CB174" s="22">
        <f t="shared" si="171"/>
        <v>1.978932943548152E-12</v>
      </c>
      <c r="CC174" s="62">
        <f t="shared" si="119"/>
        <v>293.3333333333353</v>
      </c>
      <c r="CD174" s="62">
        <f ca="1">AVERAGE(OFFSET($CC$3,0,0,'Données projet'!$E$12+1,1))-AVERAGE(OFFSET($H$3,0,0,'Données projet'!$E$12+1,1))</f>
        <v>168.16583766359378</v>
      </c>
      <c r="CE174" s="62">
        <f t="shared" si="148"/>
        <v>194.52809733694494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16.71610871040372</v>
      </c>
      <c r="CL174" s="23">
        <f>EXP(-LN(2)/25)*CL173+(1-EXP(-LN(2)/25))/(LN(2)/25)*Calculateur!CG174*Calculateur!CI174*VLOOKUP('Données projet'!$B$12,Paramètres!$A$1:$I$88,3,0)*0.475*44/12</f>
        <v>1.5515157063020668</v>
      </c>
      <c r="CM174" s="23">
        <f>EXP(-LN(2)/2)*CM173+(1-EXP(-LN(2)/2))/(LN(2)/2)*CG174*CJ174*VLOOKUP('Données projet'!$B$12,Paramètres!$A$1:$I$88,3,0)*0.475*44/12</f>
        <v>5.3444239830147482E-16</v>
      </c>
      <c r="CN174" s="24">
        <f t="shared" si="172"/>
        <v>18.267624416705786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projet'!$B$13,Paramètres!$A$1:$I$88,3,0)*VLOOKUP('Données projet'!$B$13,Paramètres!$A$1:$I$88,5,0)</f>
        <v>-4.9658410716801891E-14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146.09202487550647</v>
      </c>
      <c r="CZ174" s="62">
        <f t="shared" si="150"/>
        <v>168.58814676269344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11.486803235395685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11.486803235395685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1.7053025658242404E-13</v>
      </c>
      <c r="DP174" s="18">
        <f>DO174*VLOOKUP('Données projet'!$B$14,Paramètres!$A$1:$I$88,3,0)*VLOOKUP('Données projet'!$B$14,Paramètres!$A$1:$I$88,5,0)</f>
        <v>1.250327841262333E-13</v>
      </c>
      <c r="DQ174" s="14">
        <f t="shared" si="176"/>
        <v>1.8301318724634299E-12</v>
      </c>
      <c r="DR174" s="22">
        <f t="shared" si="177"/>
        <v>3.405245110226996E-12</v>
      </c>
      <c r="DS174" s="62">
        <f t="shared" si="125"/>
        <v>293.33333333333672</v>
      </c>
      <c r="DT174" s="62">
        <f ca="1">AVERAGE(OFFSET($DS$3,0,0,'Données projet'!$E$14+1,1))-AVERAGE(OFFSET($H$3,0,0,'Données projet'!$E$14+1,1))</f>
        <v>116.35584360635318</v>
      </c>
      <c r="DU174" s="62">
        <f t="shared" si="152"/>
        <v>86.38226293640173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13.802490969344937</v>
      </c>
      <c r="EB174" s="23">
        <f>EXP(-LN(2)/25)*EB173+(1-EXP(-LN(2)/25))/(LN(2)/25)*Calculateur!DW174*Calculateur!DY174*VLOOKUP('Données projet'!$B$14,Paramètres!$A$1:$I$88,3,0)*0.475*44/12</f>
        <v>0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13.802490969344937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-40</v>
      </c>
      <c r="O175" s="14">
        <f>N175*VLOOKUP('Données projet'!$B$9,Paramètres!$A$1:$I$88,3,0)*VLOOKUP('Données projet'!$B$9,Paramètres!$A$1:$I$88,5,0)</f>
        <v>-18.72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82.229723373996478</v>
      </c>
      <c r="T175" s="62">
        <f t="shared" si="142"/>
        <v>115.86489547584461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12.524579072327937</v>
      </c>
      <c r="AA175" s="23">
        <f>EXP(-LN(2)/25)*AA174+(1-EXP(-LN(2)/25))/(LN(2)/25)*Calculateur!V175*Calculateur!X175*VLOOKUP('Données projet'!$B$9,Paramètres!$A$1:$I$88,3,0)*0.475*44/12</f>
        <v>1.0627888093517954</v>
      </c>
      <c r="AB175" s="23">
        <f>EXP(-LN(2)/2)*AB174+(1-EXP(-LN(2)/2))/(LN(2)/2)*V175*Y175*VLOOKUP('Données projet'!$B$9,Paramètres!$A$1:$I$88,3,0)*0.475*44/12</f>
        <v>2.5983519035327329E-16</v>
      </c>
      <c r="AC175" s="24">
        <f t="shared" si="163"/>
        <v>13.587367881679732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262.78347246606825</v>
      </c>
      <c r="AO175" s="62">
        <f t="shared" si="144"/>
        <v>448.84541017639367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17.621784744441975</v>
      </c>
      <c r="AV175" s="23">
        <f>EXP(-LN(2)/25)*AV174+(1-EXP(-LN(2)/25))/(LN(2)/25)*Calculateur!AQ175*Calculateur!AS175*VLOOKUP('Données projet'!$B$10,Paramètres!$A$1:$I$88,3,0)*0.475*44/12</f>
        <v>1.7058132498191403</v>
      </c>
      <c r="AW175" s="23">
        <f>EXP(-LN(2)/2)*AW174+(1-EXP(-LN(2)/2))/(LN(2)/2)*AQ175*AT175*VLOOKUP('Données projet'!$B$10,Paramètres!$A$1:$I$88,3,0)*0.475*44/12</f>
        <v>2.8220033139562531E-18</v>
      </c>
      <c r="AX175" s="23">
        <f t="shared" si="166"/>
        <v>19.327597994261115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projet'!$B$11,Paramètres!$A$1:$I$88,3,0)*VLOOKUP('Données projet'!$B$11,Paramètres!$A$1:$I$88,5,0)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135.14998708332445</v>
      </c>
      <c r="BJ175" s="62">
        <f t="shared" si="146"/>
        <v>245.50083454484513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10.622494913359414</v>
      </c>
      <c r="BQ175" s="23">
        <f>EXP(-LN(2)/25)*BQ174+(1-EXP(-LN(2)/25))/(LN(2)/25)*Calculateur!BL175*Calculateur!BN175*VLOOKUP('Données projet'!$B$11,Paramètres!$A$1:$I$88,3,0)*0.475*44/12</f>
        <v>1.640764253752016</v>
      </c>
      <c r="BR175" s="23">
        <f>EXP(-LN(2)/2)*BR174+(1-EXP(-LN(2)/2))/(LN(2)/2)*BL175*BO175*VLOOKUP('Données projet'!$B$11,Paramètres!$A$1:$I$88,3,0)*0.475*44/12</f>
        <v>7.291339063761886E-18</v>
      </c>
      <c r="BS175" s="24">
        <f t="shared" si="169"/>
        <v>12.26325916711143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projet'!$B$12,Paramètres!$A$1:$I$88,3,0)*VLOOKUP('Données projet'!$B$12,Paramètres!$A$1:$I$88,5,0)</f>
        <v>6.7984728957526396E-14</v>
      </c>
      <c r="CA175" s="14">
        <f t="shared" si="170"/>
        <v>1.0682447123141398E-12</v>
      </c>
      <c r="CB175" s="22">
        <f t="shared" si="171"/>
        <v>1.978932943548152E-12</v>
      </c>
      <c r="CC175" s="62">
        <f t="shared" si="119"/>
        <v>293.3333333333353</v>
      </c>
      <c r="CD175" s="62">
        <f ca="1">AVERAGE(OFFSET($CC$3,0,0,'Données projet'!$E$12+1,1))-AVERAGE(OFFSET($H$3,0,0,'Données projet'!$E$12+1,1))</f>
        <v>168.16583766359378</v>
      </c>
      <c r="CE175" s="62">
        <f t="shared" si="148"/>
        <v>194.52809733694494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16.388316014412261</v>
      </c>
      <c r="CL175" s="23">
        <f>EXP(-LN(2)/25)*CL174+(1-EXP(-LN(2)/25))/(LN(2)/25)*Calculateur!CG175*Calculateur!CI175*VLOOKUP('Données projet'!$B$12,Paramètres!$A$1:$I$88,3,0)*0.475*44/12</f>
        <v>1.5090894277225719</v>
      </c>
      <c r="CM175" s="23">
        <f>EXP(-LN(2)/2)*CM174+(1-EXP(-LN(2)/2))/(LN(2)/2)*CG175*CJ175*VLOOKUP('Données projet'!$B$12,Paramètres!$A$1:$I$88,3,0)*0.475*44/12</f>
        <v>3.7790784399257463E-16</v>
      </c>
      <c r="CN175" s="24">
        <f t="shared" si="172"/>
        <v>17.897405442134833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projet'!$B$13,Paramètres!$A$1:$I$88,3,0)*VLOOKUP('Données projet'!$B$13,Paramètres!$A$1:$I$88,5,0)</f>
        <v>-4.9658410716801891E-14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146.09202487550647</v>
      </c>
      <c r="CZ175" s="62">
        <f t="shared" si="150"/>
        <v>168.58814676269344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11.261554030207739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11.261554030207739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1.7053025658242404E-13</v>
      </c>
      <c r="DP175" s="18">
        <f>DO175*VLOOKUP('Données projet'!$B$14,Paramètres!$A$1:$I$88,3,0)*VLOOKUP('Données projet'!$B$14,Paramètres!$A$1:$I$88,5,0)</f>
        <v>1.250327841262333E-13</v>
      </c>
      <c r="DQ175" s="14">
        <f t="shared" si="176"/>
        <v>1.8301318724634299E-12</v>
      </c>
      <c r="DR175" s="22">
        <f t="shared" si="177"/>
        <v>3.405245110226996E-12</v>
      </c>
      <c r="DS175" s="62">
        <f t="shared" si="125"/>
        <v>293.33333333333672</v>
      </c>
      <c r="DT175" s="62">
        <f ca="1">AVERAGE(OFFSET($DS$3,0,0,'Données projet'!$E$14+1,1))-AVERAGE(OFFSET($H$3,0,0,'Données projet'!$E$14+1,1))</f>
        <v>116.35584360635318</v>
      </c>
      <c r="DU175" s="62">
        <f t="shared" si="152"/>
        <v>86.38226293640173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13.531832540124299</v>
      </c>
      <c r="EB175" s="23">
        <f>EXP(-LN(2)/25)*EB174+(1-EXP(-LN(2)/25))/(LN(2)/25)*Calculateur!DW175*Calculateur!DY175*VLOOKUP('Données projet'!$B$14,Paramètres!$A$1:$I$88,3,0)*0.475*44/12</f>
        <v>0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13.531832540124299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-40</v>
      </c>
      <c r="O176" s="14">
        <f>N176*VLOOKUP('Données projet'!$B$9,Paramètres!$A$1:$I$88,3,0)*VLOOKUP('Données projet'!$B$9,Paramètres!$A$1:$I$88,5,0)</f>
        <v>-18.72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82.229723373996478</v>
      </c>
      <c r="T176" s="62">
        <f t="shared" si="142"/>
        <v>115.86489547584461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12.278979715958508</v>
      </c>
      <c r="AA176" s="23">
        <f>EXP(-LN(2)/25)*AA175+(1-EXP(-LN(2)/25))/(LN(2)/25)*Calculateur!V176*Calculateur!X176*VLOOKUP('Données projet'!$B$9,Paramètres!$A$1:$I$88,3,0)*0.475*44/12</f>
        <v>1.0337267934704362</v>
      </c>
      <c r="AB176" s="23">
        <f>EXP(-LN(2)/2)*AB175+(1-EXP(-LN(2)/2))/(LN(2)/2)*V176*Y176*VLOOKUP('Données projet'!$B$9,Paramètres!$A$1:$I$88,3,0)*0.475*44/12</f>
        <v>1.8373122508969694E-16</v>
      </c>
      <c r="AC176" s="24">
        <f t="shared" si="163"/>
        <v>13.312706509428944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262.78347246606825</v>
      </c>
      <c r="AO176" s="62">
        <f t="shared" si="144"/>
        <v>448.84541017639367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17.276232293830862</v>
      </c>
      <c r="AV176" s="23">
        <f>EXP(-LN(2)/25)*AV175+(1-EXP(-LN(2)/25))/(LN(2)/25)*Calculateur!AQ176*Calculateur!AS176*VLOOKUP('Données projet'!$B$10,Paramètres!$A$1:$I$88,3,0)*0.475*44/12</f>
        <v>1.6591676967980158</v>
      </c>
      <c r="AW176" s="23">
        <f>EXP(-LN(2)/2)*AW175+(1-EXP(-LN(2)/2))/(LN(2)/2)*AQ176*AT176*VLOOKUP('Données projet'!$B$10,Paramètres!$A$1:$I$88,3,0)*0.475*44/12</f>
        <v>1.9954576798293762E-18</v>
      </c>
      <c r="AX176" s="23">
        <f t="shared" si="166"/>
        <v>18.935399990628877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projet'!$B$11,Paramètres!$A$1:$I$88,3,0)*VLOOKUP('Données projet'!$B$11,Paramètres!$A$1:$I$88,5,0)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135.14998708332445</v>
      </c>
      <c r="BJ176" s="62">
        <f t="shared" si="146"/>
        <v>245.50083454484513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10.414194267190577</v>
      </c>
      <c r="BQ176" s="23">
        <f>EXP(-LN(2)/25)*BQ175+(1-EXP(-LN(2)/25))/(LN(2)/25)*Calculateur!BL176*Calculateur!BN176*VLOOKUP('Données projet'!$B$11,Paramètres!$A$1:$I$88,3,0)*0.475*44/12</f>
        <v>1.595897468949125</v>
      </c>
      <c r="BR176" s="23">
        <f>EXP(-LN(2)/2)*BR175+(1-EXP(-LN(2)/2))/(LN(2)/2)*BL176*BO176*VLOOKUP('Données projet'!$B$11,Paramètres!$A$1:$I$88,3,0)*0.475*44/12</f>
        <v>5.1557552959164022E-18</v>
      </c>
      <c r="BS176" s="24">
        <f t="shared" si="169"/>
        <v>12.010091736139703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projet'!$B$12,Paramètres!$A$1:$I$88,3,0)*VLOOKUP('Données projet'!$B$12,Paramètres!$A$1:$I$88,5,0)</f>
        <v>6.7984728957526396E-14</v>
      </c>
      <c r="CA176" s="14">
        <f t="shared" si="170"/>
        <v>1.0682447123141398E-12</v>
      </c>
      <c r="CB176" s="22">
        <f t="shared" si="171"/>
        <v>1.978932943548152E-12</v>
      </c>
      <c r="CC176" s="62">
        <f t="shared" si="119"/>
        <v>293.3333333333353</v>
      </c>
      <c r="CD176" s="62">
        <f ca="1">AVERAGE(OFFSET($CC$3,0,0,'Données projet'!$E$12+1,1))-AVERAGE(OFFSET($H$3,0,0,'Données projet'!$E$12+1,1))</f>
        <v>168.16583766359378</v>
      </c>
      <c r="CE176" s="62">
        <f t="shared" si="148"/>
        <v>194.52809733694494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16.066951133255394</v>
      </c>
      <c r="CL176" s="23">
        <f>EXP(-LN(2)/25)*CL175+(1-EXP(-LN(2)/25))/(LN(2)/25)*Calculateur!CG176*Calculateur!CI176*VLOOKUP('Données projet'!$B$12,Paramètres!$A$1:$I$88,3,0)*0.475*44/12</f>
        <v>1.4678232979619343</v>
      </c>
      <c r="CM176" s="23">
        <f>EXP(-LN(2)/2)*CM175+(1-EXP(-LN(2)/2))/(LN(2)/2)*CG176*CJ176*VLOOKUP('Données projet'!$B$12,Paramètres!$A$1:$I$88,3,0)*0.475*44/12</f>
        <v>2.6722119915073741E-16</v>
      </c>
      <c r="CN176" s="24">
        <f t="shared" si="172"/>
        <v>17.534774431217329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projet'!$B$13,Paramètres!$A$1:$I$88,3,0)*VLOOKUP('Données projet'!$B$13,Paramètres!$A$1:$I$88,5,0)</f>
        <v>-4.9658410716801891E-14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146.09202487550647</v>
      </c>
      <c r="CZ176" s="62">
        <f t="shared" si="150"/>
        <v>168.58814676269344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11.040721824545079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11.040721824545079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1.7053025658242404E-13</v>
      </c>
      <c r="DP176" s="18">
        <f>DO176*VLOOKUP('Données projet'!$B$14,Paramètres!$A$1:$I$88,3,0)*VLOOKUP('Données projet'!$B$14,Paramètres!$A$1:$I$88,5,0)</f>
        <v>1.250327841262333E-13</v>
      </c>
      <c r="DQ176" s="14">
        <f t="shared" si="176"/>
        <v>1.8301318724634299E-12</v>
      </c>
      <c r="DR176" s="22">
        <f t="shared" si="177"/>
        <v>3.405245110226996E-12</v>
      </c>
      <c r="DS176" s="62">
        <f t="shared" si="125"/>
        <v>293.33333333333672</v>
      </c>
      <c r="DT176" s="62">
        <f ca="1">AVERAGE(OFFSET($DS$3,0,0,'Données projet'!$E$14+1,1))-AVERAGE(OFFSET($H$3,0,0,'Données projet'!$E$14+1,1))</f>
        <v>116.35584360635318</v>
      </c>
      <c r="DU176" s="62">
        <f t="shared" si="152"/>
        <v>86.38226293640173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13.266481557615336</v>
      </c>
      <c r="EB176" s="23">
        <f>EXP(-LN(2)/25)*EB175+(1-EXP(-LN(2)/25))/(LN(2)/25)*Calculateur!DW176*Calculateur!DY176*VLOOKUP('Données projet'!$B$14,Paramètres!$A$1:$I$88,3,0)*0.475*44/12</f>
        <v>0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13.266481557615336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-40</v>
      </c>
      <c r="O177" s="14">
        <f>N177*VLOOKUP('Données projet'!$B$9,Paramètres!$A$1:$I$88,3,0)*VLOOKUP('Données projet'!$B$9,Paramètres!$A$1:$I$88,5,0)</f>
        <v>-18.72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82.229723373996478</v>
      </c>
      <c r="T177" s="62">
        <f t="shared" si="142"/>
        <v>115.86489547584461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12.038196413166668</v>
      </c>
      <c r="AA177" s="23">
        <f>EXP(-LN(2)/25)*AA176+(1-EXP(-LN(2)/25))/(LN(2)/25)*Calculateur!V177*Calculateur!X177*VLOOKUP('Données projet'!$B$9,Paramètres!$A$1:$I$88,3,0)*0.475*44/12</f>
        <v>1.0054594799416576</v>
      </c>
      <c r="AB177" s="23">
        <f>EXP(-LN(2)/2)*AB176+(1-EXP(-LN(2)/2))/(LN(2)/2)*V177*Y177*VLOOKUP('Données projet'!$B$9,Paramètres!$A$1:$I$88,3,0)*0.475*44/12</f>
        <v>1.2991759517663664E-16</v>
      </c>
      <c r="AC177" s="24">
        <f t="shared" si="163"/>
        <v>13.043655893108326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262.78347246606825</v>
      </c>
      <c r="AO177" s="62">
        <f t="shared" si="144"/>
        <v>448.84541017639367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16.937455916010052</v>
      </c>
      <c r="AV177" s="23">
        <f>EXP(-LN(2)/25)*AV176+(1-EXP(-LN(2)/25))/(LN(2)/25)*Calculateur!AQ177*Calculateur!AS177*VLOOKUP('Données projet'!$B$10,Paramètres!$A$1:$I$88,3,0)*0.475*44/12</f>
        <v>1.6137976688772369</v>
      </c>
      <c r="AW177" s="23">
        <f>EXP(-LN(2)/2)*AW176+(1-EXP(-LN(2)/2))/(LN(2)/2)*AQ177*AT177*VLOOKUP('Données projet'!$B$10,Paramètres!$A$1:$I$88,3,0)*0.475*44/12</f>
        <v>1.4110016569781266E-18</v>
      </c>
      <c r="AX177" s="23">
        <f t="shared" si="166"/>
        <v>18.551253584887288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projet'!$B$11,Paramètres!$A$1:$I$88,3,0)*VLOOKUP('Données projet'!$B$11,Paramètres!$A$1:$I$88,5,0)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135.14998708332445</v>
      </c>
      <c r="BJ177" s="62">
        <f t="shared" si="146"/>
        <v>245.50083454484513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10.209978269642262</v>
      </c>
      <c r="BQ177" s="23">
        <f>EXP(-LN(2)/25)*BQ176+(1-EXP(-LN(2)/25))/(LN(2)/25)*Calculateur!BL177*Calculateur!BN177*VLOOKUP('Données projet'!$B$11,Paramètres!$A$1:$I$88,3,0)*0.475*44/12</f>
        <v>1.5522575687361106</v>
      </c>
      <c r="BR177" s="23">
        <f>EXP(-LN(2)/2)*BR176+(1-EXP(-LN(2)/2))/(LN(2)/2)*BL177*BO177*VLOOKUP('Données projet'!$B$11,Paramètres!$A$1:$I$88,3,0)*0.475*44/12</f>
        <v>3.645669531880943E-18</v>
      </c>
      <c r="BS177" s="24">
        <f t="shared" si="169"/>
        <v>11.762235838378373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projet'!$B$12,Paramètres!$A$1:$I$88,3,0)*VLOOKUP('Données projet'!$B$12,Paramètres!$A$1:$I$88,5,0)</f>
        <v>6.7984728957526396E-14</v>
      </c>
      <c r="CA177" s="14">
        <f t="shared" si="170"/>
        <v>1.0682447123141398E-12</v>
      </c>
      <c r="CB177" s="22">
        <f t="shared" si="171"/>
        <v>1.978932943548152E-12</v>
      </c>
      <c r="CC177" s="62">
        <f t="shared" si="119"/>
        <v>293.3333333333353</v>
      </c>
      <c r="CD177" s="62">
        <f ca="1">AVERAGE(OFFSET($CC$3,0,0,'Données projet'!$E$12+1,1))-AVERAGE(OFFSET($H$3,0,0,'Données projet'!$E$12+1,1))</f>
        <v>168.16583766359378</v>
      </c>
      <c r="CE177" s="62">
        <f t="shared" si="148"/>
        <v>194.52809733694494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15.75188802140479</v>
      </c>
      <c r="CL177" s="23">
        <f>EXP(-LN(2)/25)*CL176+(1-EXP(-LN(2)/25))/(LN(2)/25)*Calculateur!CG177*Calculateur!CI177*VLOOKUP('Données projet'!$B$12,Paramètres!$A$1:$I$88,3,0)*0.475*44/12</f>
        <v>1.4276855926896928</v>
      </c>
      <c r="CM177" s="23">
        <f>EXP(-LN(2)/2)*CM176+(1-EXP(-LN(2)/2))/(LN(2)/2)*CG177*CJ177*VLOOKUP('Données projet'!$B$12,Paramètres!$A$1:$I$88,3,0)*0.475*44/12</f>
        <v>1.8895392199628732E-16</v>
      </c>
      <c r="CN177" s="24">
        <f t="shared" si="172"/>
        <v>17.179573614094483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projet'!$B$13,Paramètres!$A$1:$I$88,3,0)*VLOOKUP('Données projet'!$B$13,Paramètres!$A$1:$I$88,5,0)</f>
        <v>-4.9658410716801891E-14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146.09202487550647</v>
      </c>
      <c r="CZ177" s="62">
        <f t="shared" si="150"/>
        <v>168.58814676269344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10.824220003741118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10.824220003741118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1.7053025658242404E-13</v>
      </c>
      <c r="DP177" s="18">
        <f>DO177*VLOOKUP('Données projet'!$B$14,Paramètres!$A$1:$I$88,3,0)*VLOOKUP('Données projet'!$B$14,Paramètres!$A$1:$I$88,5,0)</f>
        <v>1.250327841262333E-13</v>
      </c>
      <c r="DQ177" s="14">
        <f t="shared" si="176"/>
        <v>1.8301318724634299E-12</v>
      </c>
      <c r="DR177" s="22">
        <f t="shared" si="177"/>
        <v>3.405245110226996E-12</v>
      </c>
      <c r="DS177" s="62">
        <f t="shared" si="125"/>
        <v>293.33333333333672</v>
      </c>
      <c r="DT177" s="62">
        <f ca="1">AVERAGE(OFFSET($DS$3,0,0,'Données projet'!$E$14+1,1))-AVERAGE(OFFSET($H$3,0,0,'Données projet'!$E$14+1,1))</f>
        <v>116.35584360635318</v>
      </c>
      <c r="DU177" s="62">
        <f t="shared" si="152"/>
        <v>86.38226293640173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13.006333946025254</v>
      </c>
      <c r="EB177" s="23">
        <f>EXP(-LN(2)/25)*EB176+(1-EXP(-LN(2)/25))/(LN(2)/25)*Calculateur!DW177*Calculateur!DY177*VLOOKUP('Données projet'!$B$14,Paramètres!$A$1:$I$88,3,0)*0.475*44/12</f>
        <v>0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13.006333946025254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-40</v>
      </c>
      <c r="O178" s="14">
        <f>N178*VLOOKUP('Données projet'!$B$9,Paramètres!$A$1:$I$88,3,0)*VLOOKUP('Données projet'!$B$9,Paramètres!$A$1:$I$88,5,0)</f>
        <v>-18.72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82.229723373996478</v>
      </c>
      <c r="T178" s="62">
        <f t="shared" si="142"/>
        <v>115.86489547584461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11.802134724079263</v>
      </c>
      <c r="AA178" s="23">
        <f>EXP(-LN(2)/25)*AA177+(1-EXP(-LN(2)/25))/(LN(2)/25)*Calculateur!V178*Calculateur!X178*VLOOKUP('Données projet'!$B$9,Paramètres!$A$1:$I$88,3,0)*0.475*44/12</f>
        <v>0.97796513758783699</v>
      </c>
      <c r="AB178" s="23">
        <f>EXP(-LN(2)/2)*AB177+(1-EXP(-LN(2)/2))/(LN(2)/2)*V178*Y178*VLOOKUP('Données projet'!$B$9,Paramètres!$A$1:$I$88,3,0)*0.475*44/12</f>
        <v>9.1865612544848471E-17</v>
      </c>
      <c r="AC178" s="24">
        <f t="shared" si="163"/>
        <v>12.7800998616671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262.78347246606825</v>
      </c>
      <c r="AO178" s="62">
        <f t="shared" si="144"/>
        <v>448.84541017639367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16.605322736325117</v>
      </c>
      <c r="AV178" s="23">
        <f>EXP(-LN(2)/25)*AV177+(1-EXP(-LN(2)/25))/(LN(2)/25)*Calculateur!AQ178*Calculateur!AS178*VLOOKUP('Données projet'!$B$10,Paramètres!$A$1:$I$88,3,0)*0.475*44/12</f>
        <v>1.5696682867558578</v>
      </c>
      <c r="AW178" s="23">
        <f>EXP(-LN(2)/2)*AW177+(1-EXP(-LN(2)/2))/(LN(2)/2)*AQ178*AT178*VLOOKUP('Données projet'!$B$10,Paramètres!$A$1:$I$88,3,0)*0.475*44/12</f>
        <v>9.9772883991468811E-19</v>
      </c>
      <c r="AX178" s="23">
        <f t="shared" si="166"/>
        <v>18.174991023080974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projet'!$B$11,Paramètres!$A$1:$I$88,3,0)*VLOOKUP('Données projet'!$B$11,Paramètres!$A$1:$I$88,5,0)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135.14998708332445</v>
      </c>
      <c r="BJ178" s="62">
        <f t="shared" si="146"/>
        <v>245.50083454484513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10.009766823246411</v>
      </c>
      <c r="BQ178" s="23">
        <f>EXP(-LN(2)/25)*BQ177+(1-EXP(-LN(2)/25))/(LN(2)/25)*Calculateur!BL178*Calculateur!BN178*VLOOKUP('Données projet'!$B$11,Paramètres!$A$1:$I$88,3,0)*0.475*44/12</f>
        <v>1.509811003889344</v>
      </c>
      <c r="BR178" s="23">
        <f>EXP(-LN(2)/2)*BR177+(1-EXP(-LN(2)/2))/(LN(2)/2)*BL178*BO178*VLOOKUP('Données projet'!$B$11,Paramètres!$A$1:$I$88,3,0)*0.475*44/12</f>
        <v>2.5778776479582011E-18</v>
      </c>
      <c r="BS178" s="24">
        <f t="shared" si="169"/>
        <v>11.519577827135755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projet'!$B$12,Paramètres!$A$1:$I$88,3,0)*VLOOKUP('Données projet'!$B$12,Paramètres!$A$1:$I$88,5,0)</f>
        <v>6.7984728957526396E-14</v>
      </c>
      <c r="CA178" s="14">
        <f t="shared" si="170"/>
        <v>1.0682447123141398E-12</v>
      </c>
      <c r="CB178" s="22">
        <f t="shared" si="171"/>
        <v>1.978932943548152E-12</v>
      </c>
      <c r="CC178" s="62">
        <f t="shared" si="119"/>
        <v>293.3333333333353</v>
      </c>
      <c r="CD178" s="62">
        <f ca="1">AVERAGE(OFFSET($CC$3,0,0,'Données projet'!$E$12+1,1))-AVERAGE(OFFSET($H$3,0,0,'Données projet'!$E$12+1,1))</f>
        <v>168.16583766359378</v>
      </c>
      <c r="CE178" s="62">
        <f t="shared" si="148"/>
        <v>194.52809733694494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15.443003105008053</v>
      </c>
      <c r="CL178" s="23">
        <f>EXP(-LN(2)/25)*CL177+(1-EXP(-LN(2)/25))/(LN(2)/25)*Calculateur!CG178*Calculateur!CI178*VLOOKUP('Données projet'!$B$12,Paramètres!$A$1:$I$88,3,0)*0.475*44/12</f>
        <v>1.3886454550788707</v>
      </c>
      <c r="CM178" s="23">
        <f>EXP(-LN(2)/2)*CM177+(1-EXP(-LN(2)/2))/(LN(2)/2)*CG178*CJ178*VLOOKUP('Données projet'!$B$12,Paramètres!$A$1:$I$88,3,0)*0.475*44/12</f>
        <v>1.336105995753687E-16</v>
      </c>
      <c r="CN178" s="24">
        <f t="shared" si="172"/>
        <v>16.831648560086922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projet'!$B$13,Paramètres!$A$1:$I$88,3,0)*VLOOKUP('Données projet'!$B$13,Paramètres!$A$1:$I$88,5,0)</f>
        <v>-4.9658410716801891E-14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146.09202487550647</v>
      </c>
      <c r="CZ178" s="62">
        <f t="shared" si="150"/>
        <v>168.58814676269344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10.611963651590052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10.611963651590052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1.7053025658242404E-13</v>
      </c>
      <c r="DP178" s="18">
        <f>DO178*VLOOKUP('Données projet'!$B$14,Paramètres!$A$1:$I$88,3,0)*VLOOKUP('Données projet'!$B$14,Paramètres!$A$1:$I$88,5,0)</f>
        <v>1.250327841262333E-13</v>
      </c>
      <c r="DQ178" s="14">
        <f t="shared" si="176"/>
        <v>1.8301318724634299E-12</v>
      </c>
      <c r="DR178" s="22">
        <f t="shared" si="177"/>
        <v>3.405245110226996E-12</v>
      </c>
      <c r="DS178" s="62">
        <f t="shared" si="125"/>
        <v>293.33333333333672</v>
      </c>
      <c r="DT178" s="62">
        <f ca="1">AVERAGE(OFFSET($DS$3,0,0,'Données projet'!$E$14+1,1))-AVERAGE(OFFSET($H$3,0,0,'Données projet'!$E$14+1,1))</f>
        <v>116.35584360635318</v>
      </c>
      <c r="DU178" s="62">
        <f t="shared" si="152"/>
        <v>86.38226293640173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12.75128767042408</v>
      </c>
      <c r="EB178" s="23">
        <f>EXP(-LN(2)/25)*EB177+(1-EXP(-LN(2)/25))/(LN(2)/25)*Calculateur!DW178*Calculateur!DY178*VLOOKUP('Données projet'!$B$14,Paramètres!$A$1:$I$88,3,0)*0.475*44/12</f>
        <v>0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12.75128767042408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-40</v>
      </c>
      <c r="O179" s="14">
        <f>N179*VLOOKUP('Données projet'!$B$9,Paramètres!$A$1:$I$88,3,0)*VLOOKUP('Données projet'!$B$9,Paramètres!$A$1:$I$88,5,0)</f>
        <v>-18.72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82.229723373996478</v>
      </c>
      <c r="T179" s="62">
        <f t="shared" si="142"/>
        <v>115.86489547584461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11.570702060731449</v>
      </c>
      <c r="AA179" s="23">
        <f>EXP(-LN(2)/25)*AA178+(1-EXP(-LN(2)/25))/(LN(2)/25)*Calculateur!V179*Calculateur!X179*VLOOKUP('Données projet'!$B$9,Paramètres!$A$1:$I$88,3,0)*0.475*44/12</f>
        <v>0.95122262947154612</v>
      </c>
      <c r="AB179" s="23">
        <f>EXP(-LN(2)/2)*AB178+(1-EXP(-LN(2)/2))/(LN(2)/2)*V179*Y179*VLOOKUP('Données projet'!$B$9,Paramètres!$A$1:$I$88,3,0)*0.475*44/12</f>
        <v>6.4958797588318322E-17</v>
      </c>
      <c r="AC179" s="24">
        <f t="shared" si="163"/>
        <v>12.521924690202995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262.78347246606825</v>
      </c>
      <c r="AO179" s="62">
        <f t="shared" si="144"/>
        <v>448.84541017639367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16.279702485712569</v>
      </c>
      <c r="AV179" s="23">
        <f>EXP(-LN(2)/25)*AV178+(1-EXP(-LN(2)/25))/(LN(2)/25)*Calculateur!AQ179*Calculateur!AS179*VLOOKUP('Données projet'!$B$10,Paramètres!$A$1:$I$88,3,0)*0.475*44/12</f>
        <v>1.5267456249092513</v>
      </c>
      <c r="AW179" s="23">
        <f>EXP(-LN(2)/2)*AW178+(1-EXP(-LN(2)/2))/(LN(2)/2)*AQ179*AT179*VLOOKUP('Données projet'!$B$10,Paramètres!$A$1:$I$88,3,0)*0.475*44/12</f>
        <v>7.0550082848906328E-19</v>
      </c>
      <c r="AX179" s="23">
        <f t="shared" si="166"/>
        <v>17.806448110621819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projet'!$B$11,Paramètres!$A$1:$I$88,3,0)*VLOOKUP('Données projet'!$B$11,Paramètres!$A$1:$I$88,5,0)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135.14998708332445</v>
      </c>
      <c r="BJ179" s="62">
        <f t="shared" si="146"/>
        <v>245.50083454484513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9.8134814011974569</v>
      </c>
      <c r="BQ179" s="23">
        <f>EXP(-LN(2)/25)*BQ178+(1-EXP(-LN(2)/25))/(LN(2)/25)*Calculateur!BL179*Calculateur!BN179*VLOOKUP('Données projet'!$B$11,Paramètres!$A$1:$I$88,3,0)*0.475*44/12</f>
        <v>1.4685251425904799</v>
      </c>
      <c r="BR179" s="23">
        <f>EXP(-LN(2)/2)*BR178+(1-EXP(-LN(2)/2))/(LN(2)/2)*BL179*BO179*VLOOKUP('Données projet'!$B$11,Paramètres!$A$1:$I$88,3,0)*0.475*44/12</f>
        <v>1.8228347659404715E-18</v>
      </c>
      <c r="BS179" s="24">
        <f t="shared" si="169"/>
        <v>11.282006543787936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projet'!$B$12,Paramètres!$A$1:$I$88,3,0)*VLOOKUP('Données projet'!$B$12,Paramètres!$A$1:$I$88,5,0)</f>
        <v>6.7984728957526396E-14</v>
      </c>
      <c r="CA179" s="14">
        <f t="shared" si="170"/>
        <v>1.0682447123141398E-12</v>
      </c>
      <c r="CB179" s="22">
        <f t="shared" si="171"/>
        <v>1.978932943548152E-12</v>
      </c>
      <c r="CC179" s="62">
        <f t="shared" si="119"/>
        <v>293.3333333333353</v>
      </c>
      <c r="CD179" s="62">
        <f ca="1">AVERAGE(OFFSET($CC$3,0,0,'Données projet'!$E$12+1,1))-AVERAGE(OFFSET($H$3,0,0,'Données projet'!$E$12+1,1))</f>
        <v>168.16583766359378</v>
      </c>
      <c r="CE179" s="62">
        <f t="shared" si="148"/>
        <v>194.52809733694494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15.14017523342066</v>
      </c>
      <c r="CL179" s="23">
        <f>EXP(-LN(2)/25)*CL178+(1-EXP(-LN(2)/25))/(LN(2)/25)*Calculateur!CG179*Calculateur!CI179*VLOOKUP('Données projet'!$B$12,Paramètres!$A$1:$I$88,3,0)*0.475*44/12</f>
        <v>1.3506728720840484</v>
      </c>
      <c r="CM179" s="23">
        <f>EXP(-LN(2)/2)*CM178+(1-EXP(-LN(2)/2))/(LN(2)/2)*CG179*CJ179*VLOOKUP('Données projet'!$B$12,Paramètres!$A$1:$I$88,3,0)*0.475*44/12</f>
        <v>9.4476960998143659E-17</v>
      </c>
      <c r="CN179" s="24">
        <f t="shared" si="172"/>
        <v>16.490848105504707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projet'!$B$13,Paramètres!$A$1:$I$88,3,0)*VLOOKUP('Données projet'!$B$13,Paramètres!$A$1:$I$88,5,0)</f>
        <v>-4.9658410716801891E-14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146.09202487550647</v>
      </c>
      <c r="CZ179" s="62">
        <f t="shared" si="150"/>
        <v>168.58814676269344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10.403869517041077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10.403869517041077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1.7053025658242404E-13</v>
      </c>
      <c r="DP179" s="18">
        <f>DO179*VLOOKUP('Données projet'!$B$14,Paramètres!$A$1:$I$88,3,0)*VLOOKUP('Données projet'!$B$14,Paramètres!$A$1:$I$88,5,0)</f>
        <v>1.250327841262333E-13</v>
      </c>
      <c r="DQ179" s="14">
        <f t="shared" si="176"/>
        <v>1.8301318724634299E-12</v>
      </c>
      <c r="DR179" s="22">
        <f t="shared" si="177"/>
        <v>3.405245110226996E-12</v>
      </c>
      <c r="DS179" s="62">
        <f t="shared" si="125"/>
        <v>293.33333333333672</v>
      </c>
      <c r="DT179" s="62">
        <f ca="1">AVERAGE(OFFSET($DS$3,0,0,'Données projet'!$E$14+1,1))-AVERAGE(OFFSET($H$3,0,0,'Données projet'!$E$14+1,1))</f>
        <v>116.35584360635318</v>
      </c>
      <c r="DU179" s="62">
        <f t="shared" si="152"/>
        <v>86.38226293640173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12.501242696724576</v>
      </c>
      <c r="EB179" s="23">
        <f>EXP(-LN(2)/25)*EB178+(1-EXP(-LN(2)/25))/(LN(2)/25)*Calculateur!DW179*Calculateur!DY179*VLOOKUP('Données projet'!$B$14,Paramètres!$A$1:$I$88,3,0)*0.475*44/12</f>
        <v>0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12.501242696724576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-40</v>
      </c>
      <c r="O180" s="14">
        <f>N180*VLOOKUP('Données projet'!$B$9,Paramètres!$A$1:$I$88,3,0)*VLOOKUP('Données projet'!$B$9,Paramètres!$A$1:$I$88,5,0)</f>
        <v>-18.72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82.229723373996478</v>
      </c>
      <c r="T180" s="62">
        <f t="shared" si="142"/>
        <v>115.86489547584461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11.343807650751899</v>
      </c>
      <c r="AA180" s="23">
        <f>EXP(-LN(2)/25)*AA179+(1-EXP(-LN(2)/25))/(LN(2)/25)*Calculateur!V180*Calculateur!X180*VLOOKUP('Données projet'!$B$9,Paramètres!$A$1:$I$88,3,0)*0.475*44/12</f>
        <v>0.9252113966460227</v>
      </c>
      <c r="AB180" s="23">
        <f>EXP(-LN(2)/2)*AB179+(1-EXP(-LN(2)/2))/(LN(2)/2)*V180*Y180*VLOOKUP('Données projet'!$B$9,Paramètres!$A$1:$I$88,3,0)*0.475*44/12</f>
        <v>4.5932806272424236E-17</v>
      </c>
      <c r="AC180" s="24">
        <f t="shared" si="163"/>
        <v>12.269019047397922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262.78347246606825</v>
      </c>
      <c r="AO180" s="62">
        <f t="shared" si="144"/>
        <v>448.84541017639367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15.960467449605792</v>
      </c>
      <c r="AV180" s="23">
        <f>EXP(-LN(2)/25)*AV179+(1-EXP(-LN(2)/25))/(LN(2)/25)*Calculateur!AQ180*Calculateur!AS180*VLOOKUP('Données projet'!$B$10,Paramètres!$A$1:$I$88,3,0)*0.475*44/12</f>
        <v>1.4849966855080448</v>
      </c>
      <c r="AW180" s="23">
        <f>EXP(-LN(2)/2)*AW179+(1-EXP(-LN(2)/2))/(LN(2)/2)*AQ180*AT180*VLOOKUP('Données projet'!$B$10,Paramètres!$A$1:$I$88,3,0)*0.475*44/12</f>
        <v>4.9886441995734405E-19</v>
      </c>
      <c r="AX180" s="23">
        <f t="shared" si="166"/>
        <v>17.445464135113838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projet'!$B$11,Paramètres!$A$1:$I$88,3,0)*VLOOKUP('Données projet'!$B$11,Paramètres!$A$1:$I$88,5,0)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135.14998708332445</v>
      </c>
      <c r="BJ180" s="62">
        <f t="shared" si="146"/>
        <v>245.50083454484513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9.621045016552598</v>
      </c>
      <c r="BQ180" s="23">
        <f>EXP(-LN(2)/25)*BQ179+(1-EXP(-LN(2)/25))/(LN(2)/25)*Calculateur!BL180*Calculateur!BN180*VLOOKUP('Données projet'!$B$11,Paramètres!$A$1:$I$88,3,0)*0.475*44/12</f>
        <v>1.4283682453399624</v>
      </c>
      <c r="BR180" s="23">
        <f>EXP(-LN(2)/2)*BR179+(1-EXP(-LN(2)/2))/(LN(2)/2)*BL180*BO180*VLOOKUP('Données projet'!$B$11,Paramètres!$A$1:$I$88,3,0)*0.475*44/12</f>
        <v>1.2889388239791006E-18</v>
      </c>
      <c r="BS180" s="24">
        <f t="shared" si="169"/>
        <v>11.04941326189256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projet'!$B$12,Paramètres!$A$1:$I$88,3,0)*VLOOKUP('Données projet'!$B$12,Paramètres!$A$1:$I$88,5,0)</f>
        <v>6.7984728957526396E-14</v>
      </c>
      <c r="CA180" s="14">
        <f t="shared" si="170"/>
        <v>1.0682447123141398E-12</v>
      </c>
      <c r="CB180" s="22">
        <f t="shared" si="171"/>
        <v>1.978932943548152E-12</v>
      </c>
      <c r="CC180" s="62">
        <f t="shared" si="119"/>
        <v>293.3333333333353</v>
      </c>
      <c r="CD180" s="62">
        <f ca="1">AVERAGE(OFFSET($CC$3,0,0,'Données projet'!$E$12+1,1))-AVERAGE(OFFSET($H$3,0,0,'Données projet'!$E$12+1,1))</f>
        <v>168.16583766359378</v>
      </c>
      <c r="CE180" s="62">
        <f t="shared" si="148"/>
        <v>194.52809733694494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14.843285631688332</v>
      </c>
      <c r="CL180" s="23">
        <f>EXP(-LN(2)/25)*CL179+(1-EXP(-LN(2)/25))/(LN(2)/25)*Calculateur!CG180*Calculateur!CI180*VLOOKUP('Données projet'!$B$12,Paramètres!$A$1:$I$88,3,0)*0.475*44/12</f>
        <v>1.3137386513681109</v>
      </c>
      <c r="CM180" s="23">
        <f>EXP(-LN(2)/2)*CM179+(1-EXP(-LN(2)/2))/(LN(2)/2)*CG180*CJ180*VLOOKUP('Données projet'!$B$12,Paramètres!$A$1:$I$88,3,0)*0.475*44/12</f>
        <v>6.6805299787684352E-17</v>
      </c>
      <c r="CN180" s="24">
        <f t="shared" si="172"/>
        <v>16.157024283056444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projet'!$B$13,Paramètres!$A$1:$I$88,3,0)*VLOOKUP('Données projet'!$B$13,Paramètres!$A$1:$I$88,5,0)</f>
        <v>-4.9658410716801891E-14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146.09202487550647</v>
      </c>
      <c r="CZ180" s="62">
        <f t="shared" si="150"/>
        <v>168.58814676269344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10.199855981545717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10.199855981545717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1.7053025658242404E-13</v>
      </c>
      <c r="DP180" s="18">
        <f>DO180*VLOOKUP('Données projet'!$B$14,Paramètres!$A$1:$I$88,3,0)*VLOOKUP('Données projet'!$B$14,Paramètres!$A$1:$I$88,5,0)</f>
        <v>1.250327841262333E-13</v>
      </c>
      <c r="DQ180" s="14">
        <f t="shared" si="176"/>
        <v>1.8301318724634299E-12</v>
      </c>
      <c r="DR180" s="22">
        <f t="shared" si="177"/>
        <v>3.405245110226996E-12</v>
      </c>
      <c r="DS180" s="62">
        <f t="shared" si="125"/>
        <v>293.33333333333672</v>
      </c>
      <c r="DT180" s="62">
        <f ca="1">AVERAGE(OFFSET($DS$3,0,0,'Données projet'!$E$14+1,1))-AVERAGE(OFFSET($H$3,0,0,'Données projet'!$E$14+1,1))</f>
        <v>116.35584360635318</v>
      </c>
      <c r="DU180" s="62">
        <f t="shared" si="152"/>
        <v>86.38226293640173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12.256100952446946</v>
      </c>
      <c r="EB180" s="23">
        <f>EXP(-LN(2)/25)*EB179+(1-EXP(-LN(2)/25))/(LN(2)/25)*Calculateur!DW180*Calculateur!DY180*VLOOKUP('Données projet'!$B$14,Paramètres!$A$1:$I$88,3,0)*0.475*44/12</f>
        <v>0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12.256100952446946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-40</v>
      </c>
      <c r="O181" s="14">
        <f>N181*VLOOKUP('Données projet'!$B$9,Paramètres!$A$1:$I$88,3,0)*VLOOKUP('Données projet'!$B$9,Paramètres!$A$1:$I$88,5,0)</f>
        <v>-18.72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82.229723373996478</v>
      </c>
      <c r="T181" s="62">
        <f t="shared" si="142"/>
        <v>115.86489547584461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11.121362501760123</v>
      </c>
      <c r="AA181" s="23">
        <f>EXP(-LN(2)/25)*AA180+(1-EXP(-LN(2)/25))/(LN(2)/25)*Calculateur!V181*Calculateur!X181*VLOOKUP('Données projet'!$B$9,Paramètres!$A$1:$I$88,3,0)*0.475*44/12</f>
        <v>0.89991144234998444</v>
      </c>
      <c r="AB181" s="23">
        <f>EXP(-LN(2)/2)*AB180+(1-EXP(-LN(2)/2))/(LN(2)/2)*V181*Y181*VLOOKUP('Données projet'!$B$9,Paramètres!$A$1:$I$88,3,0)*0.475*44/12</f>
        <v>3.2479398794159161E-17</v>
      </c>
      <c r="AC181" s="24">
        <f t="shared" si="163"/>
        <v>12.021273944110106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262.78347246606825</v>
      </c>
      <c r="AO181" s="62">
        <f t="shared" si="144"/>
        <v>448.84541017639367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15.647492417842923</v>
      </c>
      <c r="AV181" s="23">
        <f>EXP(-LN(2)/25)*AV180+(1-EXP(-LN(2)/25))/(LN(2)/25)*Calculateur!AQ181*Calculateur!AS181*VLOOKUP('Données projet'!$B$10,Paramètres!$A$1:$I$88,3,0)*0.475*44/12</f>
        <v>1.4443893730502455</v>
      </c>
      <c r="AW181" s="23">
        <f>EXP(-LN(2)/2)*AW180+(1-EXP(-LN(2)/2))/(LN(2)/2)*AQ181*AT181*VLOOKUP('Données projet'!$B$10,Paramètres!$A$1:$I$88,3,0)*0.475*44/12</f>
        <v>3.5275041424453164E-19</v>
      </c>
      <c r="AX181" s="23">
        <f t="shared" si="166"/>
        <v>17.091881790893169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projet'!$B$11,Paramètres!$A$1:$I$88,3,0)*VLOOKUP('Données projet'!$B$11,Paramètres!$A$1:$I$88,5,0)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135.14998708332445</v>
      </c>
      <c r="BJ181" s="62">
        <f t="shared" si="146"/>
        <v>245.50083454484513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9.4323821920360196</v>
      </c>
      <c r="BQ181" s="23">
        <f>EXP(-LN(2)/25)*BQ180+(1-EXP(-LN(2)/25))/(LN(2)/25)*Calculateur!BL181*Calculateur!BN181*VLOOKUP('Données projet'!$B$11,Paramètres!$A$1:$I$88,3,0)*0.475*44/12</f>
        <v>1.3893094405565196</v>
      </c>
      <c r="BR181" s="23">
        <f>EXP(-LN(2)/2)*BR180+(1-EXP(-LN(2)/2))/(LN(2)/2)*BL181*BO181*VLOOKUP('Données projet'!$B$11,Paramètres!$A$1:$I$88,3,0)*0.475*44/12</f>
        <v>9.1141738297023575E-19</v>
      </c>
      <c r="BS181" s="24">
        <f t="shared" si="169"/>
        <v>10.82169163259254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projet'!$B$12,Paramètres!$A$1:$I$88,3,0)*VLOOKUP('Données projet'!$B$12,Paramètres!$A$1:$I$88,5,0)</f>
        <v>6.7984728957526396E-14</v>
      </c>
      <c r="CA181" s="14">
        <f t="shared" si="170"/>
        <v>1.0682447123141398E-12</v>
      </c>
      <c r="CB181" s="22">
        <f t="shared" si="171"/>
        <v>1.978932943548152E-12</v>
      </c>
      <c r="CC181" s="62">
        <f t="shared" si="119"/>
        <v>293.3333333333353</v>
      </c>
      <c r="CD181" s="62">
        <f ca="1">AVERAGE(OFFSET($CC$3,0,0,'Données projet'!$E$12+1,1))-AVERAGE(OFFSET($H$3,0,0,'Données projet'!$E$12+1,1))</f>
        <v>168.16583766359378</v>
      </c>
      <c r="CE181" s="62">
        <f t="shared" si="148"/>
        <v>194.52809733694494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14.552217853961199</v>
      </c>
      <c r="CL181" s="23">
        <f>EXP(-LN(2)/25)*CL180+(1-EXP(-LN(2)/25))/(LN(2)/25)*Calculateur!CG181*Calculateur!CI181*VLOOKUP('Données projet'!$B$12,Paramètres!$A$1:$I$88,3,0)*0.475*44/12</f>
        <v>1.2778143988599369</v>
      </c>
      <c r="CM181" s="23">
        <f>EXP(-LN(2)/2)*CM180+(1-EXP(-LN(2)/2))/(LN(2)/2)*CG181*CJ181*VLOOKUP('Données projet'!$B$12,Paramètres!$A$1:$I$88,3,0)*0.475*44/12</f>
        <v>4.7238480499071829E-17</v>
      </c>
      <c r="CN181" s="24">
        <f t="shared" si="172"/>
        <v>15.830032252821136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projet'!$B$13,Paramètres!$A$1:$I$88,3,0)*VLOOKUP('Données projet'!$B$13,Paramètres!$A$1:$I$88,5,0)</f>
        <v>-4.9658410716801891E-14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146.09202487550647</v>
      </c>
      <c r="CZ181" s="62">
        <f t="shared" si="150"/>
        <v>168.58814676269344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9.9998430270454524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9.9998430270454524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1.7053025658242404E-13</v>
      </c>
      <c r="DP181" s="18">
        <f>DO181*VLOOKUP('Données projet'!$B$14,Paramètres!$A$1:$I$88,3,0)*VLOOKUP('Données projet'!$B$14,Paramètres!$A$1:$I$88,5,0)</f>
        <v>1.250327841262333E-13</v>
      </c>
      <c r="DQ181" s="14">
        <f t="shared" si="176"/>
        <v>1.8301318724634299E-12</v>
      </c>
      <c r="DR181" s="22">
        <f t="shared" si="177"/>
        <v>3.405245110226996E-12</v>
      </c>
      <c r="DS181" s="62">
        <f t="shared" si="125"/>
        <v>293.33333333333672</v>
      </c>
      <c r="DT181" s="62">
        <f ca="1">AVERAGE(OFFSET($DS$3,0,0,'Données projet'!$E$14+1,1))-AVERAGE(OFFSET($H$3,0,0,'Données projet'!$E$14+1,1))</f>
        <v>116.35584360635318</v>
      </c>
      <c r="DU181" s="62">
        <f t="shared" si="152"/>
        <v>86.38226293640173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12.0157662882529</v>
      </c>
      <c r="EB181" s="23">
        <f>EXP(-LN(2)/25)*EB180+(1-EXP(-LN(2)/25))/(LN(2)/25)*Calculateur!DW181*Calculateur!DY181*VLOOKUP('Données projet'!$B$14,Paramètres!$A$1:$I$88,3,0)*0.475*44/12</f>
        <v>0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12.0157662882529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-40</v>
      </c>
      <c r="O182" s="14">
        <f>N182*VLOOKUP('Données projet'!$B$9,Paramètres!$A$1:$I$88,3,0)*VLOOKUP('Données projet'!$B$9,Paramètres!$A$1:$I$88,5,0)</f>
        <v>-18.72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82.229723373996478</v>
      </c>
      <c r="T182" s="62">
        <f t="shared" si="142"/>
        <v>115.86489547584461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10.903279366461932</v>
      </c>
      <c r="AA182" s="23">
        <f>EXP(-LN(2)/25)*AA181+(1-EXP(-LN(2)/25))/(LN(2)/25)*Calculateur!V182*Calculateur!X182*VLOOKUP('Données projet'!$B$9,Paramètres!$A$1:$I$88,3,0)*0.475*44/12</f>
        <v>0.87530331663463812</v>
      </c>
      <c r="AB182" s="23">
        <f>EXP(-LN(2)/2)*AB181+(1-EXP(-LN(2)/2))/(LN(2)/2)*V182*Y182*VLOOKUP('Données projet'!$B$9,Paramètres!$A$1:$I$88,3,0)*0.475*44/12</f>
        <v>2.2966403136212118E-17</v>
      </c>
      <c r="AC182" s="24">
        <f t="shared" si="163"/>
        <v>11.77858268309657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262.78347246606825</v>
      </c>
      <c r="AO182" s="62">
        <f t="shared" si="144"/>
        <v>448.84541017639367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15.340654635557003</v>
      </c>
      <c r="AV182" s="23">
        <f>EXP(-LN(2)/25)*AV181+(1-EXP(-LN(2)/25))/(LN(2)/25)*Calculateur!AQ182*Calculateur!AS182*VLOOKUP('Données projet'!$B$10,Paramètres!$A$1:$I$88,3,0)*0.475*44/12</f>
        <v>1.4048924696870506</v>
      </c>
      <c r="AW182" s="23">
        <f>EXP(-LN(2)/2)*AW181+(1-EXP(-LN(2)/2))/(LN(2)/2)*AQ182*AT182*VLOOKUP('Données projet'!$B$10,Paramètres!$A$1:$I$88,3,0)*0.475*44/12</f>
        <v>2.4943220997867203E-19</v>
      </c>
      <c r="AX182" s="23">
        <f t="shared" si="166"/>
        <v>16.745547105244054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projet'!$B$11,Paramètres!$A$1:$I$88,3,0)*VLOOKUP('Données projet'!$B$11,Paramètres!$A$1:$I$88,5,0)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135.14998708332445</v>
      </c>
      <c r="BJ182" s="62">
        <f t="shared" si="146"/>
        <v>245.50083454484513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9.2474189304352503</v>
      </c>
      <c r="BQ182" s="23">
        <f>EXP(-LN(2)/25)*BQ181+(1-EXP(-LN(2)/25))/(LN(2)/25)*Calculateur!BL182*Calculateur!BN182*VLOOKUP('Données projet'!$B$11,Paramètres!$A$1:$I$88,3,0)*0.475*44/12</f>
        <v>1.3513187008438934</v>
      </c>
      <c r="BR182" s="23">
        <f>EXP(-LN(2)/2)*BR181+(1-EXP(-LN(2)/2))/(LN(2)/2)*BL182*BO182*VLOOKUP('Données projet'!$B$11,Paramètres!$A$1:$I$88,3,0)*0.475*44/12</f>
        <v>6.4446941198955028E-19</v>
      </c>
      <c r="BS182" s="24">
        <f t="shared" si="169"/>
        <v>10.598737631279144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projet'!$B$12,Paramètres!$A$1:$I$88,3,0)*VLOOKUP('Données projet'!$B$12,Paramètres!$A$1:$I$88,5,0)</f>
        <v>6.7984728957526396E-14</v>
      </c>
      <c r="CA182" s="14">
        <f t="shared" si="170"/>
        <v>1.0682447123141398E-12</v>
      </c>
      <c r="CB182" s="22">
        <f t="shared" si="171"/>
        <v>1.978932943548152E-12</v>
      </c>
      <c r="CC182" s="62">
        <f t="shared" si="119"/>
        <v>293.3333333333353</v>
      </c>
      <c r="CD182" s="62">
        <f ca="1">AVERAGE(OFFSET($CC$3,0,0,'Données projet'!$E$12+1,1))-AVERAGE(OFFSET($H$3,0,0,'Données projet'!$E$12+1,1))</f>
        <v>168.16583766359378</v>
      </c>
      <c r="CE182" s="62">
        <f t="shared" si="148"/>
        <v>194.52809733694494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14.266857737821482</v>
      </c>
      <c r="CL182" s="23">
        <f>EXP(-LN(2)/25)*CL181+(1-EXP(-LN(2)/25))/(LN(2)/25)*Calculateur!CG182*Calculateur!CI182*VLOOKUP('Données projet'!$B$12,Paramètres!$A$1:$I$88,3,0)*0.475*44/12</f>
        <v>1.2428724969257732</v>
      </c>
      <c r="CM182" s="23">
        <f>EXP(-LN(2)/2)*CM181+(1-EXP(-LN(2)/2))/(LN(2)/2)*CG182*CJ182*VLOOKUP('Données projet'!$B$12,Paramètres!$A$1:$I$88,3,0)*0.475*44/12</f>
        <v>3.3402649893842176E-17</v>
      </c>
      <c r="CN182" s="24">
        <f t="shared" si="172"/>
        <v>15.509730234747256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projet'!$B$13,Paramètres!$A$1:$I$88,3,0)*VLOOKUP('Données projet'!$B$13,Paramètres!$A$1:$I$88,5,0)</f>
        <v>-4.9658410716801891E-14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146.09202487550647</v>
      </c>
      <c r="CZ182" s="62">
        <f t="shared" si="150"/>
        <v>168.58814676269344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9.8037522045870809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9.8037522045870809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1.7053025658242404E-13</v>
      </c>
      <c r="DP182" s="18">
        <f>DO182*VLOOKUP('Données projet'!$B$14,Paramètres!$A$1:$I$88,3,0)*VLOOKUP('Données projet'!$B$14,Paramètres!$A$1:$I$88,5,0)</f>
        <v>1.250327841262333E-13</v>
      </c>
      <c r="DQ182" s="14">
        <f t="shared" si="176"/>
        <v>1.8301318724634299E-12</v>
      </c>
      <c r="DR182" s="22">
        <f t="shared" si="177"/>
        <v>3.405245110226996E-12</v>
      </c>
      <c r="DS182" s="62">
        <f t="shared" si="125"/>
        <v>293.33333333333672</v>
      </c>
      <c r="DT182" s="62">
        <f ca="1">AVERAGE(OFFSET($DS$3,0,0,'Données projet'!$E$14+1,1))-AVERAGE(OFFSET($H$3,0,0,'Données projet'!$E$14+1,1))</f>
        <v>116.35584360635318</v>
      </c>
      <c r="DU182" s="62">
        <f t="shared" si="152"/>
        <v>86.38226293640173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11.780144440234029</v>
      </c>
      <c r="EB182" s="23">
        <f>EXP(-LN(2)/25)*EB181+(1-EXP(-LN(2)/25))/(LN(2)/25)*Calculateur!DW182*Calculateur!DY182*VLOOKUP('Données projet'!$B$14,Paramètres!$A$1:$I$88,3,0)*0.475*44/12</f>
        <v>0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11.780144440234029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-40</v>
      </c>
      <c r="O183" s="14">
        <f>N183*VLOOKUP('Données projet'!$B$9,Paramètres!$A$1:$I$88,3,0)*VLOOKUP('Données projet'!$B$9,Paramètres!$A$1:$I$88,5,0)</f>
        <v>-18.72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82.229723373996478</v>
      </c>
      <c r="T183" s="62">
        <f t="shared" si="142"/>
        <v>115.86489547584461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10.68947270842936</v>
      </c>
      <c r="AA183" s="23">
        <f>EXP(-LN(2)/25)*AA182+(1-EXP(-LN(2)/25))/(LN(2)/25)*Calculateur!V183*Calculateur!X183*VLOOKUP('Données projet'!$B$9,Paramètres!$A$1:$I$88,3,0)*0.475*44/12</f>
        <v>0.85136810141106301</v>
      </c>
      <c r="AB183" s="23">
        <f>EXP(-LN(2)/2)*AB182+(1-EXP(-LN(2)/2))/(LN(2)/2)*V183*Y183*VLOOKUP('Données projet'!$B$9,Paramètres!$A$1:$I$88,3,0)*0.475*44/12</f>
        <v>1.623969939707958E-17</v>
      </c>
      <c r="AC183" s="24">
        <f t="shared" si="163"/>
        <v>11.540840809840423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262.78347246606825</v>
      </c>
      <c r="AO183" s="62">
        <f t="shared" si="144"/>
        <v>448.84541017639367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15.039833755029143</v>
      </c>
      <c r="AV183" s="23">
        <f>EXP(-LN(2)/25)*AV182+(1-EXP(-LN(2)/25))/(LN(2)/25)*Calculateur!AQ183*Calculateur!AS183*VLOOKUP('Données projet'!$B$10,Paramètres!$A$1:$I$88,3,0)*0.475*44/12</f>
        <v>1.3664756112233742</v>
      </c>
      <c r="AW183" s="23">
        <f>EXP(-LN(2)/2)*AW182+(1-EXP(-LN(2)/2))/(LN(2)/2)*AQ183*AT183*VLOOKUP('Données projet'!$B$10,Paramètres!$A$1:$I$88,3,0)*0.475*44/12</f>
        <v>1.7637520712226582E-19</v>
      </c>
      <c r="AX183" s="23">
        <f t="shared" si="166"/>
        <v>16.406309366252518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projet'!$B$11,Paramètres!$A$1:$I$88,3,0)*VLOOKUP('Données projet'!$B$11,Paramètres!$A$1:$I$88,5,0)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135.14998708332445</v>
      </c>
      <c r="BJ183" s="62">
        <f t="shared" si="146"/>
        <v>245.50083454484513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9.0660826855780225</v>
      </c>
      <c r="BQ183" s="23">
        <f>EXP(-LN(2)/25)*BQ182+(1-EXP(-LN(2)/25))/(LN(2)/25)*Calculateur!BL183*Calculateur!BN183*VLOOKUP('Données projet'!$B$11,Paramètres!$A$1:$I$88,3,0)*0.475*44/12</f>
        <v>1.314366819906555</v>
      </c>
      <c r="BR183" s="23">
        <f>EXP(-LN(2)/2)*BR182+(1-EXP(-LN(2)/2))/(LN(2)/2)*BL183*BO183*VLOOKUP('Données projet'!$B$11,Paramètres!$A$1:$I$88,3,0)*0.475*44/12</f>
        <v>4.5570869148511788E-19</v>
      </c>
      <c r="BS183" s="24">
        <f t="shared" si="169"/>
        <v>10.380449505484577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projet'!$B$12,Paramètres!$A$1:$I$88,3,0)*VLOOKUP('Données projet'!$B$12,Paramètres!$A$1:$I$88,5,0)</f>
        <v>6.7984728957526396E-14</v>
      </c>
      <c r="CA183" s="14">
        <f t="shared" si="170"/>
        <v>1.0682447123141398E-12</v>
      </c>
      <c r="CB183" s="22">
        <f t="shared" si="171"/>
        <v>1.978932943548152E-12</v>
      </c>
      <c r="CC183" s="62">
        <f t="shared" si="119"/>
        <v>293.3333333333353</v>
      </c>
      <c r="CD183" s="62">
        <f ca="1">AVERAGE(OFFSET($CC$3,0,0,'Données projet'!$E$12+1,1))-AVERAGE(OFFSET($H$3,0,0,'Données projet'!$E$12+1,1))</f>
        <v>168.16583766359378</v>
      </c>
      <c r="CE183" s="62">
        <f t="shared" si="148"/>
        <v>194.52809733694494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13.98709335950678</v>
      </c>
      <c r="CL183" s="23">
        <f>EXP(-LN(2)/25)*CL182+(1-EXP(-LN(2)/25))/(LN(2)/25)*Calculateur!CG183*Calculateur!CI183*VLOOKUP('Données projet'!$B$12,Paramètres!$A$1:$I$88,3,0)*0.475*44/12</f>
        <v>1.2088860831375139</v>
      </c>
      <c r="CM183" s="23">
        <f>EXP(-LN(2)/2)*CM182+(1-EXP(-LN(2)/2))/(LN(2)/2)*CG183*CJ183*VLOOKUP('Données projet'!$B$12,Paramètres!$A$1:$I$88,3,0)*0.475*44/12</f>
        <v>2.3619240249535915E-17</v>
      </c>
      <c r="CN183" s="24">
        <f t="shared" si="172"/>
        <v>15.195979442644294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projet'!$B$13,Paramètres!$A$1:$I$88,3,0)*VLOOKUP('Données projet'!$B$13,Paramètres!$A$1:$I$88,5,0)</f>
        <v>-4.9658410716801891E-14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146.09202487550647</v>
      </c>
      <c r="CZ183" s="62">
        <f t="shared" si="150"/>
        <v>168.58814676269344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9.6115066035535275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9.6115066035535275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1.7053025658242404E-13</v>
      </c>
      <c r="DP183" s="18">
        <f>DO183*VLOOKUP('Données projet'!$B$14,Paramètres!$A$1:$I$88,3,0)*VLOOKUP('Données projet'!$B$14,Paramètres!$A$1:$I$88,5,0)</f>
        <v>1.250327841262333E-13</v>
      </c>
      <c r="DQ183" s="14">
        <f t="shared" si="176"/>
        <v>1.8301318724634299E-12</v>
      </c>
      <c r="DR183" s="22">
        <f t="shared" si="177"/>
        <v>3.405245110226996E-12</v>
      </c>
      <c r="DS183" s="62">
        <f t="shared" si="125"/>
        <v>293.33333333333672</v>
      </c>
      <c r="DT183" s="62">
        <f ca="1">AVERAGE(OFFSET($DS$3,0,0,'Données projet'!$E$14+1,1))-AVERAGE(OFFSET($H$3,0,0,'Données projet'!$E$14+1,1))</f>
        <v>116.35584360635318</v>
      </c>
      <c r="DU183" s="62">
        <f t="shared" si="152"/>
        <v>86.38226293640173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11.54914299293967</v>
      </c>
      <c r="EB183" s="23">
        <f>EXP(-LN(2)/25)*EB182+(1-EXP(-LN(2)/25))/(LN(2)/25)*Calculateur!DW183*Calculateur!DY183*VLOOKUP('Données projet'!$B$14,Paramètres!$A$1:$I$88,3,0)*0.475*44/12</f>
        <v>0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11.54914299293967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-40</v>
      </c>
      <c r="O184" s="14">
        <f>N184*VLOOKUP('Données projet'!$B$9,Paramètres!$A$1:$I$88,3,0)*VLOOKUP('Données projet'!$B$9,Paramètres!$A$1:$I$88,5,0)</f>
        <v>-18.72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82.229723373996478</v>
      </c>
      <c r="T184" s="62">
        <f t="shared" si="142"/>
        <v>115.86489547584461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10.479858668551623</v>
      </c>
      <c r="AA184" s="23">
        <f>EXP(-LN(2)/25)*AA183+(1-EXP(-LN(2)/25))/(LN(2)/25)*Calculateur!V184*Calculateur!X184*VLOOKUP('Données projet'!$B$9,Paramètres!$A$1:$I$88,3,0)*0.475*44/12</f>
        <v>0.82808739590647484</v>
      </c>
      <c r="AB184" s="23">
        <f>EXP(-LN(2)/2)*AB183+(1-EXP(-LN(2)/2))/(LN(2)/2)*V184*Y184*VLOOKUP('Données projet'!$B$9,Paramètres!$A$1:$I$88,3,0)*0.475*44/12</f>
        <v>1.1483201568106059E-17</v>
      </c>
      <c r="AC184" s="24">
        <f t="shared" si="163"/>
        <v>11.307946064458099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262.78347246606825</v>
      </c>
      <c r="AO184" s="62">
        <f t="shared" si="144"/>
        <v>448.84541017639367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14.744911788485815</v>
      </c>
      <c r="AV184" s="23">
        <f>EXP(-LN(2)/25)*AV183+(1-EXP(-LN(2)/25))/(LN(2)/25)*Calculateur!AQ184*Calculateur!AS184*VLOOKUP('Données projet'!$B$10,Paramètres!$A$1:$I$88,3,0)*0.475*44/12</f>
        <v>1.3291092637746418</v>
      </c>
      <c r="AW184" s="23">
        <f>EXP(-LN(2)/2)*AW183+(1-EXP(-LN(2)/2))/(LN(2)/2)*AQ184*AT184*VLOOKUP('Données projet'!$B$10,Paramètres!$A$1:$I$88,3,0)*0.475*44/12</f>
        <v>1.2471610498933601E-19</v>
      </c>
      <c r="AX184" s="23">
        <f t="shared" si="166"/>
        <v>16.074021052260456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projet'!$B$11,Paramètres!$A$1:$I$88,3,0)*VLOOKUP('Données projet'!$B$11,Paramètres!$A$1:$I$88,5,0)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135.14998708332445</v>
      </c>
      <c r="BJ184" s="62">
        <f t="shared" si="146"/>
        <v>245.50083454484513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8.8883023338782561</v>
      </c>
      <c r="BQ184" s="23">
        <f>EXP(-LN(2)/25)*BQ183+(1-EXP(-LN(2)/25))/(LN(2)/25)*Calculateur!BL184*Calculateur!BN184*VLOOKUP('Données projet'!$B$11,Paramètres!$A$1:$I$88,3,0)*0.475*44/12</f>
        <v>1.2784253900966633</v>
      </c>
      <c r="BR184" s="23">
        <f>EXP(-LN(2)/2)*BR183+(1-EXP(-LN(2)/2))/(LN(2)/2)*BL184*BO184*VLOOKUP('Données projet'!$B$11,Paramètres!$A$1:$I$88,3,0)*0.475*44/12</f>
        <v>3.2223470599477514E-19</v>
      </c>
      <c r="BS184" s="24">
        <f t="shared" si="169"/>
        <v>10.166727723974919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projet'!$B$12,Paramètres!$A$1:$I$88,3,0)*VLOOKUP('Données projet'!$B$12,Paramètres!$A$1:$I$88,5,0)</f>
        <v>6.7984728957526396E-14</v>
      </c>
      <c r="CA184" s="14">
        <f t="shared" si="170"/>
        <v>1.0682447123141398E-12</v>
      </c>
      <c r="CB184" s="22">
        <f t="shared" si="171"/>
        <v>1.978932943548152E-12</v>
      </c>
      <c r="CC184" s="62">
        <f t="shared" si="119"/>
        <v>293.3333333333353</v>
      </c>
      <c r="CD184" s="62">
        <f ca="1">AVERAGE(OFFSET($CC$3,0,0,'Données projet'!$E$12+1,1))-AVERAGE(OFFSET($H$3,0,0,'Données projet'!$E$12+1,1))</f>
        <v>168.16583766359378</v>
      </c>
      <c r="CE184" s="62">
        <f t="shared" si="148"/>
        <v>194.52809733694494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13.712814990011406</v>
      </c>
      <c r="CL184" s="23">
        <f>EXP(-LN(2)/25)*CL183+(1-EXP(-LN(2)/25))/(LN(2)/25)*Calculateur!CG184*Calculateur!CI184*VLOOKUP('Données projet'!$B$12,Paramètres!$A$1:$I$88,3,0)*0.475*44/12</f>
        <v>1.1758290296215623</v>
      </c>
      <c r="CM184" s="23">
        <f>EXP(-LN(2)/2)*CM183+(1-EXP(-LN(2)/2))/(LN(2)/2)*CG184*CJ184*VLOOKUP('Données projet'!$B$12,Paramètres!$A$1:$I$88,3,0)*0.475*44/12</f>
        <v>1.6701324946921088E-17</v>
      </c>
      <c r="CN184" s="24">
        <f t="shared" si="172"/>
        <v>14.888644019632968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projet'!$B$13,Paramètres!$A$1:$I$88,3,0)*VLOOKUP('Données projet'!$B$13,Paramètres!$A$1:$I$88,5,0)</f>
        <v>-4.9658410716801891E-14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146.09202487550647</v>
      </c>
      <c r="CZ184" s="62">
        <f t="shared" si="150"/>
        <v>168.58814676269344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9.4230308214980028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9.4230308214980028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1.7053025658242404E-13</v>
      </c>
      <c r="DP184" s="18">
        <f>DO184*VLOOKUP('Données projet'!$B$14,Paramètres!$A$1:$I$88,3,0)*VLOOKUP('Données projet'!$B$14,Paramètres!$A$1:$I$88,5,0)</f>
        <v>1.250327841262333E-13</v>
      </c>
      <c r="DQ184" s="14">
        <f t="shared" si="176"/>
        <v>1.8301318724634299E-12</v>
      </c>
      <c r="DR184" s="22">
        <f t="shared" si="177"/>
        <v>3.405245110226996E-12</v>
      </c>
      <c r="DS184" s="62">
        <f t="shared" si="125"/>
        <v>293.33333333333672</v>
      </c>
      <c r="DT184" s="62">
        <f ca="1">AVERAGE(OFFSET($DS$3,0,0,'Données projet'!$E$14+1,1))-AVERAGE(OFFSET($H$3,0,0,'Données projet'!$E$14+1,1))</f>
        <v>116.35584360635318</v>
      </c>
      <c r="DU184" s="62">
        <f t="shared" si="152"/>
        <v>86.38226293640173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11.322671343129784</v>
      </c>
      <c r="EB184" s="23">
        <f>EXP(-LN(2)/25)*EB183+(1-EXP(-LN(2)/25))/(LN(2)/25)*Calculateur!DW184*Calculateur!DY184*VLOOKUP('Données projet'!$B$14,Paramètres!$A$1:$I$88,3,0)*0.475*44/12</f>
        <v>0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11.322671343129784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-40</v>
      </c>
      <c r="O185" s="14">
        <f>N185*VLOOKUP('Données projet'!$B$9,Paramètres!$A$1:$I$88,3,0)*VLOOKUP('Données projet'!$B$9,Paramètres!$A$1:$I$88,5,0)</f>
        <v>-18.72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82.229723373996478</v>
      </c>
      <c r="T185" s="62">
        <f t="shared" si="142"/>
        <v>115.86489547584461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10.274355032143948</v>
      </c>
      <c r="AA185" s="23">
        <f>EXP(-LN(2)/25)*AA184+(1-EXP(-LN(2)/25))/(LN(2)/25)*Calculateur!V185*Calculateur!X185*VLOOKUP('Données projet'!$B$9,Paramètres!$A$1:$I$88,3,0)*0.475*44/12</f>
        <v>0.80544330251818874</v>
      </c>
      <c r="AB185" s="23">
        <f>EXP(-LN(2)/2)*AB184+(1-EXP(-LN(2)/2))/(LN(2)/2)*V185*Y185*VLOOKUP('Données projet'!$B$9,Paramètres!$A$1:$I$88,3,0)*0.475*44/12</f>
        <v>8.1198496985397902E-18</v>
      </c>
      <c r="AC185" s="24">
        <f t="shared" si="163"/>
        <v>11.079798334662136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262.78347246606825</v>
      </c>
      <c r="AO185" s="62">
        <f t="shared" si="144"/>
        <v>448.84541017639367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14.455773061821764</v>
      </c>
      <c r="AV185" s="23">
        <f>EXP(-LN(2)/25)*AV184+(1-EXP(-LN(2)/25))/(LN(2)/25)*Calculateur!AQ185*Calculateur!AS185*VLOOKUP('Données projet'!$B$10,Paramètres!$A$1:$I$88,3,0)*0.475*44/12</f>
        <v>1.2927647010619057</v>
      </c>
      <c r="AW185" s="23">
        <f>EXP(-LN(2)/2)*AW184+(1-EXP(-LN(2)/2))/(LN(2)/2)*AQ185*AT185*VLOOKUP('Données projet'!$B$10,Paramètres!$A$1:$I$88,3,0)*0.475*44/12</f>
        <v>8.818760356113291E-20</v>
      </c>
      <c r="AX185" s="23">
        <f t="shared" si="166"/>
        <v>15.74853776288367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projet'!$B$11,Paramètres!$A$1:$I$88,3,0)*VLOOKUP('Données projet'!$B$11,Paramètres!$A$1:$I$88,5,0)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135.14998708332445</v>
      </c>
      <c r="BJ185" s="62">
        <f t="shared" si="146"/>
        <v>245.50083454484513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8.7140081464400154</v>
      </c>
      <c r="BQ185" s="23">
        <f>EXP(-LN(2)/25)*BQ184+(1-EXP(-LN(2)/25))/(LN(2)/25)*Calculateur!BL185*Calculateur!BN185*VLOOKUP('Données projet'!$B$11,Paramètres!$A$1:$I$88,3,0)*0.475*44/12</f>
        <v>1.2434667805750006</v>
      </c>
      <c r="BR185" s="23">
        <f>EXP(-LN(2)/2)*BR184+(1-EXP(-LN(2)/2))/(LN(2)/2)*BL185*BO185*VLOOKUP('Données projet'!$B$11,Paramètres!$A$1:$I$88,3,0)*0.475*44/12</f>
        <v>2.2785434574255894E-19</v>
      </c>
      <c r="BS185" s="24">
        <f t="shared" si="169"/>
        <v>9.9574749270150154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projet'!$B$12,Paramètres!$A$1:$I$88,3,0)*VLOOKUP('Données projet'!$B$12,Paramètres!$A$1:$I$88,5,0)</f>
        <v>6.7984728957526396E-14</v>
      </c>
      <c r="CA185" s="14">
        <f t="shared" si="170"/>
        <v>1.0682447123141398E-12</v>
      </c>
      <c r="CB185" s="22">
        <f t="shared" si="171"/>
        <v>1.978932943548152E-12</v>
      </c>
      <c r="CC185" s="62">
        <f t="shared" si="119"/>
        <v>293.3333333333353</v>
      </c>
      <c r="CD185" s="62">
        <f ca="1">AVERAGE(OFFSET($CC$3,0,0,'Données projet'!$E$12+1,1))-AVERAGE(OFFSET($H$3,0,0,'Données projet'!$E$12+1,1))</f>
        <v>168.16583766359378</v>
      </c>
      <c r="CE185" s="62">
        <f t="shared" si="148"/>
        <v>194.52809733694494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13.443915052048551</v>
      </c>
      <c r="CL185" s="23">
        <f>EXP(-LN(2)/25)*CL184+(1-EXP(-LN(2)/25))/(LN(2)/25)*Calculateur!CG185*Calculateur!CI185*VLOOKUP('Données projet'!$B$12,Paramètres!$A$1:$I$88,3,0)*0.475*44/12</f>
        <v>1.1436759229723994</v>
      </c>
      <c r="CM185" s="23">
        <f>EXP(-LN(2)/2)*CM184+(1-EXP(-LN(2)/2))/(LN(2)/2)*CG185*CJ185*VLOOKUP('Données projet'!$B$12,Paramètres!$A$1:$I$88,3,0)*0.475*44/12</f>
        <v>1.1809620124767957E-17</v>
      </c>
      <c r="CN185" s="24">
        <f t="shared" si="172"/>
        <v>14.58759097502095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projet'!$B$13,Paramètres!$A$1:$I$88,3,0)*VLOOKUP('Données projet'!$B$13,Paramètres!$A$1:$I$88,5,0)</f>
        <v>-4.9658410716801891E-14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146.09202487550647</v>
      </c>
      <c r="CZ185" s="62">
        <f t="shared" si="150"/>
        <v>168.58814676269344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9.2382509345697112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9.2382509345697112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1.7053025658242404E-13</v>
      </c>
      <c r="DP185" s="18">
        <f>DO185*VLOOKUP('Données projet'!$B$14,Paramètres!$A$1:$I$88,3,0)*VLOOKUP('Données projet'!$B$14,Paramètres!$A$1:$I$88,5,0)</f>
        <v>1.250327841262333E-13</v>
      </c>
      <c r="DQ185" s="14">
        <f t="shared" si="176"/>
        <v>1.8301318724634299E-12</v>
      </c>
      <c r="DR185" s="22">
        <f t="shared" si="177"/>
        <v>3.405245110226996E-12</v>
      </c>
      <c r="DS185" s="62">
        <f t="shared" si="125"/>
        <v>293.33333333333672</v>
      </c>
      <c r="DT185" s="62">
        <f ca="1">AVERAGE(OFFSET($DS$3,0,0,'Données projet'!$E$14+1,1))-AVERAGE(OFFSET($H$3,0,0,'Données projet'!$E$14+1,1))</f>
        <v>116.35584360635318</v>
      </c>
      <c r="DU185" s="62">
        <f t="shared" si="152"/>
        <v>86.38226293640173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11.100640664238602</v>
      </c>
      <c r="EB185" s="23">
        <f>EXP(-LN(2)/25)*EB184+(1-EXP(-LN(2)/25))/(LN(2)/25)*Calculateur!DW185*Calculateur!DY185*VLOOKUP('Données projet'!$B$14,Paramètres!$A$1:$I$88,3,0)*0.475*44/12</f>
        <v>0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11.100640664238602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-40</v>
      </c>
      <c r="O186" s="14">
        <f>N186*VLOOKUP('Données projet'!$B$9,Paramètres!$A$1:$I$88,3,0)*VLOOKUP('Données projet'!$B$9,Paramètres!$A$1:$I$88,5,0)</f>
        <v>-18.72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82.229723373996478</v>
      </c>
      <c r="T186" s="62">
        <f t="shared" si="142"/>
        <v>115.86489547584461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10.072881196701386</v>
      </c>
      <c r="AA186" s="23">
        <f>EXP(-LN(2)/25)*AA185+(1-EXP(-LN(2)/25))/(LN(2)/25)*Calculateur!V186*Calculateur!X186*VLOOKUP('Données projet'!$B$9,Paramètres!$A$1:$I$88,3,0)*0.475*44/12</f>
        <v>0.7834184130544064</v>
      </c>
      <c r="AB186" s="23">
        <f>EXP(-LN(2)/2)*AB185+(1-EXP(-LN(2)/2))/(LN(2)/2)*V186*Y186*VLOOKUP('Données projet'!$B$9,Paramètres!$A$1:$I$88,3,0)*0.475*44/12</f>
        <v>5.7416007840530294E-18</v>
      </c>
      <c r="AC186" s="24">
        <f t="shared" si="163"/>
        <v>10.856299609755792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262.78347246606825</v>
      </c>
      <c r="AO186" s="62">
        <f t="shared" si="144"/>
        <v>448.84541017639367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14.172304169230387</v>
      </c>
      <c r="AV186" s="23">
        <f>EXP(-LN(2)/25)*AV185+(1-EXP(-LN(2)/25))/(LN(2)/25)*Calculateur!AQ186*Calculateur!AS186*VLOOKUP('Données projet'!$B$10,Paramètres!$A$1:$I$88,3,0)*0.475*44/12</f>
        <v>1.257413982327827</v>
      </c>
      <c r="AW186" s="23">
        <f>EXP(-LN(2)/2)*AW185+(1-EXP(-LN(2)/2))/(LN(2)/2)*AQ186*AT186*VLOOKUP('Données projet'!$B$10,Paramètres!$A$1:$I$88,3,0)*0.475*44/12</f>
        <v>6.2358052494668007E-20</v>
      </c>
      <c r="AX186" s="23">
        <f t="shared" si="166"/>
        <v>15.429718151558214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projet'!$B$11,Paramètres!$A$1:$I$88,3,0)*VLOOKUP('Données projet'!$B$11,Paramètres!$A$1:$I$88,5,0)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135.14998708332445</v>
      </c>
      <c r="BJ186" s="62">
        <f t="shared" si="146"/>
        <v>245.50083454484513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8.5431317617084819</v>
      </c>
      <c r="BQ186" s="23">
        <f>EXP(-LN(2)/25)*BQ185+(1-EXP(-LN(2)/25))/(LN(2)/25)*Calculateur!BL186*Calculateur!BN186*VLOOKUP('Données projet'!$B$11,Paramètres!$A$1:$I$88,3,0)*0.475*44/12</f>
        <v>1.2094641160691011</v>
      </c>
      <c r="BR186" s="23">
        <f>EXP(-LN(2)/2)*BR185+(1-EXP(-LN(2)/2))/(LN(2)/2)*BL186*BO186*VLOOKUP('Données projet'!$B$11,Paramètres!$A$1:$I$88,3,0)*0.475*44/12</f>
        <v>1.6111735299738757E-19</v>
      </c>
      <c r="BS186" s="24">
        <f t="shared" si="169"/>
        <v>9.7525958777775834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projet'!$B$12,Paramètres!$A$1:$I$88,3,0)*VLOOKUP('Données projet'!$B$12,Paramètres!$A$1:$I$88,5,0)</f>
        <v>6.7984728957526396E-14</v>
      </c>
      <c r="CA186" s="14">
        <f t="shared" si="170"/>
        <v>1.0682447123141398E-12</v>
      </c>
      <c r="CB186" s="22">
        <f t="shared" si="171"/>
        <v>1.978932943548152E-12</v>
      </c>
      <c r="CC186" s="62">
        <f t="shared" si="119"/>
        <v>293.3333333333353</v>
      </c>
      <c r="CD186" s="62">
        <f ca="1">AVERAGE(OFFSET($CC$3,0,0,'Données projet'!$E$12+1,1))-AVERAGE(OFFSET($H$3,0,0,'Données projet'!$E$12+1,1))</f>
        <v>168.16583766359378</v>
      </c>
      <c r="CE186" s="62">
        <f t="shared" si="148"/>
        <v>194.52809733694494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13.18028807785638</v>
      </c>
      <c r="CL186" s="23">
        <f>EXP(-LN(2)/25)*CL185+(1-EXP(-LN(2)/25))/(LN(2)/25)*Calculateur!CG186*Calculateur!CI186*VLOOKUP('Données projet'!$B$12,Paramètres!$A$1:$I$88,3,0)*0.475*44/12</f>
        <v>1.1124020447154161</v>
      </c>
      <c r="CM186" s="23">
        <f>EXP(-LN(2)/2)*CM185+(1-EXP(-LN(2)/2))/(LN(2)/2)*CG186*CJ186*VLOOKUP('Données projet'!$B$12,Paramètres!$A$1:$I$88,3,0)*0.475*44/12</f>
        <v>8.350662473460544E-18</v>
      </c>
      <c r="CN186" s="24">
        <f t="shared" si="172"/>
        <v>14.292690122571797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projet'!$B$13,Paramètres!$A$1:$I$88,3,0)*VLOOKUP('Données projet'!$B$13,Paramètres!$A$1:$I$88,5,0)</f>
        <v>-4.9658410716801891E-14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146.09202487550647</v>
      </c>
      <c r="CZ186" s="62">
        <f t="shared" si="150"/>
        <v>168.58814676269344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9.0570944685194821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9.0570944685194821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1.7053025658242404E-13</v>
      </c>
      <c r="DP186" s="18">
        <f>DO186*VLOOKUP('Données projet'!$B$14,Paramètres!$A$1:$I$88,3,0)*VLOOKUP('Données projet'!$B$14,Paramètres!$A$1:$I$88,5,0)</f>
        <v>1.250327841262333E-13</v>
      </c>
      <c r="DQ186" s="14">
        <f t="shared" si="176"/>
        <v>1.8301318724634299E-12</v>
      </c>
      <c r="DR186" s="22">
        <f t="shared" si="177"/>
        <v>3.405245110226996E-12</v>
      </c>
      <c r="DS186" s="62">
        <f t="shared" si="125"/>
        <v>293.33333333333672</v>
      </c>
      <c r="DT186" s="62">
        <f ca="1">AVERAGE(OFFSET($DS$3,0,0,'Données projet'!$E$14+1,1))-AVERAGE(OFFSET($H$3,0,0,'Données projet'!$E$14+1,1))</f>
        <v>116.35584360635318</v>
      </c>
      <c r="DU186" s="62">
        <f t="shared" si="152"/>
        <v>86.38226293640173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10.882963871535136</v>
      </c>
      <c r="EB186" s="23">
        <f>EXP(-LN(2)/25)*EB185+(1-EXP(-LN(2)/25))/(LN(2)/25)*Calculateur!DW186*Calculateur!DY186*VLOOKUP('Données projet'!$B$14,Paramètres!$A$1:$I$88,3,0)*0.475*44/12</f>
        <v>0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10.882963871535136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-40</v>
      </c>
      <c r="O187" s="14">
        <f>N187*VLOOKUP('Données projet'!$B$9,Paramètres!$A$1:$I$88,3,0)*VLOOKUP('Données projet'!$B$9,Paramètres!$A$1:$I$88,5,0)</f>
        <v>-18.72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82.229723373996478</v>
      </c>
      <c r="T187" s="62">
        <f t="shared" si="142"/>
        <v>115.86489547584461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9.8753581402849466</v>
      </c>
      <c r="AA187" s="23">
        <f>EXP(-LN(2)/25)*AA186+(1-EXP(-LN(2)/25))/(LN(2)/25)*Calculateur!V187*Calculateur!X187*VLOOKUP('Données projet'!$B$9,Paramètres!$A$1:$I$88,3,0)*0.475*44/12</f>
        <v>0.76199579535124984</v>
      </c>
      <c r="AB187" s="23">
        <f>EXP(-LN(2)/2)*AB186+(1-EXP(-LN(2)/2))/(LN(2)/2)*V187*Y187*VLOOKUP('Données projet'!$B$9,Paramètres!$A$1:$I$88,3,0)*0.475*44/12</f>
        <v>4.0599248492698951E-18</v>
      </c>
      <c r="AC187" s="24">
        <f t="shared" si="163"/>
        <v>10.637353935636197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262.78347246606825</v>
      </c>
      <c r="AO187" s="62">
        <f t="shared" si="144"/>
        <v>448.84541017639367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13.894393928723773</v>
      </c>
      <c r="AV187" s="23">
        <f>EXP(-LN(2)/25)*AV186+(1-EXP(-LN(2)/25))/(LN(2)/25)*Calculateur!AQ187*Calculateur!AS187*VLOOKUP('Données projet'!$B$10,Paramètres!$A$1:$I$88,3,0)*0.475*44/12</f>
        <v>1.2230299308565451</v>
      </c>
      <c r="AW187" s="23">
        <f>EXP(-LN(2)/2)*AW186+(1-EXP(-LN(2)/2))/(LN(2)/2)*AQ187*AT187*VLOOKUP('Données projet'!$B$10,Paramètres!$A$1:$I$88,3,0)*0.475*44/12</f>
        <v>4.4093801780566455E-20</v>
      </c>
      <c r="AX187" s="23">
        <f t="shared" si="166"/>
        <v>15.117423859580317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projet'!$B$11,Paramètres!$A$1:$I$88,3,0)*VLOOKUP('Données projet'!$B$11,Paramètres!$A$1:$I$88,5,0)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135.14998708332445</v>
      </c>
      <c r="BJ187" s="62">
        <f t="shared" si="146"/>
        <v>245.50083454484513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8.375606158657229</v>
      </c>
      <c r="BQ187" s="23">
        <f>EXP(-LN(2)/25)*BQ186+(1-EXP(-LN(2)/25))/(LN(2)/25)*Calculateur!BL187*Calculateur!BN187*VLOOKUP('Données projet'!$B$11,Paramètres!$A$1:$I$88,3,0)*0.475*44/12</f>
        <v>1.1763912562122378</v>
      </c>
      <c r="BR187" s="23">
        <f>EXP(-LN(2)/2)*BR186+(1-EXP(-LN(2)/2))/(LN(2)/2)*BL187*BO187*VLOOKUP('Données projet'!$B$11,Paramètres!$A$1:$I$88,3,0)*0.475*44/12</f>
        <v>1.1392717287127947E-19</v>
      </c>
      <c r="BS187" s="24">
        <f t="shared" si="169"/>
        <v>9.5519974148694669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projet'!$B$12,Paramètres!$A$1:$I$88,3,0)*VLOOKUP('Données projet'!$B$12,Paramètres!$A$1:$I$88,5,0)</f>
        <v>6.7984728957526396E-14</v>
      </c>
      <c r="CA187" s="14">
        <f t="shared" si="170"/>
        <v>1.0682447123141398E-12</v>
      </c>
      <c r="CB187" s="22">
        <f t="shared" si="171"/>
        <v>1.978932943548152E-12</v>
      </c>
      <c r="CC187" s="62">
        <f t="shared" si="119"/>
        <v>293.3333333333353</v>
      </c>
      <c r="CD187" s="62">
        <f ca="1">AVERAGE(OFFSET($CC$3,0,0,'Données projet'!$E$12+1,1))-AVERAGE(OFFSET($H$3,0,0,'Données projet'!$E$12+1,1))</f>
        <v>168.16583766359378</v>
      </c>
      <c r="CE187" s="62">
        <f t="shared" si="148"/>
        <v>194.52809733694494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12.921830667831541</v>
      </c>
      <c r="CL187" s="23">
        <f>EXP(-LN(2)/25)*CL186+(1-EXP(-LN(2)/25))/(LN(2)/25)*Calculateur!CG187*Calculateur!CI187*VLOOKUP('Données projet'!$B$12,Paramètres!$A$1:$I$88,3,0)*0.475*44/12</f>
        <v>1.0819833523039919</v>
      </c>
      <c r="CM187" s="23">
        <f>EXP(-LN(2)/2)*CM186+(1-EXP(-LN(2)/2))/(LN(2)/2)*CG187*CJ187*VLOOKUP('Données projet'!$B$12,Paramètres!$A$1:$I$88,3,0)*0.475*44/12</f>
        <v>5.9048100623839787E-18</v>
      </c>
      <c r="CN187" s="24">
        <f t="shared" si="172"/>
        <v>14.003814020135533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projet'!$B$13,Paramètres!$A$1:$I$88,3,0)*VLOOKUP('Données projet'!$B$13,Paramètres!$A$1:$I$88,5,0)</f>
        <v>-4.9658410716801891E-14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146.09202487550647</v>
      </c>
      <c r="CZ187" s="62">
        <f t="shared" si="150"/>
        <v>168.58814676269344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8.8794903702739632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8.8794903702739632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1.7053025658242404E-13</v>
      </c>
      <c r="DP187" s="18">
        <f>DO187*VLOOKUP('Données projet'!$B$14,Paramètres!$A$1:$I$88,3,0)*VLOOKUP('Données projet'!$B$14,Paramètres!$A$1:$I$88,5,0)</f>
        <v>1.250327841262333E-13</v>
      </c>
      <c r="DQ187" s="14">
        <f t="shared" si="176"/>
        <v>1.8301318724634299E-12</v>
      </c>
      <c r="DR187" s="22">
        <f t="shared" si="177"/>
        <v>3.405245110226996E-12</v>
      </c>
      <c r="DS187" s="62">
        <f t="shared" si="125"/>
        <v>293.33333333333672</v>
      </c>
      <c r="DT187" s="62">
        <f ca="1">AVERAGE(OFFSET($DS$3,0,0,'Données projet'!$E$14+1,1))-AVERAGE(OFFSET($H$3,0,0,'Données projet'!$E$14+1,1))</f>
        <v>116.35584360635318</v>
      </c>
      <c r="DU187" s="62">
        <f t="shared" si="152"/>
        <v>86.38226293640173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10.669555587966849</v>
      </c>
      <c r="EB187" s="23">
        <f>EXP(-LN(2)/25)*EB186+(1-EXP(-LN(2)/25))/(LN(2)/25)*Calculateur!DW187*Calculateur!DY187*VLOOKUP('Données projet'!$B$14,Paramètres!$A$1:$I$88,3,0)*0.475*44/12</f>
        <v>0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10.669555587966849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-40</v>
      </c>
      <c r="O188" s="14">
        <f>N188*VLOOKUP('Données projet'!$B$9,Paramètres!$A$1:$I$88,3,0)*VLOOKUP('Données projet'!$B$9,Paramètres!$A$1:$I$88,5,0)</f>
        <v>-18.72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82.229723373996478</v>
      </c>
      <c r="T188" s="62">
        <f t="shared" si="142"/>
        <v>115.86489547584461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9.6817083905276657</v>
      </c>
      <c r="AA188" s="23">
        <f>EXP(-LN(2)/25)*AA187+(1-EXP(-LN(2)/25))/(LN(2)/25)*Calculateur!V188*Calculateur!X188*VLOOKUP('Données projet'!$B$9,Paramètres!$A$1:$I$88,3,0)*0.475*44/12</f>
        <v>0.74115898025575255</v>
      </c>
      <c r="AB188" s="23">
        <f>EXP(-LN(2)/2)*AB187+(1-EXP(-LN(2)/2))/(LN(2)/2)*V188*Y188*VLOOKUP('Données projet'!$B$9,Paramètres!$A$1:$I$88,3,0)*0.475*44/12</f>
        <v>2.8708003920265147E-18</v>
      </c>
      <c r="AC188" s="24">
        <f t="shared" si="163"/>
        <v>10.422867370783418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262.78347246606825</v>
      </c>
      <c r="AO188" s="62">
        <f t="shared" si="144"/>
        <v>448.84541017639367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13.621933338524984</v>
      </c>
      <c r="AV188" s="23">
        <f>EXP(-LN(2)/25)*AV187+(1-EXP(-LN(2)/25))/(LN(2)/25)*Calculateur!AQ188*Calculateur!AS188*VLOOKUP('Données projet'!$B$10,Paramètres!$A$1:$I$88,3,0)*0.475*44/12</f>
        <v>1.189586113080924</v>
      </c>
      <c r="AW188" s="23">
        <f>EXP(-LN(2)/2)*AW187+(1-EXP(-LN(2)/2))/(LN(2)/2)*AQ188*AT188*VLOOKUP('Données projet'!$B$10,Paramètres!$A$1:$I$88,3,0)*0.475*44/12</f>
        <v>3.1179026247334003E-20</v>
      </c>
      <c r="AX188" s="23">
        <f t="shared" si="166"/>
        <v>14.811519451605909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projet'!$B$11,Paramètres!$A$1:$I$88,3,0)*VLOOKUP('Données projet'!$B$11,Paramètres!$A$1:$I$88,5,0)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135.14998708332445</v>
      </c>
      <c r="BJ188" s="62">
        <f t="shared" si="146"/>
        <v>245.50083454484513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8.2113656305012839</v>
      </c>
      <c r="BQ188" s="23">
        <f>EXP(-LN(2)/25)*BQ187+(1-EXP(-LN(2)/25))/(LN(2)/25)*Calculateur!BL188*Calculateur!BN188*VLOOKUP('Données projet'!$B$11,Paramètres!$A$1:$I$88,3,0)*0.475*44/12</f>
        <v>1.1442227754473866</v>
      </c>
      <c r="BR188" s="23">
        <f>EXP(-LN(2)/2)*BR187+(1-EXP(-LN(2)/2))/(LN(2)/2)*BL188*BO188*VLOOKUP('Données projet'!$B$11,Paramètres!$A$1:$I$88,3,0)*0.475*44/12</f>
        <v>8.0558676498693785E-20</v>
      </c>
      <c r="BS188" s="24">
        <f t="shared" si="169"/>
        <v>9.3555884059486711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projet'!$B$12,Paramètres!$A$1:$I$88,3,0)*VLOOKUP('Données projet'!$B$12,Paramètres!$A$1:$I$88,5,0)</f>
        <v>6.7984728957526396E-14</v>
      </c>
      <c r="CA188" s="14">
        <f t="shared" si="170"/>
        <v>1.0682447123141398E-12</v>
      </c>
      <c r="CB188" s="22">
        <f t="shared" si="171"/>
        <v>1.978932943548152E-12</v>
      </c>
      <c r="CC188" s="62">
        <f t="shared" si="119"/>
        <v>293.3333333333353</v>
      </c>
      <c r="CD188" s="62">
        <f ca="1">AVERAGE(OFFSET($CC$3,0,0,'Données projet'!$E$12+1,1))-AVERAGE(OFFSET($H$3,0,0,'Données projet'!$E$12+1,1))</f>
        <v>168.16583766359378</v>
      </c>
      <c r="CE188" s="62">
        <f t="shared" si="148"/>
        <v>194.52809733694494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12.668441449973834</v>
      </c>
      <c r="CL188" s="23">
        <f>EXP(-LN(2)/25)*CL187+(1-EXP(-LN(2)/25))/(LN(2)/25)*Calculateur!CG188*Calculateur!CI188*VLOOKUP('Données projet'!$B$12,Paramètres!$A$1:$I$88,3,0)*0.475*44/12</f>
        <v>1.0523964606362077</v>
      </c>
      <c r="CM188" s="23">
        <f>EXP(-LN(2)/2)*CM187+(1-EXP(-LN(2)/2))/(LN(2)/2)*CG188*CJ188*VLOOKUP('Données projet'!$B$12,Paramètres!$A$1:$I$88,3,0)*0.475*44/12</f>
        <v>4.175331236730272E-18</v>
      </c>
      <c r="CN188" s="24">
        <f t="shared" si="172"/>
        <v>13.720837910610042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projet'!$B$13,Paramètres!$A$1:$I$88,3,0)*VLOOKUP('Données projet'!$B$13,Paramètres!$A$1:$I$88,5,0)</f>
        <v>-4.9658410716801891E-14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146.09202487550647</v>
      </c>
      <c r="CZ188" s="62">
        <f t="shared" si="150"/>
        <v>168.58814676269344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8.7053689800672363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8.7053689800672363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1.7053025658242404E-13</v>
      </c>
      <c r="DP188" s="18">
        <f>DO188*VLOOKUP('Données projet'!$B$14,Paramètres!$A$1:$I$88,3,0)*VLOOKUP('Données projet'!$B$14,Paramètres!$A$1:$I$88,5,0)</f>
        <v>1.250327841262333E-13</v>
      </c>
      <c r="DQ188" s="14">
        <f t="shared" si="176"/>
        <v>1.8301318724634299E-12</v>
      </c>
      <c r="DR188" s="22">
        <f t="shared" si="177"/>
        <v>3.405245110226996E-12</v>
      </c>
      <c r="DS188" s="62">
        <f t="shared" si="125"/>
        <v>293.33333333333672</v>
      </c>
      <c r="DT188" s="62">
        <f ca="1">AVERAGE(OFFSET($DS$3,0,0,'Données projet'!$E$14+1,1))-AVERAGE(OFFSET($H$3,0,0,'Données projet'!$E$14+1,1))</f>
        <v>116.35584360635318</v>
      </c>
      <c r="DU188" s="62">
        <f t="shared" si="152"/>
        <v>86.38226293640173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10.460332110673138</v>
      </c>
      <c r="EB188" s="23">
        <f>EXP(-LN(2)/25)*EB187+(1-EXP(-LN(2)/25))/(LN(2)/25)*Calculateur!DW188*Calculateur!DY188*VLOOKUP('Données projet'!$B$14,Paramètres!$A$1:$I$88,3,0)*0.475*44/12</f>
        <v>0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10.460332110673138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-40</v>
      </c>
      <c r="O189" s="14">
        <f>N189*VLOOKUP('Données projet'!$B$9,Paramètres!$A$1:$I$88,3,0)*VLOOKUP('Données projet'!$B$9,Paramètres!$A$1:$I$88,5,0)</f>
        <v>-18.72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82.229723373996478</v>
      </c>
      <c r="T189" s="62">
        <f t="shared" si="142"/>
        <v>115.86489547584461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9.4918559942484411</v>
      </c>
      <c r="AA189" s="23">
        <f>EXP(-LN(2)/25)*AA188+(1-EXP(-LN(2)/25))/(LN(2)/25)*Calculateur!V189*Calculateur!X189*VLOOKUP('Données projet'!$B$9,Paramètres!$A$1:$I$88,3,0)*0.475*44/12</f>
        <v>0.72089194896480213</v>
      </c>
      <c r="AB189" s="23">
        <f>EXP(-LN(2)/2)*AB188+(1-EXP(-LN(2)/2))/(LN(2)/2)*V189*Y189*VLOOKUP('Données projet'!$B$9,Paramètres!$A$1:$I$88,3,0)*0.475*44/12</f>
        <v>2.0299624246349476E-18</v>
      </c>
      <c r="AC189" s="24">
        <f t="shared" si="163"/>
        <v>10.212747943213243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262.78347246606825</v>
      </c>
      <c r="AO189" s="62">
        <f t="shared" si="144"/>
        <v>448.84541017639367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13.354815534315444</v>
      </c>
      <c r="AV189" s="23">
        <f>EXP(-LN(2)/25)*AV188+(1-EXP(-LN(2)/25))/(LN(2)/25)*Calculateur!AQ189*Calculateur!AS189*VLOOKUP('Données projet'!$B$10,Paramètres!$A$1:$I$88,3,0)*0.475*44/12</f>
        <v>1.1570568182611112</v>
      </c>
      <c r="AW189" s="23">
        <f>EXP(-LN(2)/2)*AW188+(1-EXP(-LN(2)/2))/(LN(2)/2)*AQ189*AT189*VLOOKUP('Données projet'!$B$10,Paramètres!$A$1:$I$88,3,0)*0.475*44/12</f>
        <v>2.2046900890283228E-20</v>
      </c>
      <c r="AX189" s="23">
        <f t="shared" si="166"/>
        <v>14.511872352576555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projet'!$B$11,Paramètres!$A$1:$I$88,3,0)*VLOOKUP('Données projet'!$B$11,Paramètres!$A$1:$I$88,5,0)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135.14998708332445</v>
      </c>
      <c r="BJ189" s="62">
        <f t="shared" si="146"/>
        <v>245.50083454484513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8.050345758925646</v>
      </c>
      <c r="BQ189" s="23">
        <f>EXP(-LN(2)/25)*BQ188+(1-EXP(-LN(2)/25))/(LN(2)/25)*Calculateur!BL189*Calculateur!BN189*VLOOKUP('Données projet'!$B$11,Paramètres!$A$1:$I$88,3,0)*0.475*44/12</f>
        <v>1.1129339434807173</v>
      </c>
      <c r="BR189" s="23">
        <f>EXP(-LN(2)/2)*BR188+(1-EXP(-LN(2)/2))/(LN(2)/2)*BL189*BO189*VLOOKUP('Données projet'!$B$11,Paramètres!$A$1:$I$88,3,0)*0.475*44/12</f>
        <v>5.6963586435639734E-20</v>
      </c>
      <c r="BS189" s="24">
        <f t="shared" si="169"/>
        <v>9.1632797024063635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projet'!$B$12,Paramètres!$A$1:$I$88,3,0)*VLOOKUP('Données projet'!$B$12,Paramètres!$A$1:$I$88,5,0)</f>
        <v>6.7984728957526396E-14</v>
      </c>
      <c r="CA189" s="14">
        <f t="shared" si="170"/>
        <v>1.0682447123141398E-12</v>
      </c>
      <c r="CB189" s="22">
        <f t="shared" si="171"/>
        <v>1.978932943548152E-12</v>
      </c>
      <c r="CC189" s="62">
        <f t="shared" si="119"/>
        <v>293.3333333333353</v>
      </c>
      <c r="CD189" s="62">
        <f ca="1">AVERAGE(OFFSET($CC$3,0,0,'Données projet'!$E$12+1,1))-AVERAGE(OFFSET($H$3,0,0,'Données projet'!$E$12+1,1))</f>
        <v>168.16583766359378</v>
      </c>
      <c r="CE189" s="62">
        <f t="shared" si="148"/>
        <v>194.52809733694494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12.420021040126155</v>
      </c>
      <c r="CL189" s="23">
        <f>EXP(-LN(2)/25)*CL188+(1-EXP(-LN(2)/25))/(LN(2)/25)*Calculateur!CG189*Calculateur!CI189*VLOOKUP('Données projet'!$B$12,Paramètres!$A$1:$I$88,3,0)*0.475*44/12</f>
        <v>1.023618624076986</v>
      </c>
      <c r="CM189" s="23">
        <f>EXP(-LN(2)/2)*CM188+(1-EXP(-LN(2)/2))/(LN(2)/2)*CG189*CJ189*VLOOKUP('Données projet'!$B$12,Paramètres!$A$1:$I$88,3,0)*0.475*44/12</f>
        <v>2.9524050311919893E-18</v>
      </c>
      <c r="CN189" s="24">
        <f t="shared" si="172"/>
        <v>13.443639664203141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projet'!$B$13,Paramètres!$A$1:$I$88,3,0)*VLOOKUP('Données projet'!$B$13,Paramètres!$A$1:$I$88,5,0)</f>
        <v>-4.9658410716801891E-14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146.09202487550647</v>
      </c>
      <c r="CZ189" s="62">
        <f t="shared" si="150"/>
        <v>168.58814676269344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8.5346620041189016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8.5346620041189016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1.7053025658242404E-13</v>
      </c>
      <c r="DP189" s="18">
        <f>DO189*VLOOKUP('Données projet'!$B$14,Paramètres!$A$1:$I$88,3,0)*VLOOKUP('Données projet'!$B$14,Paramètres!$A$1:$I$88,5,0)</f>
        <v>1.250327841262333E-13</v>
      </c>
      <c r="DQ189" s="14">
        <f t="shared" si="176"/>
        <v>1.8301318724634299E-12</v>
      </c>
      <c r="DR189" s="22">
        <f t="shared" si="177"/>
        <v>3.405245110226996E-12</v>
      </c>
      <c r="DS189" s="62">
        <f t="shared" si="125"/>
        <v>293.33333333333672</v>
      </c>
      <c r="DT189" s="62">
        <f ca="1">AVERAGE(OFFSET($DS$3,0,0,'Données projet'!$E$14+1,1))-AVERAGE(OFFSET($H$3,0,0,'Données projet'!$E$14+1,1))</f>
        <v>116.35584360635318</v>
      </c>
      <c r="DU189" s="62">
        <f t="shared" si="152"/>
        <v>86.38226293640173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10.255211378155435</v>
      </c>
      <c r="EB189" s="23">
        <f>EXP(-LN(2)/25)*EB188+(1-EXP(-LN(2)/25))/(LN(2)/25)*Calculateur!DW189*Calculateur!DY189*VLOOKUP('Données projet'!$B$14,Paramètres!$A$1:$I$88,3,0)*0.475*44/12</f>
        <v>0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10.255211378155435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-40</v>
      </c>
      <c r="O190" s="14">
        <f>N190*VLOOKUP('Données projet'!$B$9,Paramètres!$A$1:$I$88,3,0)*VLOOKUP('Données projet'!$B$9,Paramètres!$A$1:$I$88,5,0)</f>
        <v>-18.72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82.229723373996478</v>
      </c>
      <c r="T190" s="62">
        <f t="shared" si="142"/>
        <v>115.86489547584461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9.3057264876617243</v>
      </c>
      <c r="AA190" s="23">
        <f>EXP(-LN(2)/25)*AA189+(1-EXP(-LN(2)/25))/(LN(2)/25)*Calculateur!V190*Calculateur!X190*VLOOKUP('Données projet'!$B$9,Paramètres!$A$1:$I$88,3,0)*0.475*44/12</f>
        <v>0.70117912071029964</v>
      </c>
      <c r="AB190" s="23">
        <f>EXP(-LN(2)/2)*AB189+(1-EXP(-LN(2)/2))/(LN(2)/2)*V190*Y190*VLOOKUP('Données projet'!$B$9,Paramètres!$A$1:$I$88,3,0)*0.475*44/12</f>
        <v>1.4354001960132574E-18</v>
      </c>
      <c r="AC190" s="24">
        <f t="shared" si="163"/>
        <v>10.006905608372024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262.78347246606825</v>
      </c>
      <c r="AO190" s="62">
        <f t="shared" si="144"/>
        <v>448.84541017639367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13.092935747320679</v>
      </c>
      <c r="AV190" s="23">
        <f>EXP(-LN(2)/25)*AV189+(1-EXP(-LN(2)/25))/(LN(2)/25)*Calculateur!AQ190*Calculateur!AS190*VLOOKUP('Données projet'!$B$10,Paramètres!$A$1:$I$88,3,0)*0.475*44/12</f>
        <v>1.1254170387187874</v>
      </c>
      <c r="AW190" s="23">
        <f>EXP(-LN(2)/2)*AW189+(1-EXP(-LN(2)/2))/(LN(2)/2)*AQ190*AT190*VLOOKUP('Données projet'!$B$10,Paramètres!$A$1:$I$88,3,0)*0.475*44/12</f>
        <v>1.5589513123667002E-20</v>
      </c>
      <c r="AX190" s="23">
        <f t="shared" si="166"/>
        <v>14.218352786039466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projet'!$B$11,Paramètres!$A$1:$I$88,3,0)*VLOOKUP('Données projet'!$B$11,Paramètres!$A$1:$I$88,5,0)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135.14998708332445</v>
      </c>
      <c r="BJ190" s="62">
        <f t="shared" si="146"/>
        <v>245.50083454484513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7.8924833888191825</v>
      </c>
      <c r="BQ190" s="23">
        <f>EXP(-LN(2)/25)*BQ189+(1-EXP(-LN(2)/25))/(LN(2)/25)*Calculateur!BL190*Calculateur!BN190*VLOOKUP('Données projet'!$B$11,Paramètres!$A$1:$I$88,3,0)*0.475*44/12</f>
        <v>1.0825007062695846</v>
      </c>
      <c r="BR190" s="23">
        <f>EXP(-LN(2)/2)*BR189+(1-EXP(-LN(2)/2))/(LN(2)/2)*BL190*BO190*VLOOKUP('Données projet'!$B$11,Paramètres!$A$1:$I$88,3,0)*0.475*44/12</f>
        <v>4.0279338249346893E-20</v>
      </c>
      <c r="BS190" s="24">
        <f t="shared" si="169"/>
        <v>8.974984095088768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projet'!$B$12,Paramètres!$A$1:$I$88,3,0)*VLOOKUP('Données projet'!$B$12,Paramètres!$A$1:$I$88,5,0)</f>
        <v>6.7984728957526396E-14</v>
      </c>
      <c r="CA190" s="14">
        <f t="shared" si="170"/>
        <v>1.0682447123141398E-12</v>
      </c>
      <c r="CB190" s="22">
        <f t="shared" si="171"/>
        <v>1.978932943548152E-12</v>
      </c>
      <c r="CC190" s="62">
        <f t="shared" si="119"/>
        <v>293.3333333333353</v>
      </c>
      <c r="CD190" s="62">
        <f ca="1">AVERAGE(OFFSET($CC$3,0,0,'Données projet'!$E$12+1,1))-AVERAGE(OFFSET($H$3,0,0,'Données projet'!$E$12+1,1))</f>
        <v>168.16583766359378</v>
      </c>
      <c r="CE190" s="62">
        <f t="shared" si="148"/>
        <v>194.52809733694494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12.176472002994101</v>
      </c>
      <c r="CL190" s="23">
        <f>EXP(-LN(2)/25)*CL189+(1-EXP(-LN(2)/25))/(LN(2)/25)*Calculateur!CG190*Calculateur!CI190*VLOOKUP('Données projet'!$B$12,Paramètres!$A$1:$I$88,3,0)*0.475*44/12</f>
        <v>0.99562771897183688</v>
      </c>
      <c r="CM190" s="23">
        <f>EXP(-LN(2)/2)*CM189+(1-EXP(-LN(2)/2))/(LN(2)/2)*CG190*CJ190*VLOOKUP('Données projet'!$B$12,Paramètres!$A$1:$I$88,3,0)*0.475*44/12</f>
        <v>2.087665618365136E-18</v>
      </c>
      <c r="CN190" s="24">
        <f t="shared" si="172"/>
        <v>13.172099721965939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projet'!$B$13,Paramètres!$A$1:$I$88,3,0)*VLOOKUP('Données projet'!$B$13,Paramètres!$A$1:$I$88,5,0)</f>
        <v>-4.9658410716801891E-14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146.09202487550647</v>
      </c>
      <c r="CZ190" s="62">
        <f t="shared" si="150"/>
        <v>168.58814676269344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8.3673024878479385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8.3673024878479385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1.7053025658242404E-13</v>
      </c>
      <c r="DP190" s="18">
        <f>DO190*VLOOKUP('Données projet'!$B$14,Paramètres!$A$1:$I$88,3,0)*VLOOKUP('Données projet'!$B$14,Paramètres!$A$1:$I$88,5,0)</f>
        <v>1.250327841262333E-13</v>
      </c>
      <c r="DQ190" s="14">
        <f t="shared" si="176"/>
        <v>1.8301318724634299E-12</v>
      </c>
      <c r="DR190" s="22">
        <f t="shared" si="177"/>
        <v>3.405245110226996E-12</v>
      </c>
      <c r="DS190" s="62">
        <f t="shared" si="125"/>
        <v>293.33333333333672</v>
      </c>
      <c r="DT190" s="62">
        <f ca="1">AVERAGE(OFFSET($DS$3,0,0,'Données projet'!$E$14+1,1))-AVERAGE(OFFSET($H$3,0,0,'Données projet'!$E$14+1,1))</f>
        <v>116.35584360635318</v>
      </c>
      <c r="DU190" s="62">
        <f t="shared" si="152"/>
        <v>86.38226293640173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10.054112938091112</v>
      </c>
      <c r="EB190" s="23">
        <f>EXP(-LN(2)/25)*EB189+(1-EXP(-LN(2)/25))/(LN(2)/25)*Calculateur!DW190*Calculateur!DY190*VLOOKUP('Données projet'!$B$14,Paramètres!$A$1:$I$88,3,0)*0.475*44/12</f>
        <v>0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10.054112938091112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-40</v>
      </c>
      <c r="O191" s="14">
        <f>N191*VLOOKUP('Données projet'!$B$9,Paramètres!$A$1:$I$88,3,0)*VLOOKUP('Données projet'!$B$9,Paramètres!$A$1:$I$88,5,0)</f>
        <v>-18.72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82.229723373996478</v>
      </c>
      <c r="T191" s="62">
        <f t="shared" si="142"/>
        <v>115.86489547584461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9.1232468671713836</v>
      </c>
      <c r="AA191" s="23">
        <f>EXP(-LN(2)/25)*AA190+(1-EXP(-LN(2)/25))/(LN(2)/25)*Calculateur!V191*Calculateur!X191*VLOOKUP('Données projet'!$B$9,Paramètres!$A$1:$I$88,3,0)*0.475*44/12</f>
        <v>0.68200534078106911</v>
      </c>
      <c r="AB191" s="23">
        <f>EXP(-LN(2)/2)*AB190+(1-EXP(-LN(2)/2))/(LN(2)/2)*V191*Y191*VLOOKUP('Données projet'!$B$9,Paramètres!$A$1:$I$88,3,0)*0.475*44/12</f>
        <v>1.0149812123174738E-18</v>
      </c>
      <c r="AC191" s="24">
        <f t="shared" si="163"/>
        <v>9.8052522079524529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262.78347246606825</v>
      </c>
      <c r="AO191" s="62">
        <f t="shared" si="144"/>
        <v>448.84541017639367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12.836191263217984</v>
      </c>
      <c r="AV191" s="23">
        <f>EXP(-LN(2)/25)*AV190+(1-EXP(-LN(2)/25))/(LN(2)/25)*Calculateur!AQ191*Calculateur!AS191*VLOOKUP('Données projet'!$B$10,Paramètres!$A$1:$I$88,3,0)*0.475*44/12</f>
        <v>1.0946424506119123</v>
      </c>
      <c r="AW191" s="23">
        <f>EXP(-LN(2)/2)*AW190+(1-EXP(-LN(2)/2))/(LN(2)/2)*AQ191*AT191*VLOOKUP('Données projet'!$B$10,Paramètres!$A$1:$I$88,3,0)*0.475*44/12</f>
        <v>1.1023450445141614E-20</v>
      </c>
      <c r="AX191" s="23">
        <f t="shared" si="166"/>
        <v>13.930833713829896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projet'!$B$11,Paramètres!$A$1:$I$88,3,0)*VLOOKUP('Données projet'!$B$11,Paramètres!$A$1:$I$88,5,0)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135.14998708332445</v>
      </c>
      <c r="BJ191" s="62">
        <f t="shared" si="146"/>
        <v>245.50083454484513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7.7377166035039684</v>
      </c>
      <c r="BQ191" s="23">
        <f>EXP(-LN(2)/25)*BQ190+(1-EXP(-LN(2)/25))/(LN(2)/25)*Calculateur!BL191*Calculateur!BN191*VLOOKUP('Données projet'!$B$11,Paramètres!$A$1:$I$88,3,0)*0.475*44/12</f>
        <v>1.0528996675304048</v>
      </c>
      <c r="BR191" s="23">
        <f>EXP(-LN(2)/2)*BR190+(1-EXP(-LN(2)/2))/(LN(2)/2)*BL191*BO191*VLOOKUP('Données projet'!$B$11,Paramètres!$A$1:$I$88,3,0)*0.475*44/12</f>
        <v>2.8481793217819867E-20</v>
      </c>
      <c r="BS191" s="24">
        <f t="shared" si="169"/>
        <v>8.7906162710343736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projet'!$B$12,Paramètres!$A$1:$I$88,3,0)*VLOOKUP('Données projet'!$B$12,Paramètres!$A$1:$I$88,5,0)</f>
        <v>6.7984728957526396E-14</v>
      </c>
      <c r="CA191" s="14">
        <f t="shared" si="170"/>
        <v>1.0682447123141398E-12</v>
      </c>
      <c r="CB191" s="22">
        <f t="shared" si="171"/>
        <v>1.978932943548152E-12</v>
      </c>
      <c r="CC191" s="62">
        <f t="shared" si="119"/>
        <v>293.3333333333353</v>
      </c>
      <c r="CD191" s="62">
        <f ca="1">AVERAGE(OFFSET($CC$3,0,0,'Données projet'!$E$12+1,1))-AVERAGE(OFFSET($H$3,0,0,'Données projet'!$E$12+1,1))</f>
        <v>168.16583766359378</v>
      </c>
      <c r="CE191" s="62">
        <f t="shared" si="148"/>
        <v>194.52809733694494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11.937698813929963</v>
      </c>
      <c r="CL191" s="23">
        <f>EXP(-LN(2)/25)*CL190+(1-EXP(-LN(2)/25))/(LN(2)/25)*Calculateur!CG191*Calculateur!CI191*VLOOKUP('Données projet'!$B$12,Paramètres!$A$1:$I$88,3,0)*0.475*44/12</f>
        <v>0.96840222663876585</v>
      </c>
      <c r="CM191" s="23">
        <f>EXP(-LN(2)/2)*CM190+(1-EXP(-LN(2)/2))/(LN(2)/2)*CG191*CJ191*VLOOKUP('Données projet'!$B$12,Paramètres!$A$1:$I$88,3,0)*0.475*44/12</f>
        <v>1.4762025155959947E-18</v>
      </c>
      <c r="CN191" s="24">
        <f t="shared" si="172"/>
        <v>12.906101040568728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projet'!$B$13,Paramètres!$A$1:$I$88,3,0)*VLOOKUP('Données projet'!$B$13,Paramètres!$A$1:$I$88,5,0)</f>
        <v>-4.9658410716801891E-14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146.09202487550647</v>
      </c>
      <c r="CZ191" s="62">
        <f t="shared" si="150"/>
        <v>168.58814676269344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8.2032247896118236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8.2032247896118236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1.7053025658242404E-13</v>
      </c>
      <c r="DP191" s="18">
        <f>DO191*VLOOKUP('Données projet'!$B$14,Paramètres!$A$1:$I$88,3,0)*VLOOKUP('Données projet'!$B$14,Paramètres!$A$1:$I$88,5,0)</f>
        <v>1.250327841262333E-13</v>
      </c>
      <c r="DQ191" s="14">
        <f t="shared" si="176"/>
        <v>1.8301318724634299E-12</v>
      </c>
      <c r="DR191" s="22">
        <f t="shared" si="177"/>
        <v>3.405245110226996E-12</v>
      </c>
      <c r="DS191" s="62">
        <f t="shared" si="125"/>
        <v>293.33333333333672</v>
      </c>
      <c r="DT191" s="62">
        <f ca="1">AVERAGE(OFFSET($DS$3,0,0,'Données projet'!$E$14+1,1))-AVERAGE(OFFSET($H$3,0,0,'Données projet'!$E$14+1,1))</f>
        <v>116.35584360635318</v>
      </c>
      <c r="DU191" s="62">
        <f t="shared" si="152"/>
        <v>86.38226293640173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9.8569579157785139</v>
      </c>
      <c r="EB191" s="23">
        <f>EXP(-LN(2)/25)*EB190+(1-EXP(-LN(2)/25))/(LN(2)/25)*Calculateur!DW191*Calculateur!DY191*VLOOKUP('Données projet'!$B$14,Paramètres!$A$1:$I$88,3,0)*0.475*44/12</f>
        <v>0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9.8569579157785139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-40</v>
      </c>
      <c r="O192" s="14">
        <f>N192*VLOOKUP('Données projet'!$B$9,Paramètres!$A$1:$I$88,3,0)*VLOOKUP('Données projet'!$B$9,Paramètres!$A$1:$I$88,5,0)</f>
        <v>-18.72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82.229723373996478</v>
      </c>
      <c r="T192" s="62">
        <f t="shared" si="142"/>
        <v>115.86489547584461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8.9443455607372808</v>
      </c>
      <c r="AA192" s="23">
        <f>EXP(-LN(2)/25)*AA191+(1-EXP(-LN(2)/25))/(LN(2)/25)*Calculateur!V192*Calculateur!X192*VLOOKUP('Données projet'!$B$9,Paramètres!$A$1:$I$88,3,0)*0.475*44/12</f>
        <v>0.66335586887230868</v>
      </c>
      <c r="AB192" s="23">
        <f>EXP(-LN(2)/2)*AB191+(1-EXP(-LN(2)/2))/(LN(2)/2)*V192*Y192*VLOOKUP('Données projet'!$B$9,Paramètres!$A$1:$I$88,3,0)*0.475*44/12</f>
        <v>7.1770009800662868E-19</v>
      </c>
      <c r="AC192" s="24">
        <f t="shared" si="163"/>
        <v>9.6077014296095893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262.78347246606825</v>
      </c>
      <c r="AO192" s="62">
        <f t="shared" si="144"/>
        <v>448.84541017639367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12.584481381849869</v>
      </c>
      <c r="AV192" s="23">
        <f>EXP(-LN(2)/25)*AV191+(1-EXP(-LN(2)/25))/(LN(2)/25)*Calculateur!AQ192*Calculateur!AS192*VLOOKUP('Données projet'!$B$10,Paramètres!$A$1:$I$88,3,0)*0.475*44/12</f>
        <v>1.0647093952351849</v>
      </c>
      <c r="AW192" s="23">
        <f>EXP(-LN(2)/2)*AW191+(1-EXP(-LN(2)/2))/(LN(2)/2)*AQ192*AT192*VLOOKUP('Données projet'!$B$10,Paramètres!$A$1:$I$88,3,0)*0.475*44/12</f>
        <v>7.7947565618335008E-21</v>
      </c>
      <c r="AX192" s="23">
        <f t="shared" si="166"/>
        <v>13.649190777085055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projet'!$B$11,Paramètres!$A$1:$I$88,3,0)*VLOOKUP('Données projet'!$B$11,Paramètres!$A$1:$I$88,5,0)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135.14998708332445</v>
      </c>
      <c r="BJ192" s="62">
        <f t="shared" si="146"/>
        <v>245.50083454484513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7.5859847004503678</v>
      </c>
      <c r="BQ192" s="23">
        <f>EXP(-LN(2)/25)*BQ191+(1-EXP(-LN(2)/25))/(LN(2)/25)*Calculateur!BL192*Calculateur!BN192*VLOOKUP('Données projet'!$B$11,Paramètres!$A$1:$I$88,3,0)*0.475*44/12</f>
        <v>1.0241080707521988</v>
      </c>
      <c r="BR192" s="23">
        <f>EXP(-LN(2)/2)*BR191+(1-EXP(-LN(2)/2))/(LN(2)/2)*BL192*BO192*VLOOKUP('Données projet'!$B$11,Paramètres!$A$1:$I$88,3,0)*0.475*44/12</f>
        <v>2.0139669124673446E-20</v>
      </c>
      <c r="BS192" s="24">
        <f t="shared" si="169"/>
        <v>8.6100927712025666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projet'!$B$12,Paramètres!$A$1:$I$88,3,0)*VLOOKUP('Données projet'!$B$12,Paramètres!$A$1:$I$88,5,0)</f>
        <v>6.7984728957526396E-14</v>
      </c>
      <c r="CA192" s="14">
        <f t="shared" si="170"/>
        <v>1.0682447123141398E-12</v>
      </c>
      <c r="CB192" s="22">
        <f t="shared" si="171"/>
        <v>1.978932943548152E-12</v>
      </c>
      <c r="CC192" s="62">
        <f t="shared" si="119"/>
        <v>293.3333333333353</v>
      </c>
      <c r="CD192" s="62">
        <f ca="1">AVERAGE(OFFSET($CC$3,0,0,'Données projet'!$E$12+1,1))-AVERAGE(OFFSET($H$3,0,0,'Données projet'!$E$12+1,1))</f>
        <v>168.16583766359378</v>
      </c>
      <c r="CE192" s="62">
        <f t="shared" si="148"/>
        <v>194.52809733694494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11.703607821466106</v>
      </c>
      <c r="CL192" s="23">
        <f>EXP(-LN(2)/25)*CL191+(1-EXP(-LN(2)/25))/(LN(2)/25)*Calculateur!CG192*Calculateur!CI192*VLOOKUP('Données projet'!$B$12,Paramètres!$A$1:$I$88,3,0)*0.475*44/12</f>
        <v>0.94192121682526897</v>
      </c>
      <c r="CM192" s="23">
        <f>EXP(-LN(2)/2)*CM191+(1-EXP(-LN(2)/2))/(LN(2)/2)*CG192*CJ192*VLOOKUP('Données projet'!$B$12,Paramètres!$A$1:$I$88,3,0)*0.475*44/12</f>
        <v>1.043832809182568E-18</v>
      </c>
      <c r="CN192" s="24">
        <f t="shared" si="172"/>
        <v>12.645529038291375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projet'!$B$13,Paramètres!$A$1:$I$88,3,0)*VLOOKUP('Données projet'!$B$13,Paramètres!$A$1:$I$88,5,0)</f>
        <v>-4.9658410716801891E-14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146.09202487550647</v>
      </c>
      <c r="CZ192" s="62">
        <f t="shared" si="150"/>
        <v>168.58814676269344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8.0423645549606047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8.0423645549606047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1.7053025658242404E-13</v>
      </c>
      <c r="DP192" s="18">
        <f>DO192*VLOOKUP('Données projet'!$B$14,Paramètres!$A$1:$I$88,3,0)*VLOOKUP('Données projet'!$B$14,Paramètres!$A$1:$I$88,5,0)</f>
        <v>1.250327841262333E-13</v>
      </c>
      <c r="DQ192" s="14">
        <f t="shared" si="176"/>
        <v>1.8301318724634299E-12</v>
      </c>
      <c r="DR192" s="22">
        <f t="shared" si="177"/>
        <v>3.405245110226996E-12</v>
      </c>
      <c r="DS192" s="62">
        <f t="shared" si="125"/>
        <v>293.33333333333672</v>
      </c>
      <c r="DT192" s="62">
        <f ca="1">AVERAGE(OFFSET($DS$3,0,0,'Données projet'!$E$14+1,1))-AVERAGE(OFFSET($H$3,0,0,'Données projet'!$E$14+1,1))</f>
        <v>116.35584360635318</v>
      </c>
      <c r="DU192" s="62">
        <f t="shared" si="152"/>
        <v>86.38226293640173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9.6636689832007754</v>
      </c>
      <c r="EB192" s="23">
        <f>EXP(-LN(2)/25)*EB191+(1-EXP(-LN(2)/25))/(LN(2)/25)*Calculateur!DW192*Calculateur!DY192*VLOOKUP('Données projet'!$B$14,Paramètres!$A$1:$I$88,3,0)*0.475*44/12</f>
        <v>0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9.6636689832007754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-40</v>
      </c>
      <c r="O193" s="14">
        <f>N193*VLOOKUP('Données projet'!$B$9,Paramètres!$A$1:$I$88,3,0)*VLOOKUP('Données projet'!$B$9,Paramètres!$A$1:$I$88,5,0)</f>
        <v>-18.72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82.229723373996478</v>
      </c>
      <c r="T193" s="62">
        <f t="shared" si="142"/>
        <v>115.86489547584461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8.768952399803327</v>
      </c>
      <c r="AA193" s="23">
        <f>EXP(-LN(2)/25)*AA192+(1-EXP(-LN(2)/25))/(LN(2)/25)*Calculateur!V193*Calculateur!X193*VLOOKUP('Données projet'!$B$9,Paramètres!$A$1:$I$88,3,0)*0.475*44/12</f>
        <v>0.64521636775362634</v>
      </c>
      <c r="AB193" s="23">
        <f>EXP(-LN(2)/2)*AB192+(1-EXP(-LN(2)/2))/(LN(2)/2)*V193*Y193*VLOOKUP('Données projet'!$B$9,Paramètres!$A$1:$I$88,3,0)*0.475*44/12</f>
        <v>5.0749060615873689E-19</v>
      </c>
      <c r="AC193" s="24">
        <f t="shared" si="163"/>
        <v>9.4141687675569532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262.78347246606825</v>
      </c>
      <c r="AO193" s="62">
        <f t="shared" si="144"/>
        <v>448.84541017639367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12.337707377727517</v>
      </c>
      <c r="AV193" s="23">
        <f>EXP(-LN(2)/25)*AV192+(1-EXP(-LN(2)/25))/(LN(2)/25)*Calculateur!AQ193*Calculateur!AS193*VLOOKUP('Données projet'!$B$10,Paramètres!$A$1:$I$88,3,0)*0.475*44/12</f>
        <v>1.035594860831845</v>
      </c>
      <c r="AW193" s="23">
        <f>EXP(-LN(2)/2)*AW192+(1-EXP(-LN(2)/2))/(LN(2)/2)*AQ193*AT193*VLOOKUP('Données projet'!$B$10,Paramètres!$A$1:$I$88,3,0)*0.475*44/12</f>
        <v>5.5117252225708069E-21</v>
      </c>
      <c r="AX193" s="23">
        <f t="shared" si="166"/>
        <v>13.373302238559361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projet'!$B$11,Paramètres!$A$1:$I$88,3,0)*VLOOKUP('Données projet'!$B$11,Paramètres!$A$1:$I$88,5,0)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135.14998708332445</v>
      </c>
      <c r="BJ193" s="62">
        <f t="shared" si="146"/>
        <v>245.50083454484513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7.4372281674683256</v>
      </c>
      <c r="BQ193" s="23">
        <f>EXP(-LN(2)/25)*BQ192+(1-EXP(-LN(2)/25))/(LN(2)/25)*Calculateur!BL193*Calculateur!BN193*VLOOKUP('Données projet'!$B$11,Paramètres!$A$1:$I$88,3,0)*0.475*44/12</f>
        <v>0.99610378170197711</v>
      </c>
      <c r="BR193" s="23">
        <f>EXP(-LN(2)/2)*BR192+(1-EXP(-LN(2)/2))/(LN(2)/2)*BL193*BO193*VLOOKUP('Données projet'!$B$11,Paramètres!$A$1:$I$88,3,0)*0.475*44/12</f>
        <v>1.4240896608909934E-20</v>
      </c>
      <c r="BS193" s="24">
        <f t="shared" si="169"/>
        <v>8.4333319491703023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projet'!$B$12,Paramètres!$A$1:$I$88,3,0)*VLOOKUP('Données projet'!$B$12,Paramètres!$A$1:$I$88,5,0)</f>
        <v>6.7984728957526396E-14</v>
      </c>
      <c r="CA193" s="14">
        <f t="shared" si="170"/>
        <v>1.0682447123141398E-12</v>
      </c>
      <c r="CB193" s="22">
        <f t="shared" si="171"/>
        <v>1.978932943548152E-12</v>
      </c>
      <c r="CC193" s="62">
        <f t="shared" si="119"/>
        <v>293.3333333333353</v>
      </c>
      <c r="CD193" s="62">
        <f ca="1">AVERAGE(OFFSET($CC$3,0,0,'Données projet'!$E$12+1,1))-AVERAGE(OFFSET($H$3,0,0,'Données projet'!$E$12+1,1))</f>
        <v>168.16583766359378</v>
      </c>
      <c r="CE193" s="62">
        <f t="shared" si="148"/>
        <v>194.52809733694494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11.474107210583059</v>
      </c>
      <c r="CL193" s="23">
        <f>EXP(-LN(2)/25)*CL192+(1-EXP(-LN(2)/25))/(LN(2)/25)*Calculateur!CG193*Calculateur!CI193*VLOOKUP('Données projet'!$B$12,Paramètres!$A$1:$I$88,3,0)*0.475*44/12</f>
        <v>0.91616433161769795</v>
      </c>
      <c r="CM193" s="23">
        <f>EXP(-LN(2)/2)*CM192+(1-EXP(-LN(2)/2))/(LN(2)/2)*CG193*CJ193*VLOOKUP('Données projet'!$B$12,Paramètres!$A$1:$I$88,3,0)*0.475*44/12</f>
        <v>7.3810125779799733E-19</v>
      </c>
      <c r="CN193" s="24">
        <f t="shared" si="172"/>
        <v>12.390271542200757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projet'!$B$13,Paramètres!$A$1:$I$88,3,0)*VLOOKUP('Données projet'!$B$13,Paramètres!$A$1:$I$88,5,0)</f>
        <v>-4.9658410716801891E-14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146.09202487550647</v>
      </c>
      <c r="CZ193" s="62">
        <f t="shared" si="150"/>
        <v>168.58814676269344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7.8846586913958419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7.8846586913958419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1.7053025658242404E-13</v>
      </c>
      <c r="DP193" s="18">
        <f>DO193*VLOOKUP('Données projet'!$B$14,Paramètres!$A$1:$I$88,3,0)*VLOOKUP('Données projet'!$B$14,Paramètres!$A$1:$I$88,5,0)</f>
        <v>1.250327841262333E-13</v>
      </c>
      <c r="DQ193" s="14">
        <f t="shared" si="176"/>
        <v>1.8301318724634299E-12</v>
      </c>
      <c r="DR193" s="22">
        <f t="shared" si="177"/>
        <v>3.405245110226996E-12</v>
      </c>
      <c r="DS193" s="62">
        <f t="shared" si="125"/>
        <v>293.33333333333672</v>
      </c>
      <c r="DT193" s="62">
        <f ca="1">AVERAGE(OFFSET($DS$3,0,0,'Données projet'!$E$14+1,1))-AVERAGE(OFFSET($H$3,0,0,'Données projet'!$E$14+1,1))</f>
        <v>116.35584360635318</v>
      </c>
      <c r="DU193" s="62">
        <f t="shared" si="152"/>
        <v>86.38226293640173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9.4741703286962782</v>
      </c>
      <c r="EB193" s="23">
        <f>EXP(-LN(2)/25)*EB192+(1-EXP(-LN(2)/25))/(LN(2)/25)*Calculateur!DW193*Calculateur!DY193*VLOOKUP('Données projet'!$B$14,Paramètres!$A$1:$I$88,3,0)*0.475*44/12</f>
        <v>0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9.4741703286962782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-40</v>
      </c>
      <c r="O194" s="14">
        <f>N194*VLOOKUP('Données projet'!$B$9,Paramètres!$A$1:$I$88,3,0)*VLOOKUP('Données projet'!$B$9,Paramètres!$A$1:$I$88,5,0)</f>
        <v>-18.72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82.229723373996478</v>
      </c>
      <c r="T194" s="62">
        <f t="shared" si="142"/>
        <v>115.86489547584461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8.596998591776023</v>
      </c>
      <c r="AA194" s="23">
        <f>EXP(-LN(2)/25)*AA193+(1-EXP(-LN(2)/25))/(LN(2)/25)*Calculateur!V194*Calculateur!X194*VLOOKUP('Données projet'!$B$9,Paramètres!$A$1:$I$88,3,0)*0.475*44/12</f>
        <v>0.62757289224694934</v>
      </c>
      <c r="AB194" s="23">
        <f>EXP(-LN(2)/2)*AB193+(1-EXP(-LN(2)/2))/(LN(2)/2)*V194*Y194*VLOOKUP('Données projet'!$B$9,Paramètres!$A$1:$I$88,3,0)*0.475*44/12</f>
        <v>3.5885004900331434E-19</v>
      </c>
      <c r="AC194" s="24">
        <f t="shared" si="163"/>
        <v>9.224571484022972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262.78347246606825</v>
      </c>
      <c r="AO194" s="62">
        <f t="shared" si="144"/>
        <v>448.84541017639367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12.095772461308723</v>
      </c>
      <c r="AV194" s="23">
        <f>EXP(-LN(2)/25)*AV193+(1-EXP(-LN(2)/25))/(LN(2)/25)*Calculateur!AQ194*Calculateur!AS194*VLOOKUP('Données projet'!$B$10,Paramètres!$A$1:$I$88,3,0)*0.475*44/12</f>
        <v>1.0072764649028314</v>
      </c>
      <c r="AW194" s="23">
        <f>EXP(-LN(2)/2)*AW193+(1-EXP(-LN(2)/2))/(LN(2)/2)*AQ194*AT194*VLOOKUP('Données projet'!$B$10,Paramètres!$A$1:$I$88,3,0)*0.475*44/12</f>
        <v>3.8973782809167504E-21</v>
      </c>
      <c r="AX194" s="23">
        <f t="shared" si="166"/>
        <v>13.103048926211555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projet'!$B$11,Paramètres!$A$1:$I$88,3,0)*VLOOKUP('Données projet'!$B$11,Paramètres!$A$1:$I$88,5,0)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135.14998708332445</v>
      </c>
      <c r="BJ194" s="62">
        <f t="shared" si="146"/>
        <v>245.50083454484513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7.291388659365535</v>
      </c>
      <c r="BQ194" s="23">
        <f>EXP(-LN(2)/25)*BQ193+(1-EXP(-LN(2)/25))/(LN(2)/25)*Calculateur!BL194*Calculateur!BN194*VLOOKUP('Données projet'!$B$11,Paramètres!$A$1:$I$88,3,0)*0.475*44/12</f>
        <v>0.96886527140851531</v>
      </c>
      <c r="BR194" s="23">
        <f>EXP(-LN(2)/2)*BR193+(1-EXP(-LN(2)/2))/(LN(2)/2)*BL194*BO194*VLOOKUP('Données projet'!$B$11,Paramètres!$A$1:$I$88,3,0)*0.475*44/12</f>
        <v>1.0069834562336723E-20</v>
      </c>
      <c r="BS194" s="24">
        <f t="shared" si="169"/>
        <v>8.2602539307740503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projet'!$B$12,Paramètres!$A$1:$I$88,3,0)*VLOOKUP('Données projet'!$B$12,Paramètres!$A$1:$I$88,5,0)</f>
        <v>6.7984728957526396E-14</v>
      </c>
      <c r="CA194" s="14">
        <f t="shared" si="170"/>
        <v>1.0682447123141398E-12</v>
      </c>
      <c r="CB194" s="22">
        <f t="shared" si="171"/>
        <v>1.978932943548152E-12</v>
      </c>
      <c r="CC194" s="62">
        <f t="shared" si="119"/>
        <v>293.3333333333353</v>
      </c>
      <c r="CD194" s="62">
        <f ca="1">AVERAGE(OFFSET($CC$3,0,0,'Données projet'!$E$12+1,1))-AVERAGE(OFFSET($H$3,0,0,'Données projet'!$E$12+1,1))</f>
        <v>168.16583766359378</v>
      </c>
      <c r="CE194" s="62">
        <f t="shared" si="148"/>
        <v>194.52809733694494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11.249106966697877</v>
      </c>
      <c r="CL194" s="23">
        <f>EXP(-LN(2)/25)*CL193+(1-EXP(-LN(2)/25))/(LN(2)/25)*Calculateur!CG194*Calculateur!CI194*VLOOKUP('Données projet'!$B$12,Paramètres!$A$1:$I$88,3,0)*0.475*44/12</f>
        <v>0.89111176979062368</v>
      </c>
      <c r="CM194" s="23">
        <f>EXP(-LN(2)/2)*CM193+(1-EXP(-LN(2)/2))/(LN(2)/2)*CG194*CJ194*VLOOKUP('Données projet'!$B$12,Paramètres!$A$1:$I$88,3,0)*0.475*44/12</f>
        <v>5.21916404591284E-19</v>
      </c>
      <c r="CN194" s="24">
        <f t="shared" si="172"/>
        <v>12.140218736488499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projet'!$B$13,Paramètres!$A$1:$I$88,3,0)*VLOOKUP('Données projet'!$B$13,Paramètres!$A$1:$I$88,5,0)</f>
        <v>-4.9658410716801891E-14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146.09202487550647</v>
      </c>
      <c r="CZ194" s="62">
        <f t="shared" si="150"/>
        <v>168.58814676269344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7.7300453436245053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7.7300453436245053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1.7053025658242404E-13</v>
      </c>
      <c r="DP194" s="18">
        <f>DO194*VLOOKUP('Données projet'!$B$14,Paramètres!$A$1:$I$88,3,0)*VLOOKUP('Données projet'!$B$14,Paramètres!$A$1:$I$88,5,0)</f>
        <v>1.250327841262333E-13</v>
      </c>
      <c r="DQ194" s="14">
        <f t="shared" si="176"/>
        <v>1.8301318724634299E-12</v>
      </c>
      <c r="DR194" s="22">
        <f t="shared" si="177"/>
        <v>3.405245110226996E-12</v>
      </c>
      <c r="DS194" s="62">
        <f t="shared" si="125"/>
        <v>293.33333333333672</v>
      </c>
      <c r="DT194" s="62">
        <f ca="1">AVERAGE(OFFSET($DS$3,0,0,'Données projet'!$E$14+1,1))-AVERAGE(OFFSET($H$3,0,0,'Données projet'!$E$14+1,1))</f>
        <v>116.35584360635318</v>
      </c>
      <c r="DU194" s="62">
        <f t="shared" si="152"/>
        <v>86.38226293640173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9.2883876272238481</v>
      </c>
      <c r="EB194" s="23">
        <f>EXP(-LN(2)/25)*EB193+(1-EXP(-LN(2)/25))/(LN(2)/25)*Calculateur!DW194*Calculateur!DY194*VLOOKUP('Données projet'!$B$14,Paramètres!$A$1:$I$88,3,0)*0.475*44/12</f>
        <v>0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9.2883876272238481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-40</v>
      </c>
      <c r="O195" s="14">
        <f>N195*VLOOKUP('Données projet'!$B$9,Paramètres!$A$1:$I$88,3,0)*VLOOKUP('Données projet'!$B$9,Paramètres!$A$1:$I$88,5,0)</f>
        <v>-18.72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82.229723373996478</v>
      </c>
      <c r="T195" s="62">
        <f t="shared" si="142"/>
        <v>115.86489547584461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8.4284166930426689</v>
      </c>
      <c r="AA195" s="23">
        <f>EXP(-LN(2)/25)*AA194+(1-EXP(-LN(2)/25))/(LN(2)/25)*Calculateur!V195*Calculateur!X195*VLOOKUP('Données projet'!$B$9,Paramètres!$A$1:$I$88,3,0)*0.475*44/12</f>
        <v>0.61041187850583245</v>
      </c>
      <c r="AB195" s="23">
        <f>EXP(-LN(2)/2)*AB194+(1-EXP(-LN(2)/2))/(LN(2)/2)*V195*Y195*VLOOKUP('Données projet'!$B$9,Paramètres!$A$1:$I$88,3,0)*0.475*44/12</f>
        <v>2.5374530307936844E-19</v>
      </c>
      <c r="AC195" s="24">
        <f t="shared" si="163"/>
        <v>9.0388285715485015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262.78347246606825</v>
      </c>
      <c r="AO195" s="62">
        <f t="shared" si="144"/>
        <v>448.84541017639367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11.858581741035174</v>
      </c>
      <c r="AV195" s="23">
        <f>EXP(-LN(2)/25)*AV194+(1-EXP(-LN(2)/25))/(LN(2)/25)*Calculateur!AQ195*Calculateur!AS195*VLOOKUP('Données projet'!$B$10,Paramètres!$A$1:$I$88,3,0)*0.475*44/12</f>
        <v>0.97973243699969637</v>
      </c>
      <c r="AW195" s="23">
        <f>EXP(-LN(2)/2)*AW194+(1-EXP(-LN(2)/2))/(LN(2)/2)*AQ195*AT195*VLOOKUP('Données projet'!$B$10,Paramètres!$A$1:$I$88,3,0)*0.475*44/12</f>
        <v>2.7558626112854034E-21</v>
      </c>
      <c r="AX195" s="23">
        <f t="shared" si="166"/>
        <v>12.838314178034871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projet'!$B$11,Paramètres!$A$1:$I$88,3,0)*VLOOKUP('Données projet'!$B$11,Paramètres!$A$1:$I$88,5,0)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135.14998708332445</v>
      </c>
      <c r="BJ195" s="62">
        <f t="shared" si="146"/>
        <v>245.50083454484513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7.1484089750633242</v>
      </c>
      <c r="BQ195" s="23">
        <f>EXP(-LN(2)/25)*BQ194+(1-EXP(-LN(2)/25))/(LN(2)/25)*Calculateur!BL195*Calculateur!BN195*VLOOKUP('Données projet'!$B$11,Paramètres!$A$1:$I$88,3,0)*0.475*44/12</f>
        <v>0.94237159961143924</v>
      </c>
      <c r="BR195" s="23">
        <f>EXP(-LN(2)/2)*BR194+(1-EXP(-LN(2)/2))/(LN(2)/2)*BL195*BO195*VLOOKUP('Données projet'!$B$11,Paramètres!$A$1:$I$88,3,0)*0.475*44/12</f>
        <v>7.1204483044549668E-21</v>
      </c>
      <c r="BS195" s="24">
        <f t="shared" si="169"/>
        <v>8.0907805746747634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projet'!$B$12,Paramètres!$A$1:$I$88,3,0)*VLOOKUP('Données projet'!$B$12,Paramètres!$A$1:$I$88,5,0)</f>
        <v>6.7984728957526396E-14</v>
      </c>
      <c r="CA195" s="14">
        <f t="shared" si="170"/>
        <v>1.0682447123141398E-12</v>
      </c>
      <c r="CB195" s="22">
        <f t="shared" si="171"/>
        <v>1.978932943548152E-12</v>
      </c>
      <c r="CC195" s="62">
        <f t="shared" si="119"/>
        <v>293.3333333333353</v>
      </c>
      <c r="CD195" s="62">
        <f ca="1">AVERAGE(OFFSET($CC$3,0,0,'Données projet'!$E$12+1,1))-AVERAGE(OFFSET($H$3,0,0,'Données projet'!$E$12+1,1))</f>
        <v>168.16583766359378</v>
      </c>
      <c r="CE195" s="62">
        <f t="shared" si="148"/>
        <v>194.52809733694494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11.028518840358686</v>
      </c>
      <c r="CL195" s="23">
        <f>EXP(-LN(2)/25)*CL194+(1-EXP(-LN(2)/25))/(LN(2)/25)*Calculateur!CG195*Calculateur!CI195*VLOOKUP('Données projet'!$B$12,Paramètres!$A$1:$I$88,3,0)*0.475*44/12</f>
        <v>0.86674427158416778</v>
      </c>
      <c r="CM195" s="23">
        <f>EXP(-LN(2)/2)*CM194+(1-EXP(-LN(2)/2))/(LN(2)/2)*CG195*CJ195*VLOOKUP('Données projet'!$B$12,Paramètres!$A$1:$I$88,3,0)*0.475*44/12</f>
        <v>3.6905062889899867E-19</v>
      </c>
      <c r="CN195" s="24">
        <f t="shared" si="172"/>
        <v>11.895263111942853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projet'!$B$13,Paramètres!$A$1:$I$88,3,0)*VLOOKUP('Données projet'!$B$13,Paramètres!$A$1:$I$88,5,0)</f>
        <v>-4.9658410716801891E-14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146.09202487550647</v>
      </c>
      <c r="CZ195" s="62">
        <f t="shared" si="150"/>
        <v>168.58814676269344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7.5784638692981341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7.5784638692981341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1.7053025658242404E-13</v>
      </c>
      <c r="DP195" s="18">
        <f>DO195*VLOOKUP('Données projet'!$B$14,Paramètres!$A$1:$I$88,3,0)*VLOOKUP('Données projet'!$B$14,Paramètres!$A$1:$I$88,5,0)</f>
        <v>1.250327841262333E-13</v>
      </c>
      <c r="DQ195" s="14">
        <f t="shared" si="176"/>
        <v>1.8301318724634299E-12</v>
      </c>
      <c r="DR195" s="22">
        <f t="shared" si="177"/>
        <v>3.405245110226996E-12</v>
      </c>
      <c r="DS195" s="62">
        <f t="shared" si="125"/>
        <v>293.33333333333672</v>
      </c>
      <c r="DT195" s="62">
        <f ca="1">AVERAGE(OFFSET($DS$3,0,0,'Données projet'!$E$14+1,1))-AVERAGE(OFFSET($H$3,0,0,'Données projet'!$E$14+1,1))</f>
        <v>116.35584360635318</v>
      </c>
      <c r="DU195" s="62">
        <f t="shared" si="152"/>
        <v>86.38226293640173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9.1062480112110329</v>
      </c>
      <c r="EB195" s="23">
        <f>EXP(-LN(2)/25)*EB194+(1-EXP(-LN(2)/25))/(LN(2)/25)*Calculateur!DW195*Calculateur!DY195*VLOOKUP('Données projet'!$B$14,Paramètres!$A$1:$I$88,3,0)*0.475*44/12</f>
        <v>0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9.1062480112110329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-40</v>
      </c>
      <c r="O196" s="14">
        <f>N196*VLOOKUP('Données projet'!$B$9,Paramètres!$A$1:$I$88,3,0)*VLOOKUP('Données projet'!$B$9,Paramètres!$A$1:$I$88,5,0)</f>
        <v>-18.72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82.229723373996478</v>
      </c>
      <c r="T196" s="62">
        <f t="shared" si="142"/>
        <v>115.86489547584461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8.2631405825186697</v>
      </c>
      <c r="AA196" s="23">
        <f>EXP(-LN(2)/25)*AA195+(1-EXP(-LN(2)/25))/(LN(2)/25)*Calculateur!V196*Calculateur!X196*VLOOKUP('Données projet'!$B$9,Paramètres!$A$1:$I$88,3,0)*0.475*44/12</f>
        <v>0.59372013358792486</v>
      </c>
      <c r="AB196" s="23">
        <f>EXP(-LN(2)/2)*AB195+(1-EXP(-LN(2)/2))/(LN(2)/2)*V196*Y196*VLOOKUP('Données projet'!$B$9,Paramètres!$A$1:$I$88,3,0)*0.475*44/12</f>
        <v>1.7942502450165717E-19</v>
      </c>
      <c r="AC196" s="24">
        <f t="shared" si="163"/>
        <v>8.8568607161065938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262.78347246606825</v>
      </c>
      <c r="AO196" s="62">
        <f t="shared" si="144"/>
        <v>448.84541017639367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11.626042186114134</v>
      </c>
      <c r="AV196" s="23">
        <f>EXP(-LN(2)/25)*AV195+(1-EXP(-LN(2)/25))/(LN(2)/25)*Calculateur!AQ196*Calculateur!AS196*VLOOKUP('Données projet'!$B$10,Paramètres!$A$1:$I$88,3,0)*0.475*44/12</f>
        <v>0.95294160198805</v>
      </c>
      <c r="AW196" s="23">
        <f>EXP(-LN(2)/2)*AW195+(1-EXP(-LN(2)/2))/(LN(2)/2)*AQ196*AT196*VLOOKUP('Données projet'!$B$10,Paramètres!$A$1:$I$88,3,0)*0.475*44/12</f>
        <v>1.9486891404583752E-21</v>
      </c>
      <c r="AX196" s="23">
        <f t="shared" si="166"/>
        <v>12.578983788102184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projet'!$B$11,Paramètres!$A$1:$I$88,3,0)*VLOOKUP('Données projet'!$B$11,Paramètres!$A$1:$I$88,5,0)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135.14998708332445</v>
      </c>
      <c r="BJ196" s="62">
        <f t="shared" si="146"/>
        <v>245.50083454484513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7.0082330351612834</v>
      </c>
      <c r="BQ196" s="23">
        <f>EXP(-LN(2)/25)*BQ195+(1-EXP(-LN(2)/25))/(LN(2)/25)*Calculateur!BL196*Calculateur!BN196*VLOOKUP('Données projet'!$B$11,Paramètres!$A$1:$I$88,3,0)*0.475*44/12</f>
        <v>0.91660239866289583</v>
      </c>
      <c r="BR196" s="23">
        <f>EXP(-LN(2)/2)*BR195+(1-EXP(-LN(2)/2))/(LN(2)/2)*BL196*BO196*VLOOKUP('Données projet'!$B$11,Paramètres!$A$1:$I$88,3,0)*0.475*44/12</f>
        <v>5.0349172811683616E-21</v>
      </c>
      <c r="BS196" s="24">
        <f t="shared" si="169"/>
        <v>7.9248354338241791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projet'!$B$12,Paramètres!$A$1:$I$88,3,0)*VLOOKUP('Données projet'!$B$12,Paramètres!$A$1:$I$88,5,0)</f>
        <v>6.7984728957526396E-14</v>
      </c>
      <c r="CA196" s="14">
        <f t="shared" si="170"/>
        <v>1.0682447123141398E-12</v>
      </c>
      <c r="CB196" s="22">
        <f t="shared" si="171"/>
        <v>1.978932943548152E-12</v>
      </c>
      <c r="CC196" s="62">
        <f t="shared" ref="CC196:CC203" si="195">CB196+(BT196+BU196)*44/12</f>
        <v>293.3333333333353</v>
      </c>
      <c r="CD196" s="62">
        <f ca="1">AVERAGE(OFFSET($CC$3,0,0,'Données projet'!$E$12+1,1))-AVERAGE(OFFSET($H$3,0,0,'Données projet'!$E$12+1,1))</f>
        <v>168.16583766359378</v>
      </c>
      <c r="CE196" s="62">
        <f t="shared" si="148"/>
        <v>194.52809733694494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10.812256312631535</v>
      </c>
      <c r="CL196" s="23">
        <f>EXP(-LN(2)/25)*CL195+(1-EXP(-LN(2)/25))/(LN(2)/25)*Calculateur!CG196*Calculateur!CI196*VLOOKUP('Données projet'!$B$12,Paramètres!$A$1:$I$88,3,0)*0.475*44/12</f>
        <v>0.8430431038975984</v>
      </c>
      <c r="CM196" s="23">
        <f>EXP(-LN(2)/2)*CM195+(1-EXP(-LN(2)/2))/(LN(2)/2)*CG196*CJ196*VLOOKUP('Données projet'!$B$12,Paramètres!$A$1:$I$88,3,0)*0.475*44/12</f>
        <v>2.60958202295642E-19</v>
      </c>
      <c r="CN196" s="24">
        <f t="shared" si="172"/>
        <v>11.655299416529132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projet'!$B$13,Paramètres!$A$1:$I$88,3,0)*VLOOKUP('Données projet'!$B$13,Paramètres!$A$1:$I$88,5,0)</f>
        <v>-4.9658410716801891E-14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146.09202487550647</v>
      </c>
      <c r="CZ196" s="62">
        <f t="shared" si="150"/>
        <v>168.58814676269344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7.4298548152277331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7.4298548152277331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1.7053025658242404E-13</v>
      </c>
      <c r="DP196" s="18">
        <f>DO196*VLOOKUP('Données projet'!$B$14,Paramètres!$A$1:$I$88,3,0)*VLOOKUP('Données projet'!$B$14,Paramètres!$A$1:$I$88,5,0)</f>
        <v>1.250327841262333E-13</v>
      </c>
      <c r="DQ196" s="14">
        <f t="shared" si="176"/>
        <v>1.8301318724634299E-12</v>
      </c>
      <c r="DR196" s="22">
        <f t="shared" si="177"/>
        <v>3.405245110226996E-12</v>
      </c>
      <c r="DS196" s="62">
        <f t="shared" ref="DS196:DS203" si="197">DR196+(DJ196+DK196)*44/12</f>
        <v>293.33333333333672</v>
      </c>
      <c r="DT196" s="62">
        <f ca="1">AVERAGE(OFFSET($DS$3,0,0,'Données projet'!$E$14+1,1))-AVERAGE(OFFSET($H$3,0,0,'Données projet'!$E$14+1,1))</f>
        <v>116.35584360635318</v>
      </c>
      <c r="DU196" s="62">
        <f t="shared" si="152"/>
        <v>86.38226293640173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8.9276800419740336</v>
      </c>
      <c r="EB196" s="23">
        <f>EXP(-LN(2)/25)*EB195+(1-EXP(-LN(2)/25))/(LN(2)/25)*Calculateur!DW196*Calculateur!DY196*VLOOKUP('Données projet'!$B$14,Paramètres!$A$1:$I$88,3,0)*0.475*44/12</f>
        <v>0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8.9276800419740336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-40</v>
      </c>
      <c r="O197" s="14">
        <f>N197*VLOOKUP('Données projet'!$B$9,Paramètres!$A$1:$I$88,3,0)*VLOOKUP('Données projet'!$B$9,Paramètres!$A$1:$I$88,5,0)</f>
        <v>-18.72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82.229723373996478</v>
      </c>
      <c r="T197" s="62">
        <f t="shared" ref="T197:T203" si="204">$T$3</f>
        <v>115.86489547584461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8.1011054357135741</v>
      </c>
      <c r="AA197" s="23">
        <f>EXP(-LN(2)/25)*AA196+(1-EXP(-LN(2)/25))/(LN(2)/25)*Calculateur!V197*Calculateur!X197*VLOOKUP('Données projet'!$B$9,Paramètres!$A$1:$I$88,3,0)*0.475*44/12</f>
        <v>0.57748482531257816</v>
      </c>
      <c r="AB197" s="23">
        <f>EXP(-LN(2)/2)*AB196+(1-EXP(-LN(2)/2))/(LN(2)/2)*V197*Y197*VLOOKUP('Données projet'!$B$9,Paramètres!$A$1:$I$88,3,0)*0.475*44/12</f>
        <v>1.2687265153968422E-19</v>
      </c>
      <c r="AC197" s="24">
        <f t="shared" si="163"/>
        <v>8.6785902610261516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262.78347246606825</v>
      </c>
      <c r="AO197" s="62">
        <f t="shared" ref="AO197:AO203" si="205">$AO$3</f>
        <v>448.84541017639367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11.398062590029973</v>
      </c>
      <c r="AV197" s="23">
        <f>EXP(-LN(2)/25)*AV196+(1-EXP(-LN(2)/25))/(LN(2)/25)*Calculateur!AQ197*Calculateur!AS197*VLOOKUP('Données projet'!$B$10,Paramètres!$A$1:$I$88,3,0)*0.475*44/12</f>
        <v>0.92688336376866587</v>
      </c>
      <c r="AW197" s="23">
        <f>EXP(-LN(2)/2)*AW196+(1-EXP(-LN(2)/2))/(LN(2)/2)*AQ197*AT197*VLOOKUP('Données projet'!$B$10,Paramètres!$A$1:$I$88,3,0)*0.475*44/12</f>
        <v>1.3779313056427017E-21</v>
      </c>
      <c r="AX197" s="23">
        <f t="shared" si="166"/>
        <v>12.324945953798638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projet'!$B$11,Paramètres!$A$1:$I$88,3,0)*VLOOKUP('Données projet'!$B$11,Paramètres!$A$1:$I$88,5,0)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135.14998708332445</v>
      </c>
      <c r="BJ197" s="62">
        <f t="shared" ref="BJ197:BJ203" si="206">$BJ$3</f>
        <v>245.50083454484513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6.8708058599418402</v>
      </c>
      <c r="BQ197" s="23">
        <f>EXP(-LN(2)/25)*BQ196+(1-EXP(-LN(2)/25))/(LN(2)/25)*Calculateur!BL197*Calculateur!BN197*VLOOKUP('Données projet'!$B$11,Paramètres!$A$1:$I$88,3,0)*0.475*44/12</f>
        <v>0.89153785786943374</v>
      </c>
      <c r="BR197" s="23">
        <f>EXP(-LN(2)/2)*BR196+(1-EXP(-LN(2)/2))/(LN(2)/2)*BL197*BO197*VLOOKUP('Données projet'!$B$11,Paramètres!$A$1:$I$88,3,0)*0.475*44/12</f>
        <v>3.5602241522274834E-21</v>
      </c>
      <c r="BS197" s="24">
        <f t="shared" si="169"/>
        <v>7.762343717811274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projet'!$B$12,Paramètres!$A$1:$I$88,3,0)*VLOOKUP('Données projet'!$B$12,Paramètres!$A$1:$I$88,5,0)</f>
        <v>6.7984728957526396E-14</v>
      </c>
      <c r="CA197" s="14">
        <f t="shared" si="170"/>
        <v>1.0682447123141398E-12</v>
      </c>
      <c r="CB197" s="22">
        <f t="shared" si="171"/>
        <v>1.978932943548152E-12</v>
      </c>
      <c r="CC197" s="62">
        <f t="shared" si="195"/>
        <v>293.3333333333353</v>
      </c>
      <c r="CD197" s="62">
        <f ca="1">AVERAGE(OFFSET($CC$3,0,0,'Données projet'!$E$12+1,1))-AVERAGE(OFFSET($H$3,0,0,'Données projet'!$E$12+1,1))</f>
        <v>168.16583766359378</v>
      </c>
      <c r="CE197" s="62">
        <f t="shared" ref="CE197:CE203" si="207">$CE$3</f>
        <v>194.52809733694494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10.600234561165996</v>
      </c>
      <c r="CL197" s="23">
        <f>EXP(-LN(2)/25)*CL196+(1-EXP(-LN(2)/25))/(LN(2)/25)*Calculateur!CG197*Calculateur!CI197*VLOOKUP('Données projet'!$B$12,Paramètres!$A$1:$I$88,3,0)*0.475*44/12</f>
        <v>0.81999004588780855</v>
      </c>
      <c r="CM197" s="23">
        <f>EXP(-LN(2)/2)*CM196+(1-EXP(-LN(2)/2))/(LN(2)/2)*CG197*CJ197*VLOOKUP('Données projet'!$B$12,Paramètres!$A$1:$I$88,3,0)*0.475*44/12</f>
        <v>1.8452531444949933E-19</v>
      </c>
      <c r="CN197" s="24">
        <f t="shared" si="172"/>
        <v>11.420224607053804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projet'!$B$13,Paramètres!$A$1:$I$88,3,0)*VLOOKUP('Données projet'!$B$13,Paramètres!$A$1:$I$88,5,0)</f>
        <v>-4.9658410716801891E-14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146.09202487550647</v>
      </c>
      <c r="CZ197" s="62">
        <f t="shared" ref="CZ197:CZ203" si="208">$CZ$3</f>
        <v>168.58814676269344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7.2841598940650796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7.2841598940650796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1.7053025658242404E-13</v>
      </c>
      <c r="DP197" s="18">
        <f>DO197*VLOOKUP('Données projet'!$B$14,Paramètres!$A$1:$I$88,3,0)*VLOOKUP('Données projet'!$B$14,Paramètres!$A$1:$I$88,5,0)</f>
        <v>1.250327841262333E-13</v>
      </c>
      <c r="DQ197" s="14">
        <f t="shared" si="176"/>
        <v>1.8301318724634299E-12</v>
      </c>
      <c r="DR197" s="22">
        <f t="shared" si="177"/>
        <v>3.405245110226996E-12</v>
      </c>
      <c r="DS197" s="62">
        <f t="shared" si="197"/>
        <v>293.33333333333672</v>
      </c>
      <c r="DT197" s="62">
        <f ca="1">AVERAGE(OFFSET($DS$3,0,0,'Données projet'!$E$14+1,1))-AVERAGE(OFFSET($H$3,0,0,'Données projet'!$E$14+1,1))</f>
        <v>116.35584360635318</v>
      </c>
      <c r="DU197" s="62">
        <f t="shared" ref="DU197:DU203" si="209">$DU$3</f>
        <v>86.38226293640173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8.7526136816980653</v>
      </c>
      <c r="EB197" s="23">
        <f>EXP(-LN(2)/25)*EB196+(1-EXP(-LN(2)/25))/(LN(2)/25)*Calculateur!DW197*Calculateur!DY197*VLOOKUP('Données projet'!$B$14,Paramètres!$A$1:$I$88,3,0)*0.475*44/12</f>
        <v>0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8.7526136816980653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-40</v>
      </c>
      <c r="O198" s="14">
        <f>N198*VLOOKUP('Données projet'!$B$9,Paramètres!$A$1:$I$88,3,0)*VLOOKUP('Données projet'!$B$9,Paramètres!$A$1:$I$88,5,0)</f>
        <v>-18.72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82.229723373996478</v>
      </c>
      <c r="T198" s="62">
        <f t="shared" si="204"/>
        <v>115.86489547584461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7.9422476993056454</v>
      </c>
      <c r="AA198" s="23">
        <f>EXP(-LN(2)/25)*AA197+(1-EXP(-LN(2)/25))/(LN(2)/25)*Calculateur!V198*Calculateur!X198*VLOOKUP('Données projet'!$B$9,Paramètres!$A$1:$I$88,3,0)*0.475*44/12</f>
        <v>0.56169347239579859</v>
      </c>
      <c r="AB198" s="23">
        <f>EXP(-LN(2)/2)*AB197+(1-EXP(-LN(2)/2))/(LN(2)/2)*V198*Y198*VLOOKUP('Données projet'!$B$9,Paramètres!$A$1:$I$88,3,0)*0.475*44/12</f>
        <v>8.9712512250828585E-20</v>
      </c>
      <c r="AC198" s="24">
        <f t="shared" si="163"/>
        <v>8.5039411717014435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262.78347246606825</v>
      </c>
      <c r="AO198" s="62">
        <f t="shared" si="205"/>
        <v>448.84541017639367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11.174553534771199</v>
      </c>
      <c r="AV198" s="23">
        <f>EXP(-LN(2)/25)*AV197+(1-EXP(-LN(2)/25))/(LN(2)/25)*Calculateur!AQ198*Calculateur!AS198*VLOOKUP('Données projet'!$B$10,Paramètres!$A$1:$I$88,3,0)*0.475*44/12</f>
        <v>0.90153768944373402</v>
      </c>
      <c r="AW198" s="23">
        <f>EXP(-LN(2)/2)*AW197+(1-EXP(-LN(2)/2))/(LN(2)/2)*AQ198*AT198*VLOOKUP('Données projet'!$B$10,Paramètres!$A$1:$I$88,3,0)*0.475*44/12</f>
        <v>9.7434457022918761E-22</v>
      </c>
      <c r="AX198" s="23">
        <f t="shared" si="166"/>
        <v>12.076091224214933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projet'!$B$11,Paramètres!$A$1:$I$88,3,0)*VLOOKUP('Données projet'!$B$11,Paramètres!$A$1:$I$88,5,0)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135.14998708332445</v>
      </c>
      <c r="BJ198" s="62">
        <f t="shared" si="206"/>
        <v>245.50083454484513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6.73607354780615</v>
      </c>
      <c r="BQ198" s="23">
        <f>EXP(-LN(2)/25)*BQ197+(1-EXP(-LN(2)/25))/(LN(2)/25)*Calculateur!BL198*Calculateur!BN198*VLOOKUP('Données projet'!$B$11,Paramètres!$A$1:$I$88,3,0)*0.475*44/12</f>
        <v>0.86715870826205577</v>
      </c>
      <c r="BR198" s="23">
        <f>EXP(-LN(2)/2)*BR197+(1-EXP(-LN(2)/2))/(LN(2)/2)*BL198*BO198*VLOOKUP('Données projet'!$B$11,Paramètres!$A$1:$I$88,3,0)*0.475*44/12</f>
        <v>2.5174586405841808E-21</v>
      </c>
      <c r="BS198" s="24">
        <f t="shared" si="169"/>
        <v>7.603232256068206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projet'!$B$12,Paramètres!$A$1:$I$88,3,0)*VLOOKUP('Données projet'!$B$12,Paramètres!$A$1:$I$88,5,0)</f>
        <v>6.7984728957526396E-14</v>
      </c>
      <c r="CA198" s="14">
        <f t="shared" si="170"/>
        <v>1.0682447123141398E-12</v>
      </c>
      <c r="CB198" s="22">
        <f t="shared" si="171"/>
        <v>1.978932943548152E-12</v>
      </c>
      <c r="CC198" s="62">
        <f t="shared" si="195"/>
        <v>293.3333333333353</v>
      </c>
      <c r="CD198" s="62">
        <f ca="1">AVERAGE(OFFSET($CC$3,0,0,'Données projet'!$E$12+1,1))-AVERAGE(OFFSET($H$3,0,0,'Données projet'!$E$12+1,1))</f>
        <v>168.16583766359378</v>
      </c>
      <c r="CE198" s="62">
        <f t="shared" si="207"/>
        <v>194.52809733694494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10.392370426926197</v>
      </c>
      <c r="CL198" s="23">
        <f>EXP(-LN(2)/25)*CL197+(1-EXP(-LN(2)/25))/(LN(2)/25)*Calculateur!CG198*Calculateur!CI198*VLOOKUP('Données projet'!$B$12,Paramètres!$A$1:$I$88,3,0)*0.475*44/12</f>
        <v>0.79756737496160401</v>
      </c>
      <c r="CM198" s="23">
        <f>EXP(-LN(2)/2)*CM197+(1-EXP(-LN(2)/2))/(LN(2)/2)*CG198*CJ198*VLOOKUP('Données projet'!$B$12,Paramètres!$A$1:$I$88,3,0)*0.475*44/12</f>
        <v>1.30479101147821E-19</v>
      </c>
      <c r="CN198" s="24">
        <f t="shared" si="172"/>
        <v>11.189937801887801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projet'!$B$13,Paramètres!$A$1:$I$88,3,0)*VLOOKUP('Données projet'!$B$13,Paramètres!$A$1:$I$88,5,0)</f>
        <v>-4.9658410716801891E-14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146.09202487550647</v>
      </c>
      <c r="CZ198" s="62">
        <f t="shared" si="208"/>
        <v>168.58814676269344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7.1413219614412986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7.1413219614412986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1.7053025658242404E-13</v>
      </c>
      <c r="DP198" s="18">
        <f>DO198*VLOOKUP('Données projet'!$B$14,Paramètres!$A$1:$I$88,3,0)*VLOOKUP('Données projet'!$B$14,Paramètres!$A$1:$I$88,5,0)</f>
        <v>1.250327841262333E-13</v>
      </c>
      <c r="DQ198" s="14">
        <f t="shared" si="176"/>
        <v>1.8301318724634299E-12</v>
      </c>
      <c r="DR198" s="22">
        <f t="shared" si="177"/>
        <v>3.405245110226996E-12</v>
      </c>
      <c r="DS198" s="62">
        <f t="shared" si="197"/>
        <v>293.33333333333672</v>
      </c>
      <c r="DT198" s="62">
        <f ca="1">AVERAGE(OFFSET($DS$3,0,0,'Données projet'!$E$14+1,1))-AVERAGE(OFFSET($H$3,0,0,'Données projet'!$E$14+1,1))</f>
        <v>116.35584360635318</v>
      </c>
      <c r="DU198" s="62">
        <f t="shared" si="209"/>
        <v>86.38226293640173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8.5809802659671721</v>
      </c>
      <c r="EB198" s="23">
        <f>EXP(-LN(2)/25)*EB197+(1-EXP(-LN(2)/25))/(LN(2)/25)*Calculateur!DW198*Calculateur!DY198*VLOOKUP('Données projet'!$B$14,Paramètres!$A$1:$I$88,3,0)*0.475*44/12</f>
        <v>0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8.5809802659671721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-40</v>
      </c>
      <c r="O199" s="14">
        <f>N199*VLOOKUP('Données projet'!$B$9,Paramètres!$A$1:$I$88,3,0)*VLOOKUP('Données projet'!$B$9,Paramètres!$A$1:$I$88,5,0)</f>
        <v>-18.72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82.229723373996478</v>
      </c>
      <c r="T199" s="62">
        <f t="shared" si="204"/>
        <v>115.86489547584461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7.7865050662150237</v>
      </c>
      <c r="AA199" s="23">
        <f>EXP(-LN(2)/25)*AA198+(1-EXP(-LN(2)/25))/(LN(2)/25)*Calculateur!V199*Calculateur!X199*VLOOKUP('Données projet'!$B$9,Paramètres!$A$1:$I$88,3,0)*0.475*44/12</f>
        <v>0.54633393485495951</v>
      </c>
      <c r="AB199" s="23">
        <f>EXP(-LN(2)/2)*AB198+(1-EXP(-LN(2)/2))/(LN(2)/2)*V199*Y199*VLOOKUP('Données projet'!$B$9,Paramètres!$A$1:$I$88,3,0)*0.475*44/12</f>
        <v>6.3436325769842111E-20</v>
      </c>
      <c r="AC199" s="24">
        <f t="shared" si="163"/>
        <v>8.3328390010699831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262.78347246606825</v>
      </c>
      <c r="AO199" s="62">
        <f t="shared" si="205"/>
        <v>448.84541017639367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10.955427355758987</v>
      </c>
      <c r="AV199" s="23">
        <f>EXP(-LN(2)/25)*AV198+(1-EXP(-LN(2)/25))/(LN(2)/25)*Calculateur!AQ199*Calculateur!AS199*VLOOKUP('Données projet'!$B$10,Paramètres!$A$1:$I$88,3,0)*0.475*44/12</f>
        <v>0.87688509391608849</v>
      </c>
      <c r="AW199" s="23">
        <f>EXP(-LN(2)/2)*AW198+(1-EXP(-LN(2)/2))/(LN(2)/2)*AQ199*AT199*VLOOKUP('Données projet'!$B$10,Paramètres!$A$1:$I$88,3,0)*0.475*44/12</f>
        <v>6.8896565282135086E-22</v>
      </c>
      <c r="AX199" s="23">
        <f t="shared" si="166"/>
        <v>11.832312449675076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projet'!$B$11,Paramètres!$A$1:$I$88,3,0)*VLOOKUP('Données projet'!$B$11,Paramètres!$A$1:$I$88,5,0)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135.14998708332445</v>
      </c>
      <c r="BJ199" s="62">
        <f t="shared" si="206"/>
        <v>245.50083454484513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6.6039832541328449</v>
      </c>
      <c r="BQ199" s="23">
        <f>EXP(-LN(2)/25)*BQ198+(1-EXP(-LN(2)/25))/(LN(2)/25)*Calculateur!BL199*Calculateur!BN199*VLOOKUP('Données projet'!$B$11,Paramètres!$A$1:$I$88,3,0)*0.475*44/12</f>
        <v>0.84344620778273527</v>
      </c>
      <c r="BR199" s="23">
        <f>EXP(-LN(2)/2)*BR198+(1-EXP(-LN(2)/2))/(LN(2)/2)*BL199*BO199*VLOOKUP('Données projet'!$B$11,Paramètres!$A$1:$I$88,3,0)*0.475*44/12</f>
        <v>1.7801120761137417E-21</v>
      </c>
      <c r="BS199" s="24">
        <f t="shared" si="169"/>
        <v>7.4474294619155801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projet'!$B$12,Paramètres!$A$1:$I$88,3,0)*VLOOKUP('Données projet'!$B$12,Paramètres!$A$1:$I$88,5,0)</f>
        <v>6.7984728957526396E-14</v>
      </c>
      <c r="CA199" s="14">
        <f t="shared" si="170"/>
        <v>1.0682447123141398E-12</v>
      </c>
      <c r="CB199" s="22">
        <f t="shared" si="171"/>
        <v>1.978932943548152E-12</v>
      </c>
      <c r="CC199" s="62">
        <f t="shared" si="195"/>
        <v>293.3333333333353</v>
      </c>
      <c r="CD199" s="62">
        <f ca="1">AVERAGE(OFFSET($CC$3,0,0,'Données projet'!$E$12+1,1))-AVERAGE(OFFSET($H$3,0,0,'Données projet'!$E$12+1,1))</f>
        <v>168.16583766359378</v>
      </c>
      <c r="CE199" s="62">
        <f t="shared" si="207"/>
        <v>194.52809733694494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10.188582381574239</v>
      </c>
      <c r="CL199" s="23">
        <f>EXP(-LN(2)/25)*CL198+(1-EXP(-LN(2)/25))/(LN(2)/25)*Calculateur!CG199*Calculateur!CI199*VLOOKUP('Données projet'!$B$12,Paramètres!$A$1:$I$88,3,0)*0.475*44/12</f>
        <v>0.77575785315103352</v>
      </c>
      <c r="CM199" s="23">
        <f>EXP(-LN(2)/2)*CM198+(1-EXP(-LN(2)/2))/(LN(2)/2)*CG199*CJ199*VLOOKUP('Données projet'!$B$12,Paramètres!$A$1:$I$88,3,0)*0.475*44/12</f>
        <v>9.2262657224749667E-20</v>
      </c>
      <c r="CN199" s="24">
        <f t="shared" si="172"/>
        <v>10.964340234725272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projet'!$B$13,Paramètres!$A$1:$I$88,3,0)*VLOOKUP('Données projet'!$B$13,Paramètres!$A$1:$I$88,5,0)</f>
        <v>-4.9658410716801891E-14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146.09202487550647</v>
      </c>
      <c r="CZ199" s="62">
        <f t="shared" si="208"/>
        <v>168.58814676269344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7.0012849935537345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7.0012849935537345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1.7053025658242404E-13</v>
      </c>
      <c r="DP199" s="18">
        <f>DO199*VLOOKUP('Données projet'!$B$14,Paramètres!$A$1:$I$88,3,0)*VLOOKUP('Données projet'!$B$14,Paramètres!$A$1:$I$88,5,0)</f>
        <v>1.250327841262333E-13</v>
      </c>
      <c r="DQ199" s="14">
        <f t="shared" si="176"/>
        <v>1.8301318724634299E-12</v>
      </c>
      <c r="DR199" s="22">
        <f t="shared" si="177"/>
        <v>3.405245110226996E-12</v>
      </c>
      <c r="DS199" s="62">
        <f t="shared" si="197"/>
        <v>293.33333333333672</v>
      </c>
      <c r="DT199" s="62">
        <f ca="1">AVERAGE(OFFSET($DS$3,0,0,'Données projet'!$E$14+1,1))-AVERAGE(OFFSET($H$3,0,0,'Données projet'!$E$14+1,1))</f>
        <v>116.35584360635318</v>
      </c>
      <c r="DU199" s="62">
        <f t="shared" si="209"/>
        <v>86.38226293640173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8.4127124768327146</v>
      </c>
      <c r="EB199" s="23">
        <f>EXP(-LN(2)/25)*EB198+(1-EXP(-LN(2)/25))/(LN(2)/25)*Calculateur!DW199*Calculateur!DY199*VLOOKUP('Données projet'!$B$14,Paramètres!$A$1:$I$88,3,0)*0.475*44/12</f>
        <v>0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8.4127124768327146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-40</v>
      </c>
      <c r="O200" s="14">
        <f>N200*VLOOKUP('Données projet'!$B$9,Paramètres!$A$1:$I$88,3,0)*VLOOKUP('Données projet'!$B$9,Paramètres!$A$1:$I$88,5,0)</f>
        <v>-18.72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82.229723373996478</v>
      </c>
      <c r="T200" s="62">
        <f t="shared" si="204"/>
        <v>115.86489547584461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7.633816451165683</v>
      </c>
      <c r="AA200" s="23">
        <f>EXP(-LN(2)/25)*AA199+(1-EXP(-LN(2)/25))/(LN(2)/25)*Calculateur!V200*Calculateur!X200*VLOOKUP('Données projet'!$B$9,Paramètres!$A$1:$I$88,3,0)*0.475*44/12</f>
        <v>0.53139440467589771</v>
      </c>
      <c r="AB200" s="23">
        <f>EXP(-LN(2)/2)*AB199+(1-EXP(-LN(2)/2))/(LN(2)/2)*V200*Y200*VLOOKUP('Données projet'!$B$9,Paramètres!$A$1:$I$88,3,0)*0.475*44/12</f>
        <v>4.4856256125414293E-20</v>
      </c>
      <c r="AC200" s="24">
        <f t="shared" si="163"/>
        <v>8.1652108558415808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262.78347246606825</v>
      </c>
      <c r="AO200" s="62">
        <f t="shared" si="205"/>
        <v>448.84541017639367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10.740598107463432</v>
      </c>
      <c r="AV200" s="23">
        <f>EXP(-LN(2)/25)*AV199+(1-EXP(-LN(2)/25))/(LN(2)/25)*Calculateur!AQ200*Calculateur!AS200*VLOOKUP('Données projet'!$B$10,Paramètres!$A$1:$I$88,3,0)*0.475*44/12</f>
        <v>0.85290662490957014</v>
      </c>
      <c r="AW200" s="23">
        <f>EXP(-LN(2)/2)*AW199+(1-EXP(-LN(2)/2))/(LN(2)/2)*AQ200*AT200*VLOOKUP('Données projet'!$B$10,Paramètres!$A$1:$I$88,3,0)*0.475*44/12</f>
        <v>4.871722851145938E-22</v>
      </c>
      <c r="AX200" s="23">
        <f t="shared" si="166"/>
        <v>11.593504732373002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projet'!$B$11,Paramètres!$A$1:$I$88,3,0)*VLOOKUP('Données projet'!$B$11,Paramètres!$A$1:$I$88,5,0)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135.14998708332445</v>
      </c>
      <c r="BJ200" s="62">
        <f t="shared" si="206"/>
        <v>245.50083454484513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6.4744831705513501</v>
      </c>
      <c r="BQ200" s="23">
        <f>EXP(-LN(2)/25)*BQ199+(1-EXP(-LN(2)/25))/(LN(2)/25)*Calculateur!BL200*Calculateur!BN200*VLOOKUP('Données projet'!$B$11,Paramètres!$A$1:$I$88,3,0)*0.475*44/12</f>
        <v>0.82038212687600798</v>
      </c>
      <c r="BR200" s="23">
        <f>EXP(-LN(2)/2)*BR199+(1-EXP(-LN(2)/2))/(LN(2)/2)*BL200*BO200*VLOOKUP('Données projet'!$B$11,Paramètres!$A$1:$I$88,3,0)*0.475*44/12</f>
        <v>1.2587293202920904E-21</v>
      </c>
      <c r="BS200" s="24">
        <f t="shared" si="169"/>
        <v>7.294865297427358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projet'!$B$12,Paramètres!$A$1:$I$88,3,0)*VLOOKUP('Données projet'!$B$12,Paramètres!$A$1:$I$88,5,0)</f>
        <v>6.7984728957526396E-14</v>
      </c>
      <c r="CA200" s="14">
        <f t="shared" si="170"/>
        <v>1.0682447123141398E-12</v>
      </c>
      <c r="CB200" s="22">
        <f t="shared" si="171"/>
        <v>1.978932943548152E-12</v>
      </c>
      <c r="CC200" s="62">
        <f t="shared" si="195"/>
        <v>293.3333333333353</v>
      </c>
      <c r="CD200" s="62">
        <f ca="1">AVERAGE(OFFSET($CC$3,0,0,'Données projet'!$E$12+1,1))-AVERAGE(OFFSET($H$3,0,0,'Données projet'!$E$12+1,1))</f>
        <v>168.16583766359378</v>
      </c>
      <c r="CE200" s="62">
        <f t="shared" si="207"/>
        <v>194.52809733694494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9.9887904954931983</v>
      </c>
      <c r="CL200" s="23">
        <f>EXP(-LN(2)/25)*CL199+(1-EXP(-LN(2)/25))/(LN(2)/25)*Calculateur!CG200*Calculateur!CI200*VLOOKUP('Données projet'!$B$12,Paramètres!$A$1:$I$88,3,0)*0.475*44/12</f>
        <v>0.75454471386128608</v>
      </c>
      <c r="CM200" s="23">
        <f>EXP(-LN(2)/2)*CM199+(1-EXP(-LN(2)/2))/(LN(2)/2)*CG200*CJ200*VLOOKUP('Données projet'!$B$12,Paramètres!$A$1:$I$88,3,0)*0.475*44/12</f>
        <v>6.52395505739105E-20</v>
      </c>
      <c r="CN200" s="24">
        <f t="shared" si="172"/>
        <v>10.743335209354484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projet'!$B$13,Paramètres!$A$1:$I$88,3,0)*VLOOKUP('Données projet'!$B$13,Paramètres!$A$1:$I$88,5,0)</f>
        <v>-4.9658410716801891E-14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146.09202487550647</v>
      </c>
      <c r="CZ200" s="62">
        <f t="shared" si="208"/>
        <v>168.58814676269344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6.8639940651923288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6.8639940651923288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1.7053025658242404E-13</v>
      </c>
      <c r="DP200" s="18">
        <f>DO200*VLOOKUP('Données projet'!$B$14,Paramètres!$A$1:$I$88,3,0)*VLOOKUP('Données projet'!$B$14,Paramètres!$A$1:$I$88,5,0)</f>
        <v>1.250327841262333E-13</v>
      </c>
      <c r="DQ200" s="14">
        <f t="shared" si="176"/>
        <v>1.8301318724634299E-12</v>
      </c>
      <c r="DR200" s="22">
        <f t="shared" si="177"/>
        <v>3.405245110226996E-12</v>
      </c>
      <c r="DS200" s="62">
        <f t="shared" si="197"/>
        <v>293.33333333333672</v>
      </c>
      <c r="DT200" s="62">
        <f ca="1">AVERAGE(OFFSET($DS$3,0,0,'Données projet'!$E$14+1,1))-AVERAGE(OFFSET($H$3,0,0,'Données projet'!$E$14+1,1))</f>
        <v>116.35584360635318</v>
      </c>
      <c r="DU200" s="62">
        <f t="shared" si="209"/>
        <v>86.38226293640173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8.2477443164099675</v>
      </c>
      <c r="EB200" s="23">
        <f>EXP(-LN(2)/25)*EB199+(1-EXP(-LN(2)/25))/(LN(2)/25)*Calculateur!DW200*Calculateur!DY200*VLOOKUP('Données projet'!$B$14,Paramètres!$A$1:$I$88,3,0)*0.475*44/12</f>
        <v>0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8.2477443164099675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-40</v>
      </c>
      <c r="O201" s="14">
        <f>N201*VLOOKUP('Données projet'!$B$9,Paramètres!$A$1:$I$88,3,0)*VLOOKUP('Données projet'!$B$9,Paramètres!$A$1:$I$88,5,0)</f>
        <v>-18.72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82.229723373996478</v>
      </c>
      <c r="T201" s="62">
        <f t="shared" si="204"/>
        <v>115.86489547584461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7.484121966726601</v>
      </c>
      <c r="AA201" s="23">
        <f>EXP(-LN(2)/25)*AA200+(1-EXP(-LN(2)/25))/(LN(2)/25)*Calculateur!V201*Calculateur!X201*VLOOKUP('Données projet'!$B$9,Paramètres!$A$1:$I$88,3,0)*0.475*44/12</f>
        <v>0.51686339673521808</v>
      </c>
      <c r="AB201" s="23">
        <f>EXP(-LN(2)/2)*AB200+(1-EXP(-LN(2)/2))/(LN(2)/2)*V201*Y201*VLOOKUP('Données projet'!$B$9,Paramètres!$A$1:$I$88,3,0)*0.475*44/12</f>
        <v>3.1718162884921056E-20</v>
      </c>
      <c r="AC201" s="24">
        <f t="shared" si="163"/>
        <v>8.0009853634618189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262.78347246606825</v>
      </c>
      <c r="AO201" s="62">
        <f t="shared" si="205"/>
        <v>448.84541017639367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10.529981529694052</v>
      </c>
      <c r="AV201" s="23">
        <f>EXP(-LN(2)/25)*AV200+(1-EXP(-LN(2)/25))/(LN(2)/25)*Calculateur!AQ201*Calculateur!AS201*VLOOKUP('Données projet'!$B$10,Paramètres!$A$1:$I$88,3,0)*0.475*44/12</f>
        <v>0.82958384839900789</v>
      </c>
      <c r="AW201" s="23">
        <f>EXP(-LN(2)/2)*AW200+(1-EXP(-LN(2)/2))/(LN(2)/2)*AQ201*AT201*VLOOKUP('Données projet'!$B$10,Paramètres!$A$1:$I$88,3,0)*0.475*44/12</f>
        <v>3.4448282641067543E-22</v>
      </c>
      <c r="AX201" s="23">
        <f t="shared" si="166"/>
        <v>11.359565378093059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projet'!$B$11,Paramètres!$A$1:$I$88,3,0)*VLOOKUP('Données projet'!$B$11,Paramètres!$A$1:$I$88,5,0)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135.14998708332445</v>
      </c>
      <c r="BJ201" s="62">
        <f t="shared" si="206"/>
        <v>245.50083454484513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6.3475225046216366</v>
      </c>
      <c r="BQ201" s="23">
        <f>EXP(-LN(2)/25)*BQ200+(1-EXP(-LN(2)/25))/(LN(2)/25)*Calculateur!BL201*Calculateur!BN201*VLOOKUP('Données projet'!$B$11,Paramètres!$A$1:$I$88,3,0)*0.475*44/12</f>
        <v>0.79794873447456249</v>
      </c>
      <c r="BR201" s="23">
        <f>EXP(-LN(2)/2)*BR200+(1-EXP(-LN(2)/2))/(LN(2)/2)*BL201*BO201*VLOOKUP('Données projet'!$B$11,Paramètres!$A$1:$I$88,3,0)*0.475*44/12</f>
        <v>8.9005603805687085E-22</v>
      </c>
      <c r="BS201" s="24">
        <f t="shared" si="169"/>
        <v>7.1454712390961994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projet'!$B$12,Paramètres!$A$1:$I$88,3,0)*VLOOKUP('Données projet'!$B$12,Paramètres!$A$1:$I$88,5,0)</f>
        <v>6.7984728957526396E-14</v>
      </c>
      <c r="CA201" s="14">
        <f t="shared" si="170"/>
        <v>1.0682447123141398E-12</v>
      </c>
      <c r="CB201" s="22">
        <f t="shared" si="171"/>
        <v>1.978932943548152E-12</v>
      </c>
      <c r="CC201" s="62">
        <f t="shared" si="195"/>
        <v>293.3333333333353</v>
      </c>
      <c r="CD201" s="62">
        <f ca="1">AVERAGE(OFFSET($CC$3,0,0,'Données projet'!$E$12+1,1))-AVERAGE(OFFSET($H$3,0,0,'Données projet'!$E$12+1,1))</f>
        <v>168.16583766359378</v>
      </c>
      <c r="CE201" s="62">
        <f t="shared" si="207"/>
        <v>194.52809733694494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9.7929164064371879</v>
      </c>
      <c r="CL201" s="23">
        <f>EXP(-LN(2)/25)*CL200+(1-EXP(-LN(2)/25))/(LN(2)/25)*Calculateur!CG201*Calculateur!CI201*VLOOKUP('Données projet'!$B$12,Paramètres!$A$1:$I$88,3,0)*0.475*44/12</f>
        <v>0.73391164898096728</v>
      </c>
      <c r="CM201" s="23">
        <f>EXP(-LN(2)/2)*CM200+(1-EXP(-LN(2)/2))/(LN(2)/2)*CG201*CJ201*VLOOKUP('Données projet'!$B$12,Paramètres!$A$1:$I$88,3,0)*0.475*44/12</f>
        <v>4.6131328612374833E-20</v>
      </c>
      <c r="CN201" s="24">
        <f t="shared" si="172"/>
        <v>10.526828055418155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projet'!$B$13,Paramètres!$A$1:$I$88,3,0)*VLOOKUP('Données projet'!$B$13,Paramètres!$A$1:$I$88,5,0)</f>
        <v>-4.9658410716801891E-14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146.09202487550647</v>
      </c>
      <c r="CZ201" s="62">
        <f t="shared" si="208"/>
        <v>168.58814676269344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6.7293953281968921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6.7293953281968921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1.7053025658242404E-13</v>
      </c>
      <c r="DP201" s="18">
        <f>DO201*VLOOKUP('Données projet'!$B$14,Paramètres!$A$1:$I$88,3,0)*VLOOKUP('Données projet'!$B$14,Paramètres!$A$1:$I$88,5,0)</f>
        <v>1.250327841262333E-13</v>
      </c>
      <c r="DQ201" s="14">
        <f t="shared" si="176"/>
        <v>1.8301318724634299E-12</v>
      </c>
      <c r="DR201" s="22">
        <f t="shared" si="177"/>
        <v>3.405245110226996E-12</v>
      </c>
      <c r="DS201" s="62">
        <f t="shared" si="197"/>
        <v>293.33333333333672</v>
      </c>
      <c r="DT201" s="62">
        <f ca="1">AVERAGE(OFFSET($DS$3,0,0,'Données projet'!$E$14+1,1))-AVERAGE(OFFSET($H$3,0,0,'Données projet'!$E$14+1,1))</f>
        <v>116.35584360635318</v>
      </c>
      <c r="DU201" s="62">
        <f t="shared" si="209"/>
        <v>86.38226293640173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8.086011080992467</v>
      </c>
      <c r="EB201" s="23">
        <f>EXP(-LN(2)/25)*EB200+(1-EXP(-LN(2)/25))/(LN(2)/25)*Calculateur!DW201*Calculateur!DY201*VLOOKUP('Données projet'!$B$14,Paramètres!$A$1:$I$88,3,0)*0.475*44/12</f>
        <v>0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8.086011080992467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-40</v>
      </c>
      <c r="O202" s="14">
        <f>N202*VLOOKUP('Données projet'!$B$9,Paramètres!$A$1:$I$88,3,0)*VLOOKUP('Données projet'!$B$9,Paramètres!$A$1:$I$88,5,0)</f>
        <v>-18.72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82.229723373996478</v>
      </c>
      <c r="T202" s="62">
        <f t="shared" si="204"/>
        <v>115.86489547584461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7.3373628998227494</v>
      </c>
      <c r="AA202" s="23">
        <f>EXP(-LN(2)/25)*AA201+(1-EXP(-LN(2)/25))/(LN(2)/25)*Calculateur!V202*Calculateur!X202*VLOOKUP('Données projet'!$B$9,Paramètres!$A$1:$I$88,3,0)*0.475*44/12</f>
        <v>0.50272973997082882</v>
      </c>
      <c r="AB202" s="23">
        <f>EXP(-LN(2)/2)*AB201+(1-EXP(-LN(2)/2))/(LN(2)/2)*V202*Y202*VLOOKUP('Données projet'!$B$9,Paramètres!$A$1:$I$88,3,0)*0.475*44/12</f>
        <v>2.2428128062707146E-20</v>
      </c>
      <c r="AC202" s="24">
        <f t="shared" si="163"/>
        <v>7.8400926397935784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262.78347246606825</v>
      </c>
      <c r="AO202" s="62">
        <f t="shared" si="205"/>
        <v>448.84541017639367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10.3234950145513</v>
      </c>
      <c r="AV202" s="23">
        <f>EXP(-LN(2)/25)*AV201+(1-EXP(-LN(2)/25))/(LN(2)/25)*Calculateur!AQ202*Calculateur!AS202*VLOOKUP('Données projet'!$B$10,Paramètres!$A$1:$I$88,3,0)*0.475*44/12</f>
        <v>0.80689883443861843</v>
      </c>
      <c r="AW202" s="23">
        <f>EXP(-LN(2)/2)*AW201+(1-EXP(-LN(2)/2))/(LN(2)/2)*AQ202*AT202*VLOOKUP('Données projet'!$B$10,Paramètres!$A$1:$I$88,3,0)*0.475*44/12</f>
        <v>2.435861425572969E-22</v>
      </c>
      <c r="AX202" s="23">
        <f t="shared" si="166"/>
        <v>11.130393848989918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projet'!$B$11,Paramètres!$A$1:$I$88,3,0)*VLOOKUP('Données projet'!$B$11,Paramètres!$A$1:$I$88,5,0)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135.14998708332445</v>
      </c>
      <c r="BJ202" s="62">
        <f t="shared" si="206"/>
        <v>245.50083454484513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6.2230514599124449</v>
      </c>
      <c r="BQ202" s="23">
        <f>EXP(-LN(2)/25)*BQ201+(1-EXP(-LN(2)/25))/(LN(2)/25)*Calculateur!BL202*Calculateur!BN202*VLOOKUP('Données projet'!$B$11,Paramètres!$A$1:$I$88,3,0)*0.475*44/12</f>
        <v>0.77612878436805532</v>
      </c>
      <c r="BR202" s="23">
        <f>EXP(-LN(2)/2)*BR201+(1-EXP(-LN(2)/2))/(LN(2)/2)*BL202*BO202*VLOOKUP('Données projet'!$B$11,Paramètres!$A$1:$I$88,3,0)*0.475*44/12</f>
        <v>6.293646601460452E-22</v>
      </c>
      <c r="BS202" s="24">
        <f t="shared" si="169"/>
        <v>6.9991802442805007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projet'!$B$12,Paramètres!$A$1:$I$88,3,0)*VLOOKUP('Données projet'!$B$12,Paramètres!$A$1:$I$88,5,0)</f>
        <v>6.7984728957526396E-14</v>
      </c>
      <c r="CA202" s="14">
        <f t="shared" si="170"/>
        <v>1.0682447123141398E-12</v>
      </c>
      <c r="CB202" s="22">
        <f t="shared" si="171"/>
        <v>1.978932943548152E-12</v>
      </c>
      <c r="CC202" s="62">
        <f t="shared" si="195"/>
        <v>293.3333333333353</v>
      </c>
      <c r="CD202" s="62">
        <f ca="1">AVERAGE(OFFSET($CC$3,0,0,'Données projet'!$E$12+1,1))-AVERAGE(OFFSET($H$3,0,0,'Données projet'!$E$12+1,1))</f>
        <v>168.16583766359378</v>
      </c>
      <c r="CE202" s="62">
        <f t="shared" si="207"/>
        <v>194.52809733694494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9.6008832887961688</v>
      </c>
      <c r="CL202" s="23">
        <f>EXP(-LN(2)/25)*CL201+(1-EXP(-LN(2)/25))/(LN(2)/25)*Calculateur!CG202*Calculateur!CI202*VLOOKUP('Données projet'!$B$12,Paramètres!$A$1:$I$88,3,0)*0.475*44/12</f>
        <v>0.71384279634484649</v>
      </c>
      <c r="CM202" s="23">
        <f>EXP(-LN(2)/2)*CM201+(1-EXP(-LN(2)/2))/(LN(2)/2)*CG202*CJ202*VLOOKUP('Données projet'!$B$12,Paramètres!$A$1:$I$88,3,0)*0.475*44/12</f>
        <v>3.261977528695525E-20</v>
      </c>
      <c r="CN202" s="24">
        <f t="shared" si="172"/>
        <v>10.314726085141015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projet'!$B$13,Paramètres!$A$1:$I$88,3,0)*VLOOKUP('Données projet'!$B$13,Paramètres!$A$1:$I$88,5,0)</f>
        <v>-4.9658410716801891E-14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146.09202487550647</v>
      </c>
      <c r="CZ202" s="62">
        <f t="shared" si="208"/>
        <v>168.58814676269344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6.5974359903368134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6.5974359903368134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1.7053025658242404E-13</v>
      </c>
      <c r="DP202" s="18">
        <f>DO202*VLOOKUP('Données projet'!$B$14,Paramètres!$A$1:$I$88,3,0)*VLOOKUP('Données projet'!$B$14,Paramètres!$A$1:$I$88,5,0)</f>
        <v>1.250327841262333E-13</v>
      </c>
      <c r="DQ202" s="14">
        <f t="shared" si="176"/>
        <v>1.8301318724634299E-12</v>
      </c>
      <c r="DR202" s="22">
        <f t="shared" si="177"/>
        <v>3.405245110226996E-12</v>
      </c>
      <c r="DS202" s="62">
        <f t="shared" si="197"/>
        <v>293.33333333333672</v>
      </c>
      <c r="DT202" s="62">
        <f ca="1">AVERAGE(OFFSET($DS$3,0,0,'Données projet'!$E$14+1,1))-AVERAGE(OFFSET($H$3,0,0,'Données projet'!$E$14+1,1))</f>
        <v>116.35584360635318</v>
      </c>
      <c r="DU202" s="62">
        <f t="shared" si="209"/>
        <v>86.38226293640173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7.9274493356739715</v>
      </c>
      <c r="EB202" s="23">
        <f>EXP(-LN(2)/25)*EB201+(1-EXP(-LN(2)/25))/(LN(2)/25)*Calculateur!DW202*Calculateur!DY202*VLOOKUP('Données projet'!$B$14,Paramètres!$A$1:$I$88,3,0)*0.475*44/12</f>
        <v>0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7.9274493356739715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-40</v>
      </c>
      <c r="O203" s="14">
        <f>N203*VLOOKUP('Données projet'!$B$9,Paramètres!$A$1:$I$88,3,0)*VLOOKUP('Données projet'!$B$9,Paramètres!$A$1:$I$88,5,0)</f>
        <v>-18.72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82.229723373996478</v>
      </c>
      <c r="T203" s="62">
        <f t="shared" si="204"/>
        <v>115.86489547584461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7.1934816887066901</v>
      </c>
      <c r="AA203" s="23">
        <f>EXP(-LN(2)/25)*AA202+(1-EXP(-LN(2)/25))/(LN(2)/25)*Calculateur!V203*Calculateur!X203*VLOOKUP('Données projet'!$B$9,Paramètres!$A$1:$I$88,3,0)*0.475*44/12</f>
        <v>0.48898256879391849</v>
      </c>
      <c r="AB203" s="23">
        <f>EXP(-LN(2)/2)*AB202+(1-EXP(-LN(2)/2))/(LN(2)/2)*V203*Y203*VLOOKUP('Données projet'!$B$9,Paramètres!$A$1:$I$88,3,0)*0.475*44/12</f>
        <v>1.5859081442460528E-20</v>
      </c>
      <c r="AC203" s="24">
        <f t="shared" si="163"/>
        <v>7.6824642575006088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262.78347246606825</v>
      </c>
      <c r="AO203" s="62">
        <f t="shared" si="205"/>
        <v>448.84541017639367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10.121057574026159</v>
      </c>
      <c r="AV203" s="23">
        <f>EXP(-LN(2)/25)*AV202+(1-EXP(-LN(2)/25))/(LN(2)/25)*Calculateur!AQ203*Calculateur!AS203*VLOOKUP('Données projet'!$B$10,Paramètres!$A$1:$I$88,3,0)*0.475*44/12</f>
        <v>0.78483414337792889</v>
      </c>
      <c r="AW203" s="23">
        <f>EXP(-LN(2)/2)*AW202+(1-EXP(-LN(2)/2))/(LN(2)/2)*AQ203*AT203*VLOOKUP('Données projet'!$B$10,Paramètres!$A$1:$I$88,3,0)*0.475*44/12</f>
        <v>1.7224141320533772E-22</v>
      </c>
      <c r="AX203" s="23">
        <f t="shared" si="166"/>
        <v>10.905891717404087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projet'!$B$11,Paramètres!$A$1:$I$88,3,0)*VLOOKUP('Données projet'!$B$11,Paramètres!$A$1:$I$88,5,0)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135.14998708332445</v>
      </c>
      <c r="BJ203" s="62">
        <f t="shared" si="206"/>
        <v>245.50083454484513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6.1010212164701594</v>
      </c>
      <c r="BQ203" s="23">
        <f>EXP(-LN(2)/25)*BQ202+(1-EXP(-LN(2)/25))/(LN(2)/25)*Calculateur!BL203*Calculateur!BN203*VLOOKUP('Données projet'!$B$11,Paramètres!$A$1:$I$88,3,0)*0.475*44/12</f>
        <v>0.75490550194467199</v>
      </c>
      <c r="BR203" s="23">
        <f>EXP(-LN(2)/2)*BR202+(1-EXP(-LN(2)/2))/(LN(2)/2)*BL203*BO203*VLOOKUP('Données projet'!$B$11,Paramètres!$A$1:$I$88,3,0)*0.475*44/12</f>
        <v>4.4502801902843543E-22</v>
      </c>
      <c r="BS203" s="24">
        <f t="shared" si="169"/>
        <v>6.8559267184148318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projet'!$B$12,Paramètres!$A$1:$I$88,3,0)*VLOOKUP('Données projet'!$B$12,Paramètres!$A$1:$I$88,5,0)</f>
        <v>6.7984728957526396E-14</v>
      </c>
      <c r="CA203" s="14">
        <f t="shared" si="170"/>
        <v>1.0682447123141398E-12</v>
      </c>
      <c r="CB203" s="22">
        <f t="shared" si="171"/>
        <v>1.978932943548152E-12</v>
      </c>
      <c r="CC203" s="62">
        <f t="shared" si="195"/>
        <v>293.3333333333353</v>
      </c>
      <c r="CD203" s="62">
        <f ca="1">AVERAGE(OFFSET($CC$3,0,0,'Données projet'!$E$12+1,1))-AVERAGE(OFFSET($H$3,0,0,'Données projet'!$E$12+1,1))</f>
        <v>168.16583766359378</v>
      </c>
      <c r="CE203" s="62">
        <f t="shared" si="207"/>
        <v>194.52809733694494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9.4126158234634545</v>
      </c>
      <c r="CL203" s="23">
        <f>EXP(-LN(2)/25)*CL202+(1-EXP(-LN(2)/25))/(LN(2)/25)*Calculateur!CG203*Calculateur!CI203*VLOOKUP('Données projet'!$B$12,Paramètres!$A$1:$I$88,3,0)*0.475*44/12</f>
        <v>0.69432272753943547</v>
      </c>
      <c r="CM203" s="23">
        <f>EXP(-LN(2)/2)*CM202+(1-EXP(-LN(2)/2))/(LN(2)/2)*CG203*CJ203*VLOOKUP('Données projet'!$B$12,Paramètres!$A$1:$I$88,3,0)*0.475*44/12</f>
        <v>2.3065664306187417E-20</v>
      </c>
      <c r="CN203" s="24">
        <f t="shared" si="172"/>
        <v>10.106938551002891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projet'!$B$13,Paramètres!$A$1:$I$88,3,0)*VLOOKUP('Données projet'!$B$13,Paramètres!$A$1:$I$88,5,0)</f>
        <v>-4.9658410716801891E-14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146.09202487550647</v>
      </c>
      <c r="CZ203" s="62">
        <f t="shared" si="208"/>
        <v>168.58814676269344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6.4680642946049218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6.4680642946049218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1.7053025658242404E-13</v>
      </c>
      <c r="DP203" s="18">
        <f>DO203*VLOOKUP('Données projet'!$B$14,Paramètres!$A$1:$I$88,3,0)*VLOOKUP('Données projet'!$B$14,Paramètres!$A$1:$I$88,5,0)</f>
        <v>1.250327841262333E-13</v>
      </c>
      <c r="DQ203" s="14">
        <f t="shared" si="176"/>
        <v>1.8301318724634299E-12</v>
      </c>
      <c r="DR203" s="22">
        <f t="shared" si="177"/>
        <v>3.405245110226996E-12</v>
      </c>
      <c r="DS203" s="62">
        <f t="shared" si="197"/>
        <v>293.33333333333672</v>
      </c>
      <c r="DT203" s="62">
        <f ca="1">AVERAGE(OFFSET($DS$3,0,0,'Données projet'!$E$14+1,1))-AVERAGE(OFFSET($H$3,0,0,'Données projet'!$E$14+1,1))</f>
        <v>116.35584360635318</v>
      </c>
      <c r="DU203" s="62">
        <f t="shared" si="209"/>
        <v>86.38226293640173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7.7719968894680571</v>
      </c>
      <c r="EB203" s="23">
        <f>EXP(-LN(2)/25)*EB202+(1-EXP(-LN(2)/25))/(LN(2)/25)*Calculateur!DW203*Calculateur!DY203*VLOOKUP('Données projet'!$B$14,Paramètres!$A$1:$I$88,3,0)*0.475*44/12</f>
        <v>0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7.7719968894680571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1.1867200975826817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>
        <f>EXP(LN('Données projet'!B88)/'Données projet'!A88)</f>
        <v>1.2997069632623315</v>
      </c>
      <c r="BV205" s="88">
        <f>EXP(LN('Données projet'!B114)/'Données projet'!A114)</f>
        <v>1.244502252163008</v>
      </c>
      <c r="CQ205" s="88">
        <f>EXP(LN('Données projet'!B140)/'Données projet'!A140)</f>
        <v>1.335141362540313</v>
      </c>
      <c r="DL205" s="88">
        <f>EXP(LN('Données projet'!B166)/'Données projet'!A166)</f>
        <v>1.2125086169006218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22" workbookViewId="0">
      <selection activeCell="D23" sqref="D23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6" thickBot="1" x14ac:dyDescent="0.2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6" thickBot="1" x14ac:dyDescent="0.2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2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2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6" thickBot="1" x14ac:dyDescent="0.2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6" thickBot="1" x14ac:dyDescent="0.2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6" thickBot="1" x14ac:dyDescent="0.2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2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6" thickBot="1" x14ac:dyDescent="0.2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">
      <c r="A92" s="132" t="s">
        <v>208</v>
      </c>
    </row>
    <row r="93" spans="1:14" x14ac:dyDescent="0.2">
      <c r="A93" s="132" t="s">
        <v>209</v>
      </c>
    </row>
    <row r="94" spans="1:14" x14ac:dyDescent="0.2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C18" sqref="C1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5" t="str">
        <f>IF('Données projet'!$B$9="","",'Données projet'!$B$9)</f>
        <v>Cèdre de l'Atlas</v>
      </c>
      <c r="B6" s="156">
        <f>'Données projet'!D9</f>
        <v>2.0002500000000003</v>
      </c>
      <c r="C6" s="157">
        <f ca="1">IF(OR('Données projet'!B9="",'Données projet'!C9="",'Données projet'!C9=0%),0,Calculateur!S3)</f>
        <v>82.229723373996478</v>
      </c>
      <c r="D6" s="157">
        <f>IF(OR('Données projet'!B9="",'Données projet'!C9="",'Données projet'!C9=0%),0,Calculateur!T3)</f>
        <v>115.86489547584461</v>
      </c>
      <c r="E6" s="157">
        <f ca="1">MIN(C6,D6)</f>
        <v>82.229723373996478</v>
      </c>
      <c r="F6" s="157">
        <f ca="1">E6*B6</f>
        <v>164.48000417883648</v>
      </c>
      <c r="G6" s="157">
        <f ca="1">F6*(100%-'Données projet'!$C$24)*(100%-'Données projet'!$C$25)*(100%-'Données projet'!$C$26)*(100%-'Données projet'!$C$27)</f>
        <v>148.03200376095285</v>
      </c>
      <c r="H6" s="158">
        <f>IF(OR('Données projet'!B9="",'Données projet'!C9="",'Données projet'!C9=0%),0,AVERAGE(Calculateur!$AC$3:$AC$33)*B6)</f>
        <v>1.0933306882542944</v>
      </c>
      <c r="I6" s="159">
        <f>H6*(100%-'Données projet'!$C$24)*(100%-'Données projet'!$C$25)*(100%-'Données projet'!$C$26)*(100%-'Données projet'!$C$27)</f>
        <v>0.98399761942886499</v>
      </c>
      <c r="J6" s="160">
        <f>IF(OR('Données projet'!B9="",'Données projet'!C9="",'Données projet'!C9=0%),0,SUM(Calculateur!$V$3:$V$33)*VLOOKUP('Données projet'!$B$9,Paramètres!$A$1:$I$88,9,0)*B6)</f>
        <v>34.404300000000006</v>
      </c>
      <c r="K6" s="161">
        <f>J6*(100%-'Données projet'!$C$24)*(100%-'Données projet'!$C$25)*(100%-'Données projet'!$C$26)*(100%-'Données projet'!$C$27)</f>
        <v>30.963870000000007</v>
      </c>
      <c r="L6" s="162">
        <f ca="1">G6+I6+K6</f>
        <v>179.97987138038172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3" t="str">
        <f>IF('Données projet'!$B$10="","",'Données projet'!$B$10)</f>
        <v>Douglas</v>
      </c>
      <c r="B7" s="164">
        <f>'Données projet'!D10</f>
        <v>9.6997499999999999</v>
      </c>
      <c r="C7" s="157">
        <f ca="1">IF(OR('Données projet'!B10="",'Données projet'!C10="",'Données projet'!C10=0%),0,Calculateur!AN3)</f>
        <v>262.78347246606825</v>
      </c>
      <c r="D7" s="157">
        <f>IF(OR('Données projet'!B10="",'Données projet'!C10="",'Données projet'!C10=0%),0,Calculateur!AO3)</f>
        <v>448.84541017639367</v>
      </c>
      <c r="E7" s="157">
        <f t="shared" ref="E7:E15" ca="1" si="0">MIN(C7,D7)</f>
        <v>262.78347246606825</v>
      </c>
      <c r="F7" s="157">
        <f t="shared" ref="F7:F15" ca="1" si="1">E7*B7</f>
        <v>2548.9339870527456</v>
      </c>
      <c r="G7" s="157">
        <f ca="1">F7*(100%-'Données projet'!$C$24)*(100%-'Données projet'!$C$25)*(100%-'Données projet'!$C$26)*(100%-'Données projet'!$C$27)</f>
        <v>2294.0405883474709</v>
      </c>
      <c r="H7" s="165">
        <f>IF(OR('Données projet'!B10="",'Données projet'!C10="",'Données projet'!C10=0%),0,AVERAGE(Calculateur!$AX$3:$AX$33)*B7)</f>
        <v>44.149146956495329</v>
      </c>
      <c r="I7" s="159">
        <f>H7*(100%-'Données projet'!$C$24)*(100%-'Données projet'!$C$25)*(100%-'Données projet'!$C$26)*(100%-'Données projet'!$C$27)</f>
        <v>39.734232260845801</v>
      </c>
      <c r="J7" s="160">
        <f>IF(OR('Données projet'!B10="",'Données projet'!C10="",'Données projet'!C10=0%),0,SUM(Calculateur!$AQ$3:$AQ$33)*VLOOKUP('Données projet'!$B$10,Paramètres!$A$1:$I$88,9,0)*B7)</f>
        <v>450.45639</v>
      </c>
      <c r="K7" s="161">
        <f>J7*(100%-'Données projet'!$C$24)*(100%-'Données projet'!$C$25)*(100%-'Données projet'!$C$26)*(100%-'Données projet'!$C$27)</f>
        <v>405.410751</v>
      </c>
      <c r="L7" s="162">
        <f t="shared" ref="L7:L15" ca="1" si="2">G7+I7+K7</f>
        <v>2739.1855716083164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3" t="str">
        <f>IF('Données projet'!$B$11="","",'Données projet'!$B$11)</f>
        <v>Mélèze d'Europe</v>
      </c>
      <c r="B8" s="164">
        <f>'Données projet'!D11</f>
        <v>4.9995000000000003</v>
      </c>
      <c r="C8" s="157">
        <f ca="1">IF(OR('Données projet'!B11="",'Données projet'!C11="",'Données projet'!C11=0%),0,Calculateur!BI3)</f>
        <v>135.14998708332445</v>
      </c>
      <c r="D8" s="157">
        <f>IF(OR('Données projet'!B11="",'Données projet'!C11="",'Données projet'!C11=0%),0,Calculateur!BJ3)</f>
        <v>245.50083454484513</v>
      </c>
      <c r="E8" s="157">
        <f t="shared" ca="1" si="0"/>
        <v>135.14998708332445</v>
      </c>
      <c r="F8" s="157">
        <f t="shared" ca="1" si="1"/>
        <v>675.68236042308058</v>
      </c>
      <c r="G8" s="157">
        <f ca="1">F8*(100%-'Données projet'!$C$24)*(100%-'Données projet'!$C$25)*(100%-'Données projet'!$C$26)*(100%-'Données projet'!$C$27)</f>
        <v>608.11412438077252</v>
      </c>
      <c r="H8" s="165">
        <f>IF(OR('Données projet'!B11="",'Données projet'!C11="",'Données projet'!C11=0%),0,AVERAGE(Calculateur!$BS$3:$BS$33)*B8)</f>
        <v>45.781815165302476</v>
      </c>
      <c r="I8" s="159">
        <f>H8*(100%-'Données projet'!$C$24)*(100%-'Données projet'!$C$25)*(100%-'Données projet'!$C$26)*(100%-'Données projet'!$C$27)</f>
        <v>41.203633648772232</v>
      </c>
      <c r="J8" s="160">
        <f>IF(OR('Données projet'!B11="",'Données projet'!C11="",'Données projet'!C11=0%),0,SUM(Calculateur!$BL$3:$BL$33)*VLOOKUP('Données projet'!$B$11,Paramètres!$A$1:$I$88,9,0)*B8)</f>
        <v>275.17248000000001</v>
      </c>
      <c r="K8" s="161">
        <f>J8*(100%-'Données projet'!$C$24)*(100%-'Données projet'!$C$25)*(100%-'Données projet'!$C$26)*(100%-'Données projet'!$C$27)</f>
        <v>247.65523200000001</v>
      </c>
      <c r="L8" s="162">
        <f t="shared" ca="1" si="2"/>
        <v>896.97299002954469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3" t="str">
        <f>IF('Données projet'!$B$12="","",'Données projet'!$B$12)</f>
        <v>Pin laricio</v>
      </c>
      <c r="B9" s="164">
        <f>'Données projet'!D12</f>
        <v>1.1992499999999999</v>
      </c>
      <c r="C9" s="157">
        <f ca="1">IF(OR('Données projet'!B12="",'Données projet'!C12="",'Données projet'!C12=0%),0,Calculateur!CD3)</f>
        <v>168.16583766359378</v>
      </c>
      <c r="D9" s="157">
        <f>IF(OR('Données projet'!B12="",'Données projet'!C12="",'Données projet'!C12=0%),0,Calculateur!CE3)</f>
        <v>194.52809733694494</v>
      </c>
      <c r="E9" s="157">
        <f t="shared" ca="1" si="0"/>
        <v>168.16583766359378</v>
      </c>
      <c r="F9" s="157">
        <f t="shared" ca="1" si="1"/>
        <v>201.67288081806481</v>
      </c>
      <c r="G9" s="157">
        <f ca="1">F9*(100%-'Données projet'!$C$24)*(100%-'Données projet'!$C$25)*(100%-'Données projet'!$C$26)*(100%-'Données projet'!$C$27)</f>
        <v>181.50559273625834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34.550392499999994</v>
      </c>
      <c r="K9" s="161">
        <f>J9*(100%-'Données projet'!$C$24)*(100%-'Données projet'!$C$25)*(100%-'Données projet'!$C$26)*(100%-'Données projet'!$C$27)</f>
        <v>31.095353249999995</v>
      </c>
      <c r="L9" s="162">
        <f t="shared" ca="1" si="2"/>
        <v>212.60094598625832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3" t="str">
        <f>IF('Données projet'!$B$13="","",'Données projet'!$B$13)</f>
        <v>Chêne rouge d'Amérique</v>
      </c>
      <c r="B10" s="164">
        <f>'Données projet'!D13</f>
        <v>3.4492499999999997</v>
      </c>
      <c r="C10" s="157">
        <f ca="1">IF(OR('Données projet'!B13="",'Données projet'!C13="",'Données projet'!C13=0%),0,Calculateur!CY3)</f>
        <v>146.09202487550647</v>
      </c>
      <c r="D10" s="157">
        <f>IF(OR('Données projet'!B13="",'Données projet'!C13="",'Données projet'!C13=0%),0,Calculateur!CZ3)</f>
        <v>168.58814676269344</v>
      </c>
      <c r="E10" s="157">
        <f t="shared" ca="1" si="0"/>
        <v>146.09202487550647</v>
      </c>
      <c r="F10" s="157">
        <f t="shared" ca="1" si="1"/>
        <v>503.90791680184066</v>
      </c>
      <c r="G10" s="157">
        <f ca="1">F10*(100%-'Données projet'!$C$24)*(100%-'Données projet'!$C$25)*(100%-'Données projet'!$C$26)*(100%-'Données projet'!$C$27)</f>
        <v>453.51712512165659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58.637249999999995</v>
      </c>
      <c r="K10" s="161">
        <f>J10*(100%-'Données projet'!$C$24)*(100%-'Données projet'!$C$25)*(100%-'Données projet'!$C$26)*(100%-'Données projet'!$C$27)</f>
        <v>52.773524999999999</v>
      </c>
      <c r="L10" s="162">
        <f t="shared" ca="1" si="2"/>
        <v>506.2906501216566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3" t="str">
        <f>IF('Données projet'!$B$14="","",'Données projet'!$B$14)</f>
        <v>Châtaignier</v>
      </c>
      <c r="B11" s="164">
        <f>'Données projet'!D14</f>
        <v>1.14975</v>
      </c>
      <c r="C11" s="157">
        <f ca="1">IF(OR('Données projet'!B14="",'Données projet'!C14="",'Données projet'!C14=0%),0,Calculateur!DT3)</f>
        <v>116.35584360635318</v>
      </c>
      <c r="D11" s="157">
        <f>IF(OR('Données projet'!B14="",'Données projet'!C14="",'Données projet'!C14=0%),0,Calculateur!DU3)</f>
        <v>86.38226293640173</v>
      </c>
      <c r="E11" s="157">
        <f t="shared" ca="1" si="0"/>
        <v>86.38226293640173</v>
      </c>
      <c r="F11" s="157">
        <f t="shared" ca="1" si="1"/>
        <v>99.318006811127887</v>
      </c>
      <c r="G11" s="157">
        <f ca="1">F11*(100%-'Données projet'!$C$24)*(100%-'Données projet'!$C$25)*(100%-'Données projet'!$C$26)*(100%-'Données projet'!$C$27)</f>
        <v>89.386206130015097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7.4733750000000008</v>
      </c>
      <c r="K11" s="161">
        <f>J11*(100%-'Données projet'!$C$24)*(100%-'Données projet'!$C$25)*(100%-'Données projet'!$C$26)*(100%-'Données projet'!$C$27)</f>
        <v>6.7260375000000012</v>
      </c>
      <c r="L11" s="162">
        <f t="shared" ca="1" si="2"/>
        <v>96.112243630015101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37"/>
      <c r="B16" s="247"/>
      <c r="C16" s="248"/>
      <c r="D16" s="25"/>
      <c r="E16" s="25"/>
      <c r="F16" s="175">
        <f t="shared" ref="F16:L16" ca="1" si="3">SUM(F6:F15)</f>
        <v>4193.9951560856962</v>
      </c>
      <c r="G16" s="176">
        <f t="shared" ca="1" si="3"/>
        <v>3774.5956404771259</v>
      </c>
      <c r="H16" s="177">
        <f t="shared" si="3"/>
        <v>91.024292810052103</v>
      </c>
      <c r="I16" s="177">
        <f t="shared" si="3"/>
        <v>81.921863529046902</v>
      </c>
      <c r="J16" s="178">
        <f t="shared" si="3"/>
        <v>860.6941875</v>
      </c>
      <c r="K16" s="178">
        <f t="shared" si="3"/>
        <v>774.62476874999993</v>
      </c>
      <c r="L16" s="179">
        <f t="shared" ca="1" si="3"/>
        <v>4631.1422727561721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80" t="str">
        <f>A6</f>
        <v>Cèdre de l'Atlas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80" t="str">
        <f>A7</f>
        <v>Douglas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80" t="str">
        <f>A8</f>
        <v>Mélèze d'Europe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80" t="str">
        <f>A9</f>
        <v>Pin laricio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80" t="str">
        <f>A10</f>
        <v>Chêne rouge d'Amérique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80" t="str">
        <f>A11</f>
        <v>Châtaignier</v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zoomScale="70" zoomScaleNormal="70" workbookViewId="0">
      <selection activeCell="C48" sqref="C4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34" style="3" customWidth="1"/>
    <col min="7" max="7" width="11.5" style="3"/>
    <col min="8" max="8" width="11.5" style="1"/>
    <col min="9" max="9" width="33" style="1" customWidth="1"/>
    <col min="10" max="10" width="37" style="1" customWidth="1"/>
    <col min="11" max="15" width="11.5" style="1"/>
    <col min="16" max="16" width="21" style="1" customWidth="1"/>
    <col min="17" max="16384" width="11.5" style="1"/>
  </cols>
  <sheetData>
    <row r="1" spans="1:46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3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">
      <c r="A4" s="100"/>
      <c r="B4" s="100"/>
      <c r="C4" s="100"/>
      <c r="D4" s="100"/>
      <c r="E4" s="100"/>
      <c r="F4" s="181"/>
      <c r="G4" s="181"/>
      <c r="H4" s="100"/>
      <c r="I4" s="275" t="s">
        <v>190</v>
      </c>
      <c r="J4" s="275"/>
      <c r="K4" s="275"/>
      <c r="L4" s="275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3">
      <c r="A6" s="100"/>
      <c r="B6" s="303" t="s">
        <v>192</v>
      </c>
      <c r="C6" s="303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03" t="s">
        <v>191</v>
      </c>
      <c r="P6" s="303"/>
      <c r="Q6" s="303"/>
      <c r="R6" s="303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">
      <c r="A9" s="25"/>
      <c r="B9" s="25"/>
      <c r="C9" s="25"/>
      <c r="D9" s="25"/>
      <c r="E9" s="25"/>
      <c r="F9" s="218"/>
      <c r="G9" s="230"/>
      <c r="H9" s="25"/>
      <c r="I9" s="207">
        <v>1</v>
      </c>
      <c r="J9" s="208">
        <v>2495</v>
      </c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">
      <c r="A12" s="25"/>
      <c r="B12" s="25"/>
      <c r="C12" s="25"/>
      <c r="D12" s="25"/>
      <c r="E12" s="25"/>
      <c r="F12" s="234"/>
      <c r="G12" s="243"/>
      <c r="H12" s="25"/>
      <c r="I12" s="207">
        <v>1</v>
      </c>
      <c r="J12" s="208">
        <f>(2515+280)*1.12</f>
        <v>3130.4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">
      <c r="A13" s="25"/>
      <c r="B13" s="25"/>
      <c r="C13" s="25"/>
      <c r="D13" s="25"/>
      <c r="E13" s="25"/>
      <c r="F13" s="234"/>
      <c r="G13" s="243"/>
      <c r="H13" s="25"/>
      <c r="I13" s="207">
        <v>2</v>
      </c>
      <c r="J13" s="208">
        <f>280*1.12</f>
        <v>313.60000000000002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">
      <c r="A14" s="25"/>
      <c r="B14" s="25"/>
      <c r="C14" s="25"/>
      <c r="D14" s="25"/>
      <c r="E14" s="25"/>
      <c r="F14" s="234"/>
      <c r="G14" s="243"/>
      <c r="H14" s="25"/>
      <c r="I14" s="207">
        <v>3</v>
      </c>
      <c r="J14" s="208">
        <f t="shared" ref="J14:J16" si="0">280*1.12</f>
        <v>313.60000000000002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">
      <c r="A15" s="25"/>
      <c r="B15" s="25"/>
      <c r="C15" s="25"/>
      <c r="D15" s="25"/>
      <c r="E15" s="25"/>
      <c r="F15" s="234"/>
      <c r="G15" s="243"/>
      <c r="H15" s="25"/>
      <c r="I15" s="207">
        <v>4</v>
      </c>
      <c r="J15" s="208">
        <f t="shared" si="0"/>
        <v>313.60000000000002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">
      <c r="A16" s="25"/>
      <c r="B16" s="25"/>
      <c r="C16" s="25"/>
      <c r="D16" s="25"/>
      <c r="E16" s="25"/>
      <c r="F16" s="234"/>
      <c r="G16" s="243"/>
      <c r="H16" s="25"/>
      <c r="I16" s="207">
        <v>5</v>
      </c>
      <c r="J16" s="208">
        <f t="shared" si="0"/>
        <v>313.60000000000002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">
      <c r="A17" s="235"/>
      <c r="B17" s="235"/>
      <c r="C17" s="25"/>
      <c r="D17" s="25"/>
      <c r="E17" s="25"/>
      <c r="F17" s="218"/>
      <c r="G17" s="230"/>
      <c r="H17" s="25"/>
      <c r="I17" s="305" t="s">
        <v>292</v>
      </c>
      <c r="J17" s="305"/>
      <c r="K17" s="305"/>
      <c r="L17" s="305"/>
      <c r="M17" s="5"/>
      <c r="N17" s="186"/>
      <c r="O17" s="304" t="s">
        <v>254</v>
      </c>
      <c r="P17" s="304"/>
      <c r="Q17" s="2">
        <v>30</v>
      </c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">
      <c r="A18" s="49" t="s">
        <v>165</v>
      </c>
      <c r="B18" s="189" t="str">
        <f>IF('Données projet'!$B$9="","",'Données projet'!$B$9)</f>
        <v>Cèdre de l'Atlas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1" t="s">
        <v>291</v>
      </c>
      <c r="P18" s="271"/>
      <c r="Q18" s="190">
        <f>VLOOKUP(Q17,Calculateur!$A$2:$H$153,3,0)/VLOOKUP('Scénario référence'!$G$15,Paramètres!A1:I88,3,0)/VLOOKUP('Scénario référence'!$G$15,Paramètres!A1:I88,5,0)</f>
        <v>29.999999999999993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1" t="s">
        <v>255</v>
      </c>
      <c r="P19" s="271"/>
      <c r="Q19" s="209">
        <v>10</v>
      </c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Cèdre de l'Atlas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-2487.4368939077744</v>
      </c>
      <c r="K20" s="193">
        <f>'Données projet'!D9</f>
        <v>2.0002500000000003</v>
      </c>
      <c r="L20" s="192">
        <f>K20*J20</f>
        <v>-4975.4956470390262</v>
      </c>
      <c r="M20" s="25"/>
      <c r="N20" s="186"/>
      <c r="O20" s="271" t="s">
        <v>290</v>
      </c>
      <c r="P20" s="271"/>
      <c r="Q20" s="194">
        <f>Q18*Q19</f>
        <v>299.99999999999994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">
      <c r="A21" s="214">
        <v>0</v>
      </c>
      <c r="B21" s="217" t="s">
        <v>132</v>
      </c>
      <c r="C21" s="216" t="s">
        <v>132</v>
      </c>
      <c r="D21" s="215" t="s">
        <v>132</v>
      </c>
      <c r="E21" s="210">
        <f>3332*1.12</f>
        <v>3731.84</v>
      </c>
      <c r="F21" s="218"/>
      <c r="G21" s="231"/>
      <c r="H21" s="25"/>
      <c r="I21" s="188" t="str">
        <f>B44</f>
        <v>Douglas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4097.1433899043359</v>
      </c>
      <c r="K21" s="193">
        <f>'Données projet'!D10</f>
        <v>9.6997499999999999</v>
      </c>
      <c r="L21" s="192">
        <f t="shared" ref="L21:L29" si="1">K21*J21</f>
        <v>39741.266596224581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">
      <c r="A22" s="195">
        <f>'Données projet'!A36</f>
        <v>30</v>
      </c>
      <c r="B22" s="196">
        <f>'Données projet'!D36</f>
        <v>40</v>
      </c>
      <c r="C22" s="210">
        <f>'Données projet'!E36*30+('Données projet'!F36+'Données projet'!G36)*19.4+'Données projet'!H36*10</f>
        <v>19.399999999999999</v>
      </c>
      <c r="D22" s="197">
        <f>B22*C22</f>
        <v>776</v>
      </c>
      <c r="E22" s="210"/>
      <c r="F22" s="218"/>
      <c r="G22" s="227"/>
      <c r="H22" s="25"/>
      <c r="I22" s="188" t="str">
        <f>B70</f>
        <v>Mélèze d'Europe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148.77089072801596</v>
      </c>
      <c r="K22" s="193">
        <f>'Données projet'!D11</f>
        <v>4.9995000000000003</v>
      </c>
      <c r="L22" s="192">
        <f t="shared" si="1"/>
        <v>743.7800681947158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">
      <c r="A23" s="195">
        <f>'Données projet'!A37</f>
        <v>40</v>
      </c>
      <c r="B23" s="196">
        <f>'Données projet'!D37</f>
        <v>40</v>
      </c>
      <c r="C23" s="210">
        <f>'Données projet'!E37*30+('Données projet'!F37+'Données projet'!G37)*19.4+'Données projet'!H37*10</f>
        <v>21.52</v>
      </c>
      <c r="D23" s="197">
        <f t="shared" ref="D23:D41" si="2">B23*C23</f>
        <v>860.8</v>
      </c>
      <c r="E23" s="210"/>
      <c r="F23" s="219"/>
      <c r="G23" s="227"/>
      <c r="H23" s="25"/>
      <c r="I23" s="188" t="str">
        <f>B96</f>
        <v>Pin laricio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-193.39468339480356</v>
      </c>
      <c r="K23" s="193">
        <f>'Données projet'!D12</f>
        <v>1.1992499999999999</v>
      </c>
      <c r="L23" s="192">
        <f t="shared" si="1"/>
        <v>-231.92857406121817</v>
      </c>
      <c r="M23" s="226"/>
      <c r="N23" s="198"/>
      <c r="O23" s="308" t="s">
        <v>261</v>
      </c>
      <c r="P23" s="308"/>
      <c r="Q23" s="30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">
      <c r="A24" s="195">
        <f>'Données projet'!A38</f>
        <v>50</v>
      </c>
      <c r="B24" s="196">
        <f>'Données projet'!D38</f>
        <v>40</v>
      </c>
      <c r="C24" s="210">
        <f>'Données projet'!E38*30+('Données projet'!F38+'Données projet'!G38)*19.4+'Données projet'!H38*10</f>
        <v>25.759999999999998</v>
      </c>
      <c r="D24" s="197">
        <f t="shared" si="2"/>
        <v>1030.3999999999999</v>
      </c>
      <c r="E24" s="210"/>
      <c r="F24" s="219"/>
      <c r="G24" s="227"/>
      <c r="H24" s="25"/>
      <c r="I24" s="188" t="str">
        <f>B122</f>
        <v>Chêne rouge d'Amérique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-1214.7911036443427</v>
      </c>
      <c r="K24" s="193">
        <f>'Données projet'!D13</f>
        <v>3.4492499999999997</v>
      </c>
      <c r="L24" s="192">
        <f t="shared" si="1"/>
        <v>-4190.118214245249</v>
      </c>
      <c r="M24" s="25"/>
      <c r="N24" s="186"/>
      <c r="O24" s="306" t="s">
        <v>286</v>
      </c>
      <c r="P24" s="306"/>
      <c r="Q24" s="306"/>
      <c r="R24" s="306"/>
      <c r="S24" s="306"/>
      <c r="T24" s="209">
        <v>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">
      <c r="A25" s="195">
        <f>'Données projet'!A39</f>
        <v>60</v>
      </c>
      <c r="B25" s="196">
        <f>'Données projet'!D39</f>
        <v>390</v>
      </c>
      <c r="C25" s="210">
        <f>'Données projet'!E39*30+('Données projet'!F39+'Données projet'!G39)*19.4+'Données projet'!H39*10</f>
        <v>27.88</v>
      </c>
      <c r="D25" s="197">
        <f t="shared" si="2"/>
        <v>10873.199999999999</v>
      </c>
      <c r="E25" s="210"/>
      <c r="F25" s="219"/>
      <c r="G25" s="227"/>
      <c r="H25" s="25"/>
      <c r="I25" s="188" t="str">
        <f>B148</f>
        <v>Châtaignier</v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-601.56911632991228</v>
      </c>
      <c r="K25" s="193">
        <f>'Données projet'!D14</f>
        <v>1.14975</v>
      </c>
      <c r="L25" s="192">
        <f t="shared" si="1"/>
        <v>-691.65409150031667</v>
      </c>
      <c r="M25" s="25"/>
      <c r="N25" s="186"/>
      <c r="O25" s="307" t="s">
        <v>258</v>
      </c>
      <c r="P25" s="307"/>
      <c r="Q25" s="307"/>
      <c r="R25" s="307"/>
      <c r="S25" s="307"/>
      <c r="T25" s="307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">
      <c r="A26" s="195">
        <f>'Données projet'!A40</f>
        <v>0</v>
      </c>
      <c r="B26" s="196">
        <f>'Données projet'!D40</f>
        <v>0</v>
      </c>
      <c r="C26" s="210">
        <f>'Données projet'!E40*30+('Données projet'!F40+'Données projet'!G40)*19.4+'Données projet'!H40*10</f>
        <v>0</v>
      </c>
      <c r="D26" s="197">
        <f t="shared" si="2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1"/>
        <v>0</v>
      </c>
      <c r="M26" s="25"/>
      <c r="N26" s="186"/>
      <c r="O26" s="307"/>
      <c r="P26" s="307"/>
      <c r="Q26" s="307"/>
      <c r="R26" s="307"/>
      <c r="S26" s="307"/>
      <c r="T26" s="307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">
      <c r="A27" s="195">
        <f>'Données projet'!A41</f>
        <v>0</v>
      </c>
      <c r="B27" s="196">
        <f>'Données projet'!D41</f>
        <v>0</v>
      </c>
      <c r="C27" s="210">
        <f>'Données projet'!E41*30+('Données projet'!F41+'Données projet'!G41)*19.4+'Données projet'!H41*10</f>
        <v>0</v>
      </c>
      <c r="D27" s="197">
        <f t="shared" si="2"/>
        <v>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1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">
      <c r="A28" s="195">
        <f>'Données projet'!A42</f>
        <v>0</v>
      </c>
      <c r="B28" s="196">
        <f>'Données projet'!D42</f>
        <v>0</v>
      </c>
      <c r="C28" s="210">
        <f>'Données projet'!E42*30+('Données projet'!F42+'Données projet'!G42)*19.4+'Données projet'!H42*10</f>
        <v>0</v>
      </c>
      <c r="D28" s="197">
        <f t="shared" si="2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1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">
      <c r="A29" s="195">
        <f>'Données projet'!A43</f>
        <v>0</v>
      </c>
      <c r="B29" s="196">
        <f>'Données projet'!D43</f>
        <v>0</v>
      </c>
      <c r="C29" s="210">
        <f>'Données projet'!E43*30+('Données projet'!F43+'Données projet'!G43)*19.4+'Données projet'!H43*10</f>
        <v>0</v>
      </c>
      <c r="D29" s="197">
        <f t="shared" si="2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1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">
      <c r="A30" s="195">
        <f>'Données projet'!A44</f>
        <v>0</v>
      </c>
      <c r="B30" s="196">
        <f>'Données projet'!D44</f>
        <v>0</v>
      </c>
      <c r="C30" s="210"/>
      <c r="D30" s="197">
        <f t="shared" si="2"/>
        <v>0</v>
      </c>
      <c r="E30" s="210"/>
      <c r="F30" s="219"/>
      <c r="G30" s="227"/>
      <c r="H30" s="25"/>
      <c r="M30" s="5"/>
      <c r="N30" s="186"/>
      <c r="O30" s="301" t="s">
        <v>260</v>
      </c>
      <c r="P30" s="301"/>
      <c r="Q30" s="302"/>
      <c r="R30" s="211">
        <f>IF(R29+1&lt;=MIN('Données projet'!$E$9:$E$18),R29+1,"STOP")</f>
        <v>1</v>
      </c>
      <c r="S30" s="201">
        <f t="shared" ref="S30:S46" si="3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">
      <c r="A31" s="195">
        <f>'Données projet'!A45</f>
        <v>0</v>
      </c>
      <c r="B31" s="196">
        <f>'Données projet'!D45</f>
        <v>0</v>
      </c>
      <c r="C31" s="210"/>
      <c r="D31" s="197">
        <f t="shared" si="2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1" t="s">
        <v>297</v>
      </c>
      <c r="P31" s="301"/>
      <c r="Q31" s="302"/>
      <c r="R31" s="211">
        <f>IF(R30+1&lt;=MIN('Données projet'!$E$9:$E$18),R30+1,"STOP")</f>
        <v>2</v>
      </c>
      <c r="S31" s="201">
        <f t="shared" si="3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">
      <c r="A32" s="195">
        <f>'Données projet'!A46</f>
        <v>0</v>
      </c>
      <c r="B32" s="196">
        <f>'Données projet'!D46</f>
        <v>0</v>
      </c>
      <c r="C32" s="210"/>
      <c r="D32" s="197">
        <f t="shared" si="2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3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">
      <c r="A33" s="195">
        <f>'Données projet'!A47</f>
        <v>0</v>
      </c>
      <c r="B33" s="196">
        <f>'Données projet'!D47</f>
        <v>0</v>
      </c>
      <c r="C33" s="210"/>
      <c r="D33" s="197">
        <f t="shared" si="2"/>
        <v>0</v>
      </c>
      <c r="E33" s="210"/>
      <c r="F33" s="219"/>
      <c r="G33" s="227"/>
      <c r="H33" s="25"/>
      <c r="I33" s="188" t="s">
        <v>265</v>
      </c>
      <c r="J33" s="311">
        <f>SUM(L20:L29) - (J12/(1+J6)^I12 + J13/(1+J6)^I13 + J14/(1+J6)^I14 + J15/(1+J6)^I15 + J16/(1+J6)^I16 + J9/(1+J6)^I9)*'Données projet'!C5</f>
        <v>-114948.72529265043</v>
      </c>
      <c r="K33" s="311"/>
      <c r="L33" s="311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3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">
      <c r="A34" s="195">
        <f>'Données projet'!A48</f>
        <v>0</v>
      </c>
      <c r="B34" s="196">
        <f>'Données projet'!D48</f>
        <v>0</v>
      </c>
      <c r="C34" s="210"/>
      <c r="D34" s="197">
        <f t="shared" si="2"/>
        <v>0</v>
      </c>
      <c r="E34" s="210"/>
      <c r="F34" s="219"/>
      <c r="G34" s="227"/>
      <c r="H34" s="25"/>
      <c r="I34" s="188" t="s">
        <v>262</v>
      </c>
      <c r="J34" s="312">
        <f ca="1">'Scénario référence'!$B$8*$P$28*'Données projet'!$C$5+('Scénario référence'!B9+'Scénario référence'!B10+'Scénario référence'!F8+'Scénario référence'!F9)*$Q$20/(1+J6)^Q17*'Données projet'!$C$5</f>
        <v>1802.25010467227</v>
      </c>
      <c r="K34" s="312"/>
      <c r="L34" s="312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3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">
      <c r="A35" s="195">
        <f>'Données projet'!A49</f>
        <v>0</v>
      </c>
      <c r="B35" s="196">
        <f>'Données projet'!D49</f>
        <v>0</v>
      </c>
      <c r="C35" s="210"/>
      <c r="D35" s="197">
        <f t="shared" si="2"/>
        <v>0</v>
      </c>
      <c r="E35" s="210"/>
      <c r="F35" s="219"/>
      <c r="G35" s="227"/>
      <c r="H35" s="25"/>
      <c r="I35" s="202" t="s">
        <v>267</v>
      </c>
      <c r="J35" s="313">
        <f ca="1">J33-J34</f>
        <v>-116750.97539732271</v>
      </c>
      <c r="K35" s="313"/>
      <c r="L35" s="313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3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">
      <c r="A36" s="195">
        <f>'Données projet'!A50</f>
        <v>0</v>
      </c>
      <c r="B36" s="196">
        <f>'Données projet'!D50</f>
        <v>0</v>
      </c>
      <c r="C36" s="210"/>
      <c r="D36" s="197">
        <f t="shared" si="2"/>
        <v>0</v>
      </c>
      <c r="E36" s="210"/>
      <c r="F36" s="219"/>
      <c r="G36" s="227"/>
      <c r="H36" s="25"/>
      <c r="I36" s="202" t="s">
        <v>266</v>
      </c>
      <c r="J36" s="310" t="str">
        <f ca="1">IF(J35&lt;0,"Votre projet est additionnel","Votre projet n'est pas additionnel")</f>
        <v>Votre projet est additionnel</v>
      </c>
      <c r="K36" s="310"/>
      <c r="L36" s="310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3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">
      <c r="A37" s="195">
        <f>'Données projet'!A51</f>
        <v>0</v>
      </c>
      <c r="B37" s="196">
        <f>'Données projet'!D51</f>
        <v>0</v>
      </c>
      <c r="C37" s="210"/>
      <c r="D37" s="197">
        <f t="shared" si="2"/>
        <v>0</v>
      </c>
      <c r="E37" s="210"/>
      <c r="F37" s="219"/>
      <c r="G37" s="227"/>
      <c r="H37" s="25"/>
      <c r="I37" s="314" t="s">
        <v>268</v>
      </c>
      <c r="J37" s="314"/>
      <c r="K37" s="314"/>
      <c r="L37" s="314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3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">
      <c r="A38" s="195">
        <f>'Données projet'!A52</f>
        <v>0</v>
      </c>
      <c r="B38" s="196">
        <f>'Données projet'!D52</f>
        <v>0</v>
      </c>
      <c r="C38" s="210"/>
      <c r="D38" s="197">
        <f t="shared" si="2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3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">
      <c r="A39" s="195">
        <f>'Données projet'!A53</f>
        <v>0</v>
      </c>
      <c r="B39" s="196">
        <f>'Données projet'!D53</f>
        <v>0</v>
      </c>
      <c r="C39" s="210"/>
      <c r="D39" s="197">
        <f t="shared" si="2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3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">
      <c r="A40" s="195">
        <f>'Données projet'!A54</f>
        <v>0</v>
      </c>
      <c r="B40" s="196">
        <f>'Données projet'!D54</f>
        <v>0</v>
      </c>
      <c r="C40" s="210"/>
      <c r="D40" s="197">
        <f t="shared" si="2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3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">
      <c r="A41" s="195">
        <f>'Données projet'!A55</f>
        <v>0</v>
      </c>
      <c r="B41" s="196">
        <f>'Données projet'!D55</f>
        <v>0</v>
      </c>
      <c r="C41" s="210"/>
      <c r="D41" s="197">
        <f t="shared" si="2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3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">
      <c r="A42" s="203"/>
      <c r="B42" s="203"/>
      <c r="C42" s="203"/>
      <c r="D42" s="203"/>
      <c r="E42" s="305" t="s">
        <v>293</v>
      </c>
      <c r="F42" s="309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3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3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">
      <c r="A44" s="49" t="s">
        <v>166</v>
      </c>
      <c r="B44" s="189" t="str">
        <f>IF('Données projet'!$B$10="","",'Données projet'!$B$10)</f>
        <v>Douglas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3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3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3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">
      <c r="A47" s="214">
        <v>0</v>
      </c>
      <c r="B47" s="217" t="s">
        <v>132</v>
      </c>
      <c r="C47" s="216" t="s">
        <v>132</v>
      </c>
      <c r="D47" s="215" t="s">
        <v>132</v>
      </c>
      <c r="E47" s="210">
        <f>1666*1.12</f>
        <v>1865.92</v>
      </c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4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">
      <c r="A48" s="195">
        <f>'Données projet'!A62</f>
        <v>19</v>
      </c>
      <c r="B48" s="196">
        <f>'Données projet'!D62</f>
        <v>0</v>
      </c>
      <c r="C48" s="210">
        <f>'Données projet'!E62*65+('Données projet'!F62+'Données projet'!G62)*19.4+'Données projet'!H62*10</f>
        <v>19.399999999999999</v>
      </c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4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">
      <c r="A49" s="195">
        <f>'Données projet'!A63</f>
        <v>25</v>
      </c>
      <c r="B49" s="196">
        <f>'Données projet'!D63</f>
        <v>54</v>
      </c>
      <c r="C49" s="210">
        <f>'Données projet'!E63*65+('Données projet'!F63+'Données projet'!G63)*19.4+'Données projet'!H63*10</f>
        <v>19.399999999999999</v>
      </c>
      <c r="D49" s="194">
        <f t="shared" ref="D49:D67" si="5">B49*C49</f>
        <v>1047.5999999999999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4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">
      <c r="A50" s="195">
        <f>'Données projet'!A64</f>
        <v>30</v>
      </c>
      <c r="B50" s="196">
        <f>'Données projet'!D64</f>
        <v>54</v>
      </c>
      <c r="C50" s="210">
        <f>'Données projet'!E64*65+('Données projet'!F64+'Données projet'!G64)*19.4+'Données projet'!H64*10</f>
        <v>19.399999999999999</v>
      </c>
      <c r="D50" s="194">
        <f t="shared" si="5"/>
        <v>1047.5999999999999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4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">
      <c r="A51" s="195">
        <f>'Données projet'!A65</f>
        <v>35</v>
      </c>
      <c r="B51" s="196">
        <f>'Données projet'!D65</f>
        <v>69</v>
      </c>
      <c r="C51" s="210">
        <f>'Données projet'!E65*65+('Données projet'!F65+'Données projet'!G65)*19.4+'Données projet'!H65*10</f>
        <v>33.08</v>
      </c>
      <c r="D51" s="194">
        <f t="shared" si="5"/>
        <v>2282.52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4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">
      <c r="A52" s="195">
        <f>'Données projet'!A66</f>
        <v>40</v>
      </c>
      <c r="B52" s="196">
        <f>'Données projet'!D66</f>
        <v>72</v>
      </c>
      <c r="C52" s="210">
        <f>'Données projet'!E66*65+('Données projet'!F66+'Données projet'!G66)*19.4+'Données projet'!H66*10</f>
        <v>42.2</v>
      </c>
      <c r="D52" s="194">
        <f t="shared" si="5"/>
        <v>3038.4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4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">
      <c r="A53" s="195">
        <f>'Données projet'!A67</f>
        <v>45</v>
      </c>
      <c r="B53" s="196">
        <f>'Données projet'!D67</f>
        <v>606</v>
      </c>
      <c r="C53" s="210">
        <f>'Données projet'!E67*65+('Données projet'!F67+'Données projet'!G67)*19.4+'Données projet'!H67*10</f>
        <v>55.88</v>
      </c>
      <c r="D53" s="194">
        <f t="shared" si="5"/>
        <v>33863.279999999999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4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">
      <c r="A54" s="195">
        <f>'Données projet'!A68</f>
        <v>0</v>
      </c>
      <c r="B54" s="196">
        <f>'Données projet'!D68</f>
        <v>0</v>
      </c>
      <c r="C54" s="210">
        <f>'Données projet'!E68*65+('Données projet'!F68+'Données projet'!G68)*19.4+'Données projet'!H68*10</f>
        <v>0</v>
      </c>
      <c r="D54" s="194">
        <f t="shared" si="5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4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">
      <c r="A55" s="195">
        <f>'Données projet'!A69</f>
        <v>0</v>
      </c>
      <c r="B55" s="196">
        <f>'Données projet'!D69</f>
        <v>0</v>
      </c>
      <c r="C55" s="210"/>
      <c r="D55" s="194">
        <f t="shared" si="5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4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">
      <c r="A56" s="195">
        <f>'Données projet'!A70</f>
        <v>0</v>
      </c>
      <c r="B56" s="196">
        <f>'Données projet'!D70</f>
        <v>0</v>
      </c>
      <c r="C56" s="208"/>
      <c r="D56" s="194">
        <f t="shared" si="5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4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">
      <c r="A57" s="195">
        <f>'Données projet'!A71</f>
        <v>0</v>
      </c>
      <c r="B57" s="196">
        <f>'Données projet'!D71</f>
        <v>0</v>
      </c>
      <c r="C57" s="208"/>
      <c r="D57" s="194">
        <f t="shared" si="5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4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">
      <c r="A58" s="195">
        <f>'Données projet'!A72</f>
        <v>0</v>
      </c>
      <c r="B58" s="196">
        <f>'Données projet'!D72</f>
        <v>0</v>
      </c>
      <c r="C58" s="208"/>
      <c r="D58" s="194">
        <f t="shared" si="5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4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">
      <c r="A59" s="195">
        <f>'Données projet'!A73</f>
        <v>0</v>
      </c>
      <c r="B59" s="196">
        <f>'Données projet'!D73</f>
        <v>0</v>
      </c>
      <c r="C59" s="208"/>
      <c r="D59" s="194">
        <f t="shared" si="5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4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">
      <c r="A60" s="195">
        <f>'Données projet'!A74</f>
        <v>0</v>
      </c>
      <c r="B60" s="196">
        <f>'Données projet'!D74</f>
        <v>0</v>
      </c>
      <c r="C60" s="208"/>
      <c r="D60" s="194">
        <f t="shared" si="5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4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">
      <c r="A61" s="195">
        <f>'Données projet'!A75</f>
        <v>0</v>
      </c>
      <c r="B61" s="196">
        <f>'Données projet'!D75</f>
        <v>0</v>
      </c>
      <c r="C61" s="208"/>
      <c r="D61" s="194">
        <f t="shared" si="5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6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">
      <c r="A62" s="195">
        <f>'Données projet'!A76</f>
        <v>0</v>
      </c>
      <c r="B62" s="196">
        <f>'Données projet'!D76</f>
        <v>0</v>
      </c>
      <c r="C62" s="208"/>
      <c r="D62" s="194">
        <f t="shared" si="5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6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">
      <c r="A63" s="195">
        <f>'Données projet'!A77</f>
        <v>0</v>
      </c>
      <c r="B63" s="196">
        <f>'Données projet'!D77</f>
        <v>0</v>
      </c>
      <c r="C63" s="208"/>
      <c r="D63" s="194">
        <f t="shared" si="5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6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">
      <c r="A64" s="195">
        <f>'Données projet'!A78</f>
        <v>0</v>
      </c>
      <c r="B64" s="196">
        <f>'Données projet'!D78</f>
        <v>0</v>
      </c>
      <c r="C64" s="208"/>
      <c r="D64" s="194">
        <f t="shared" si="5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6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">
      <c r="A65" s="195">
        <f>'Données projet'!A79</f>
        <v>0</v>
      </c>
      <c r="B65" s="196">
        <f>'Données projet'!D79</f>
        <v>0</v>
      </c>
      <c r="C65" s="208"/>
      <c r="D65" s="194">
        <f t="shared" si="5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6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">
      <c r="A66" s="195">
        <f>'Données projet'!A80</f>
        <v>0</v>
      </c>
      <c r="B66" s="196">
        <f>'Données projet'!D80</f>
        <v>0</v>
      </c>
      <c r="C66" s="208"/>
      <c r="D66" s="194">
        <f t="shared" si="5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6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">
      <c r="A67" s="195">
        <f>'Données projet'!A81</f>
        <v>0</v>
      </c>
      <c r="B67" s="196">
        <f>'Données projet'!D81</f>
        <v>0</v>
      </c>
      <c r="C67" s="208"/>
      <c r="D67" s="194">
        <f t="shared" si="5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6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6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6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">
      <c r="A70" s="49" t="s">
        <v>167</v>
      </c>
      <c r="B70" s="189" t="str">
        <f>IF('Données projet'!B11="","",'Données projet'!B11)</f>
        <v>Mélèze d'Europe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6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6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6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">
      <c r="A73" s="214">
        <v>0</v>
      </c>
      <c r="B73" s="217" t="s">
        <v>132</v>
      </c>
      <c r="C73" s="216" t="s">
        <v>132</v>
      </c>
      <c r="D73" s="215" t="s">
        <v>132</v>
      </c>
      <c r="E73" s="210">
        <f>2332*1.12</f>
        <v>2611.84</v>
      </c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7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">
      <c r="A74" s="195">
        <f>'Données projet'!A88</f>
        <v>18</v>
      </c>
      <c r="B74" s="196">
        <f>'Données projet'!D88</f>
        <v>20</v>
      </c>
      <c r="C74" s="210">
        <f>'Données projet'!E88*50+('Données projet'!F88+'Données projet'!G88)*19.4+'Données projet'!H88*10</f>
        <v>19.399999999999999</v>
      </c>
      <c r="D74" s="194">
        <f>B74*C74</f>
        <v>388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7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">
      <c r="A75" s="195">
        <f>'Données projet'!A89</f>
        <v>21</v>
      </c>
      <c r="B75" s="196">
        <f>'Données projet'!D89</f>
        <v>26</v>
      </c>
      <c r="C75" s="210">
        <f>'Données projet'!E89*50+('Données projet'!F89+'Données projet'!G89)*19.4+'Données projet'!H89*10</f>
        <v>19.399999999999999</v>
      </c>
      <c r="D75" s="194">
        <f t="shared" ref="D75:D93" si="8">B75*C75</f>
        <v>504.4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 t="str">
        <f>IF(R74+1&lt;=MIN('Données projet'!$E$9:$E$18),R74+1,"STOP")</f>
        <v>STOP</v>
      </c>
      <c r="S75" s="201" t="e">
        <f t="shared" si="7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">
      <c r="A76" s="195">
        <f>'Données projet'!A90</f>
        <v>24</v>
      </c>
      <c r="B76" s="196">
        <f>'Données projet'!D90</f>
        <v>29</v>
      </c>
      <c r="C76" s="210">
        <f>'Données projet'!E90*50+('Données projet'!F90+'Données projet'!G90)*19.4+'Données projet'!H90*10</f>
        <v>19.399999999999999</v>
      </c>
      <c r="D76" s="194">
        <f t="shared" si="8"/>
        <v>562.59999999999991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 t="e">
        <f>IF(R75+1&lt;=MIN('Données projet'!$E$9:$E$18),R75+1,"STOP")</f>
        <v>#VALUE!</v>
      </c>
      <c r="S76" s="201" t="e">
        <f t="shared" si="7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">
      <c r="A77" s="195">
        <f>'Données projet'!A91</f>
        <v>30</v>
      </c>
      <c r="B77" s="196">
        <f>'Données projet'!D91</f>
        <v>53</v>
      </c>
      <c r="C77" s="210">
        <f>'Données projet'!E91*50+('Données projet'!F91+'Données projet'!G91)*19.4+'Données projet'!H91*10</f>
        <v>19.399999999999999</v>
      </c>
      <c r="D77" s="194">
        <f t="shared" si="8"/>
        <v>1028.1999999999998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 t="e">
        <f>IF(R76+1&lt;=MIN('Données projet'!$E$9:$E$18),R76+1,"STOP")</f>
        <v>#VALUE!</v>
      </c>
      <c r="S77" s="201" t="e">
        <f t="shared" si="7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">
      <c r="A78" s="195">
        <f>'Données projet'!A92</f>
        <v>36</v>
      </c>
      <c r="B78" s="196">
        <f>'Données projet'!D92</f>
        <v>62</v>
      </c>
      <c r="C78" s="210">
        <f>'Données projet'!E92*50+('Données projet'!F92+'Données projet'!G92)*19.4+'Données projet'!H92*10</f>
        <v>25.52</v>
      </c>
      <c r="D78" s="194">
        <f t="shared" si="8"/>
        <v>1582.24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 t="e">
        <f>IF(R77+1&lt;=MIN('Données projet'!$E$9:$E$18),R77+1,"STOP")</f>
        <v>#VALUE!</v>
      </c>
      <c r="S78" s="201" t="e">
        <f t="shared" si="7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">
      <c r="A79" s="195">
        <f>'Données projet'!A93</f>
        <v>42</v>
      </c>
      <c r="B79" s="196">
        <f>'Données projet'!D93</f>
        <v>67</v>
      </c>
      <c r="C79" s="210">
        <f>'Données projet'!E93*50+('Données projet'!F93+'Données projet'!G93)*19.4+'Données projet'!H93*10</f>
        <v>34.700000000000003</v>
      </c>
      <c r="D79" s="194">
        <f t="shared" si="8"/>
        <v>2324.9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 t="e">
        <f>IF(R78+1&lt;=MIN('Données projet'!$E$9:$E$18),R78+1,"STOP")</f>
        <v>#VALUE!</v>
      </c>
      <c r="S79" s="201" t="e">
        <f t="shared" si="7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">
      <c r="A80" s="195">
        <f>'Données projet'!A94</f>
        <v>50</v>
      </c>
      <c r="B80" s="196">
        <f>'Données projet'!D94</f>
        <v>252</v>
      </c>
      <c r="C80" s="210">
        <f>'Données projet'!E94*50+('Données projet'!F94+'Données projet'!G94)*19.4+'Données projet'!H94*10</f>
        <v>43.88</v>
      </c>
      <c r="D80" s="194">
        <f t="shared" si="8"/>
        <v>11057.76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 t="e">
        <f>IF(R79+1&lt;=MIN('Données projet'!$E$9:$E$18),R79+1,"STOP")</f>
        <v>#VALUE!</v>
      </c>
      <c r="S80" s="201" t="e">
        <f t="shared" si="7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">
      <c r="A81" s="195">
        <f>'Données projet'!A95</f>
        <v>0</v>
      </c>
      <c r="B81" s="196">
        <f>'Données projet'!D95</f>
        <v>0</v>
      </c>
      <c r="C81" s="210">
        <f>'Données projet'!E95*150+('Données projet'!F95+'Données projet'!G95)*19.4+'Données projet'!H95*10</f>
        <v>0</v>
      </c>
      <c r="D81" s="194">
        <f t="shared" si="8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 t="e">
        <f>IF(R80+1&lt;=MIN('Données projet'!$E$9:$E$18),R80+1,"STOP")</f>
        <v>#VALUE!</v>
      </c>
      <c r="S81" s="201" t="e">
        <f t="shared" si="7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">
      <c r="A82" s="195">
        <f>'Données projet'!A96</f>
        <v>0</v>
      </c>
      <c r="B82" s="196">
        <f>'Données projet'!D96</f>
        <v>0</v>
      </c>
      <c r="C82" s="210">
        <f>'Données projet'!E96*150+('Données projet'!F96+'Données projet'!G96)*19.4+'Données projet'!H96*10</f>
        <v>0</v>
      </c>
      <c r="D82" s="194">
        <f t="shared" si="8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 t="e">
        <f>IF(R81+1&lt;=MIN('Données projet'!$E$9:$E$18),R81+1,"STOP")</f>
        <v>#VALUE!</v>
      </c>
      <c r="S82" s="201" t="e">
        <f t="shared" si="7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">
      <c r="A83" s="195">
        <f>'Données projet'!A97</f>
        <v>0</v>
      </c>
      <c r="B83" s="196">
        <f>'Données projet'!D97</f>
        <v>0</v>
      </c>
      <c r="C83" s="210">
        <f>'Données projet'!E97*150+('Données projet'!F97+'Données projet'!G97)*19.4+'Données projet'!H97*10</f>
        <v>0</v>
      </c>
      <c r="D83" s="194">
        <f t="shared" si="8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 t="e">
        <f>IF(R82+1&lt;=MIN('Données projet'!$E$9:$E$18),R82+1,"STOP")</f>
        <v>#VALUE!</v>
      </c>
      <c r="S83" s="201" t="e">
        <f t="shared" si="7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">
      <c r="A84" s="195">
        <f>'Données projet'!A98</f>
        <v>0</v>
      </c>
      <c r="B84" s="196">
        <f>'Données projet'!D98</f>
        <v>0</v>
      </c>
      <c r="C84" s="210">
        <f>'Données projet'!E98*150+('Données projet'!F98+'Données projet'!G98)*19.4+'Données projet'!H98*10</f>
        <v>0</v>
      </c>
      <c r="D84" s="194">
        <f t="shared" si="8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 t="e">
        <f>IF(R83+1&lt;=MIN('Données projet'!$E$9:$E$18),R83+1,"STOP")</f>
        <v>#VALUE!</v>
      </c>
      <c r="S84" s="201" t="e">
        <f t="shared" si="7"/>
        <v>#VALUE!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">
      <c r="A85" s="195">
        <f>'Données projet'!A99</f>
        <v>0</v>
      </c>
      <c r="B85" s="196">
        <f>'Données projet'!D99</f>
        <v>0</v>
      </c>
      <c r="C85" s="210">
        <f>'Données projet'!E99*150+('Données projet'!F99+'Données projet'!G99)*19.4+'Données projet'!H99*10</f>
        <v>0</v>
      </c>
      <c r="D85" s="194">
        <f t="shared" si="8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 t="e">
        <f>IF(R84+1&lt;=MIN('Données projet'!$E$9:$E$18),R84+1,"STOP")</f>
        <v>#VALUE!</v>
      </c>
      <c r="S85" s="201" t="e">
        <f t="shared" si="7"/>
        <v>#VALUE!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">
      <c r="A86" s="195">
        <f>'Données projet'!A100</f>
        <v>0</v>
      </c>
      <c r="B86" s="196">
        <f>'Données projet'!D100</f>
        <v>0</v>
      </c>
      <c r="C86" s="210">
        <f>'Données projet'!E100*150+('Données projet'!F100+'Données projet'!G100)*19.4+'Données projet'!H100*10</f>
        <v>0</v>
      </c>
      <c r="D86" s="194">
        <f t="shared" si="8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 t="e">
        <f>IF(R85+1&lt;=MIN('Données projet'!$E$9:$E$18),R85+1,"STOP")</f>
        <v>#VALUE!</v>
      </c>
      <c r="S86" s="201" t="e">
        <f t="shared" si="7"/>
        <v>#VALUE!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">
      <c r="A87" s="195">
        <f>'Données projet'!A101</f>
        <v>0</v>
      </c>
      <c r="B87" s="196">
        <f>'Données projet'!D101</f>
        <v>0</v>
      </c>
      <c r="C87" s="210">
        <f>'Données projet'!E101*150+('Données projet'!F101+'Données projet'!G101)*19.4+'Données projet'!H101*10</f>
        <v>0</v>
      </c>
      <c r="D87" s="194">
        <f t="shared" si="8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 t="e">
        <f>IF(R86+1&lt;=MIN('Données projet'!$E$9:$E$18),R86+1,"STOP")</f>
        <v>#VALUE!</v>
      </c>
      <c r="S87" s="201" t="e">
        <f t="shared" si="7"/>
        <v>#VALUE!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">
      <c r="A88" s="195">
        <f>'Données projet'!A102</f>
        <v>0</v>
      </c>
      <c r="B88" s="196">
        <f>'Données projet'!D102</f>
        <v>0</v>
      </c>
      <c r="C88" s="210">
        <f>'Données projet'!E102*150+('Données projet'!F102+'Données projet'!G102)*19.4+'Données projet'!H102*10</f>
        <v>0</v>
      </c>
      <c r="D88" s="194">
        <f t="shared" si="8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 t="e">
        <f>IF(R87+1&lt;=MIN('Données projet'!$E$9:$E$18),R87+1,"STOP")</f>
        <v>#VALUE!</v>
      </c>
      <c r="S88" s="201" t="e">
        <f t="shared" si="7"/>
        <v>#VALUE!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">
      <c r="A89" s="195">
        <f>'Données projet'!A103</f>
        <v>0</v>
      </c>
      <c r="B89" s="196">
        <f>'Données projet'!D103</f>
        <v>0</v>
      </c>
      <c r="C89" s="210">
        <f>'Données projet'!E103*150+('Données projet'!F103+'Données projet'!G103)*19.4+'Données projet'!H103*10</f>
        <v>0</v>
      </c>
      <c r="D89" s="194">
        <f t="shared" si="8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 t="e">
        <f>IF(R88+1&lt;=MIN('Données projet'!$E$9:$E$18),R88+1,"STOP")</f>
        <v>#VALUE!</v>
      </c>
      <c r="S89" s="201" t="e">
        <f t="shared" si="7"/>
        <v>#VALUE!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">
      <c r="A90" s="195">
        <f>'Données projet'!A104</f>
        <v>0</v>
      </c>
      <c r="B90" s="196">
        <f>'Données projet'!D104</f>
        <v>0</v>
      </c>
      <c r="C90" s="210">
        <f>'Données projet'!E104*150+('Données projet'!F104+'Données projet'!G104)*19.4+'Données projet'!H104*10</f>
        <v>0</v>
      </c>
      <c r="D90" s="194">
        <f t="shared" si="8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e">
        <f>IF(R89+1&lt;=MIN('Données projet'!$E$9:$E$18),R89+1,"STOP")</f>
        <v>#VALUE!</v>
      </c>
      <c r="S90" s="201" t="e">
        <f t="shared" si="7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">
      <c r="A91" s="195">
        <f>'Données projet'!A105</f>
        <v>0</v>
      </c>
      <c r="B91" s="196">
        <f>'Données projet'!D105</f>
        <v>0</v>
      </c>
      <c r="C91" s="210">
        <f>'Données projet'!E105*150+('Données projet'!F105+'Données projet'!G105)*19.4+'Données projet'!H105*10</f>
        <v>0</v>
      </c>
      <c r="D91" s="194">
        <f t="shared" si="8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7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">
      <c r="A92" s="195">
        <f>'Données projet'!A106</f>
        <v>0</v>
      </c>
      <c r="B92" s="196">
        <f>'Données projet'!D106</f>
        <v>0</v>
      </c>
      <c r="C92" s="210">
        <f>'Données projet'!E106*150+('Données projet'!F106+'Données projet'!G106)*19.4+'Données projet'!H106*10</f>
        <v>0</v>
      </c>
      <c r="D92" s="194">
        <f t="shared" si="8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7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">
      <c r="A93" s="195">
        <f>'Données projet'!A107</f>
        <v>0</v>
      </c>
      <c r="B93" s="196">
        <f>'Données projet'!D107</f>
        <v>0</v>
      </c>
      <c r="C93" s="210">
        <f>'Données projet'!E107*150+('Données projet'!F107+'Données projet'!G107)*19.4+'Données projet'!H107*10</f>
        <v>0</v>
      </c>
      <c r="D93" s="194">
        <f t="shared" si="8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9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9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9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">
      <c r="A96" s="49" t="s">
        <v>168</v>
      </c>
      <c r="B96" s="189" t="str">
        <f>IF('Données projet'!B12="","",'Données projet'!B12)</f>
        <v>Pin laricio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9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9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9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">
      <c r="A99" s="214">
        <v>0</v>
      </c>
      <c r="B99" s="217" t="s">
        <v>132</v>
      </c>
      <c r="C99" s="216" t="s">
        <v>132</v>
      </c>
      <c r="D99" s="215" t="s">
        <v>132</v>
      </c>
      <c r="E99" s="210">
        <f>1666*1.12</f>
        <v>1865.92</v>
      </c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10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">
      <c r="A100" s="195">
        <f>'Données projet'!A114</f>
        <v>22</v>
      </c>
      <c r="B100" s="196">
        <f>'Données projet'!D114</f>
        <v>16</v>
      </c>
      <c r="C100" s="210">
        <f>'Données projet'!E114*30+('Données projet'!F114+'Données projet'!G114)*19.4+'Données projet'!H114*10</f>
        <v>0</v>
      </c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10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">
      <c r="A101" s="195">
        <f>'Données projet'!A115</f>
        <v>25</v>
      </c>
      <c r="B101" s="196">
        <f>'Données projet'!D115</f>
        <v>17</v>
      </c>
      <c r="C101" s="210">
        <f>'Données projet'!E115*30+('Données projet'!F115+'Données projet'!G115)*19.4+'Données projet'!H115*10</f>
        <v>0</v>
      </c>
      <c r="D101" s="194">
        <f t="shared" ref="D101:D119" si="11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10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">
      <c r="A102" s="195">
        <f>'Données projet'!A116</f>
        <v>30</v>
      </c>
      <c r="B102" s="196">
        <f>'Données projet'!D116</f>
        <v>34</v>
      </c>
      <c r="C102" s="210">
        <f>'Données projet'!E116*30+('Données projet'!F116+'Données projet'!G116)*19.4+'Données projet'!H116*10</f>
        <v>0</v>
      </c>
      <c r="D102" s="194">
        <f t="shared" si="11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10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">
      <c r="A103" s="195">
        <f>'Données projet'!A117</f>
        <v>35</v>
      </c>
      <c r="B103" s="196">
        <f>'Données projet'!D117</f>
        <v>41</v>
      </c>
      <c r="C103" s="210">
        <f>'Données projet'!E117*30+('Données projet'!F117+'Données projet'!G117)*19.4+'Données projet'!H117*10</f>
        <v>22.58</v>
      </c>
      <c r="D103" s="194">
        <f t="shared" si="11"/>
        <v>925.78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10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">
      <c r="A104" s="195">
        <f>'Données projet'!A118</f>
        <v>40</v>
      </c>
      <c r="B104" s="196">
        <f>'Données projet'!D118</f>
        <v>53</v>
      </c>
      <c r="C104" s="210">
        <f>'Données projet'!E118*30+('Données projet'!F118+'Données projet'!G118)*19.4+'Données projet'!H118*10</f>
        <v>22.58</v>
      </c>
      <c r="D104" s="194">
        <f t="shared" si="11"/>
        <v>1196.74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10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">
      <c r="A105" s="195">
        <f>'Données projet'!A119</f>
        <v>45</v>
      </c>
      <c r="B105" s="196">
        <f>'Données projet'!D119</f>
        <v>53</v>
      </c>
      <c r="C105" s="210">
        <f>'Données projet'!E119*30+('Données projet'!F119+'Données projet'!G119)*19.4+'Données projet'!H119*10</f>
        <v>24.7</v>
      </c>
      <c r="D105" s="194">
        <f t="shared" si="11"/>
        <v>1309.0999999999999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10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">
      <c r="A106" s="195">
        <f>'Données projet'!A120</f>
        <v>50</v>
      </c>
      <c r="B106" s="196">
        <f>'Données projet'!D120</f>
        <v>78</v>
      </c>
      <c r="C106" s="210">
        <f>'Données projet'!E120*30+('Données projet'!F120+'Données projet'!G120)*19.4+'Données projet'!H120*10</f>
        <v>24.7</v>
      </c>
      <c r="D106" s="194">
        <f t="shared" si="11"/>
        <v>1926.6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10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">
      <c r="A107" s="195">
        <f>'Données projet'!A121</f>
        <v>60</v>
      </c>
      <c r="B107" s="196">
        <f>'Données projet'!D121</f>
        <v>440</v>
      </c>
      <c r="C107" s="210">
        <f>'Données projet'!E121*30+('Données projet'!F121+'Données projet'!G121)*19.4+'Données projet'!H121*10</f>
        <v>27.88</v>
      </c>
      <c r="D107" s="194">
        <f t="shared" si="11"/>
        <v>12267.199999999999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10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">
      <c r="A108" s="195">
        <f>'Données projet'!A122</f>
        <v>0</v>
      </c>
      <c r="B108" s="196">
        <f>'Données projet'!D122</f>
        <v>0</v>
      </c>
      <c r="C108" s="210"/>
      <c r="D108" s="194">
        <f t="shared" si="11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10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">
      <c r="A109" s="195">
        <f>'Données projet'!A123</f>
        <v>0</v>
      </c>
      <c r="B109" s="196">
        <f>'Données projet'!D123</f>
        <v>0</v>
      </c>
      <c r="C109" s="210"/>
      <c r="D109" s="194">
        <f t="shared" si="11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10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">
      <c r="A110" s="195">
        <f>'Données projet'!A124</f>
        <v>0</v>
      </c>
      <c r="B110" s="196">
        <f>'Données projet'!D124</f>
        <v>0</v>
      </c>
      <c r="C110" s="210"/>
      <c r="D110" s="194">
        <f t="shared" si="11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10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">
      <c r="A111" s="195">
        <f>'Données projet'!A125</f>
        <v>0</v>
      </c>
      <c r="B111" s="196">
        <f>'Données projet'!D125</f>
        <v>0</v>
      </c>
      <c r="C111" s="210"/>
      <c r="D111" s="194">
        <f t="shared" si="11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10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">
      <c r="A112" s="195">
        <f>'Données projet'!A126</f>
        <v>0</v>
      </c>
      <c r="B112" s="196">
        <f>'Données projet'!D126</f>
        <v>0</v>
      </c>
      <c r="C112" s="210"/>
      <c r="D112" s="194">
        <f t="shared" si="11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10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">
      <c r="A113" s="195">
        <f>'Données projet'!A127</f>
        <v>0</v>
      </c>
      <c r="B113" s="196">
        <f>'Données projet'!D127</f>
        <v>0</v>
      </c>
      <c r="C113" s="210"/>
      <c r="D113" s="194">
        <f t="shared" si="11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10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">
      <c r="A114" s="195">
        <f>'Données projet'!A128</f>
        <v>0</v>
      </c>
      <c r="B114" s="196">
        <f>'Données projet'!D128</f>
        <v>0</v>
      </c>
      <c r="C114" s="210"/>
      <c r="D114" s="194">
        <f t="shared" si="11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10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">
      <c r="A115" s="195">
        <f>'Données projet'!A129</f>
        <v>0</v>
      </c>
      <c r="B115" s="196">
        <f>'Données projet'!D129</f>
        <v>0</v>
      </c>
      <c r="C115" s="210"/>
      <c r="D115" s="194">
        <f t="shared" si="11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10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">
      <c r="A116" s="195">
        <f>'Données projet'!A130</f>
        <v>0</v>
      </c>
      <c r="B116" s="196">
        <f>'Données projet'!D130</f>
        <v>0</v>
      </c>
      <c r="C116" s="210"/>
      <c r="D116" s="194">
        <f t="shared" si="11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10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">
      <c r="A117" s="195">
        <f>'Données projet'!A131</f>
        <v>0</v>
      </c>
      <c r="B117" s="196">
        <f>'Données projet'!D131</f>
        <v>0</v>
      </c>
      <c r="C117" s="208"/>
      <c r="D117" s="194">
        <f t="shared" si="11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10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">
      <c r="A118" s="195">
        <f>'Données projet'!A132</f>
        <v>0</v>
      </c>
      <c r="B118" s="196">
        <f>'Données projet'!D132</f>
        <v>0</v>
      </c>
      <c r="C118" s="208"/>
      <c r="D118" s="194">
        <f t="shared" si="11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10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">
      <c r="A119" s="195">
        <f>'Données projet'!A133</f>
        <v>0</v>
      </c>
      <c r="B119" s="196">
        <f>'Données projet'!D133</f>
        <v>0</v>
      </c>
      <c r="C119" s="208"/>
      <c r="D119" s="194">
        <f t="shared" si="11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10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10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10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">
      <c r="A122" s="49" t="s">
        <v>169</v>
      </c>
      <c r="B122" s="189" t="str">
        <f>IF('Données projet'!B13="","",'Données projet'!B13)</f>
        <v>Chêne rouge d'Amérique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10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10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10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">
      <c r="A125" s="214">
        <v>0</v>
      </c>
      <c r="B125" s="217" t="s">
        <v>132</v>
      </c>
      <c r="C125" s="216" t="s">
        <v>132</v>
      </c>
      <c r="D125" s="215" t="s">
        <v>132</v>
      </c>
      <c r="E125" s="210">
        <f>2499*1.12</f>
        <v>2798.88</v>
      </c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10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">
      <c r="A126" s="45">
        <f>'Données projet'!A140</f>
        <v>10</v>
      </c>
      <c r="B126" s="190">
        <f>'Données projet'!D140</f>
        <v>0</v>
      </c>
      <c r="C126" s="210">
        <f>'Données projet'!E140*90+('Données projet'!F140+'Données projet'!G140)*19.4+'Données projet'!H140*10</f>
        <v>10</v>
      </c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10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">
      <c r="A127" s="45">
        <f>'Données projet'!A141</f>
        <v>15</v>
      </c>
      <c r="B127" s="190">
        <f>'Données projet'!D141</f>
        <v>0</v>
      </c>
      <c r="C127" s="210">
        <f>'Données projet'!E141*90+('Données projet'!F141+'Données projet'!G141)*19.4+'Données projet'!H141*10</f>
        <v>10</v>
      </c>
      <c r="D127" s="197">
        <f t="shared" ref="D127:D145" si="12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10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">
      <c r="A128" s="45">
        <f>'Données projet'!A142</f>
        <v>20</v>
      </c>
      <c r="B128" s="190">
        <f>'Données projet'!D142</f>
        <v>29</v>
      </c>
      <c r="C128" s="210">
        <f>'Données projet'!E142*90+('Données projet'!F142+'Données projet'!G142)*19.4+'Données projet'!H142*10</f>
        <v>10</v>
      </c>
      <c r="D128" s="197">
        <f t="shared" si="12"/>
        <v>290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10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">
      <c r="A129" s="45">
        <f>'Données projet'!A143</f>
        <v>25</v>
      </c>
      <c r="B129" s="190">
        <f>'Données projet'!D143</f>
        <v>19</v>
      </c>
      <c r="C129" s="210">
        <f>'Données projet'!E143*90+('Données projet'!F143+'Données projet'!G143)*19.4+'Données projet'!H143*10</f>
        <v>10</v>
      </c>
      <c r="D129" s="197">
        <f t="shared" si="12"/>
        <v>190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">
      <c r="A130" s="45">
        <f>'Données projet'!A144</f>
        <v>30</v>
      </c>
      <c r="B130" s="190">
        <f>'Données projet'!D144</f>
        <v>20</v>
      </c>
      <c r="C130" s="210">
        <f>'Données projet'!E144*90+('Données projet'!F144+'Données projet'!G144)*19.4+'Données projet'!H144*10</f>
        <v>10</v>
      </c>
      <c r="D130" s="197">
        <f t="shared" si="12"/>
        <v>200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">
      <c r="A131" s="45">
        <f>'Données projet'!A145</f>
        <v>35</v>
      </c>
      <c r="B131" s="190">
        <f>'Données projet'!D145</f>
        <v>20</v>
      </c>
      <c r="C131" s="210">
        <f>'Données projet'!E145*90+('Données projet'!F145+'Données projet'!G145)*19.4+'Données projet'!H145*10</f>
        <v>26</v>
      </c>
      <c r="D131" s="197">
        <f t="shared" si="12"/>
        <v>520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">
      <c r="A132" s="45">
        <f>'Données projet'!A146</f>
        <v>40</v>
      </c>
      <c r="B132" s="190">
        <f>'Données projet'!D146</f>
        <v>20</v>
      </c>
      <c r="C132" s="210">
        <f>'Données projet'!E146*90+('Données projet'!F146+'Données projet'!G146)*19.4+'Données projet'!H146*10</f>
        <v>34</v>
      </c>
      <c r="D132" s="197">
        <f t="shared" si="12"/>
        <v>680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">
      <c r="A133" s="45">
        <f>'Données projet'!A147</f>
        <v>45</v>
      </c>
      <c r="B133" s="190">
        <f>'Données projet'!D147</f>
        <v>19</v>
      </c>
      <c r="C133" s="210">
        <f>'Données projet'!E147*90+('Données projet'!F147+'Données projet'!G147)*19.4+'Données projet'!H147*10</f>
        <v>42</v>
      </c>
      <c r="D133" s="197">
        <f t="shared" si="12"/>
        <v>798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">
      <c r="A134" s="45">
        <f>'Données projet'!A148</f>
        <v>50</v>
      </c>
      <c r="B134" s="190">
        <f>'Données projet'!D148</f>
        <v>18</v>
      </c>
      <c r="C134" s="210">
        <f>'Données projet'!E148*90+('Données projet'!F148+'Données projet'!G148)*19.4+'Données projet'!H148*10</f>
        <v>50</v>
      </c>
      <c r="D134" s="197">
        <f t="shared" si="12"/>
        <v>900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">
      <c r="A135" s="45">
        <f>'Données projet'!A149</f>
        <v>55</v>
      </c>
      <c r="B135" s="190">
        <f>'Données projet'!D149</f>
        <v>17</v>
      </c>
      <c r="C135" s="210">
        <f>'Données projet'!E149*90+('Données projet'!F149+'Données projet'!G149)*19.4+'Données projet'!H149*10</f>
        <v>58</v>
      </c>
      <c r="D135" s="197">
        <f t="shared" si="12"/>
        <v>986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">
      <c r="A136" s="45">
        <f>'Données projet'!A150</f>
        <v>60</v>
      </c>
      <c r="B136" s="190">
        <f>'Données projet'!D150</f>
        <v>16</v>
      </c>
      <c r="C136" s="210">
        <f>'Données projet'!E150*90+('Données projet'!F150+'Données projet'!G150)*19.4+'Données projet'!H150*10</f>
        <v>66</v>
      </c>
      <c r="D136" s="197">
        <f t="shared" si="12"/>
        <v>1056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">
      <c r="A137" s="45">
        <f>'Données projet'!A151</f>
        <v>65</v>
      </c>
      <c r="B137" s="190">
        <f>'Données projet'!D151</f>
        <v>15</v>
      </c>
      <c r="C137" s="210">
        <f>'Données projet'!E151*90+('Données projet'!F151+'Données projet'!G151)*19.4+'Données projet'!H151*10</f>
        <v>74</v>
      </c>
      <c r="D137" s="197">
        <f t="shared" si="12"/>
        <v>1110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">
      <c r="A138" s="45">
        <f>'Données projet'!A152</f>
        <v>70</v>
      </c>
      <c r="B138" s="190">
        <f>'Données projet'!D152</f>
        <v>201</v>
      </c>
      <c r="C138" s="210">
        <f>'Données projet'!E152*90+('Données projet'!F152+'Données projet'!G152)*19.4+'Données projet'!H152*10</f>
        <v>74</v>
      </c>
      <c r="D138" s="197">
        <f t="shared" si="12"/>
        <v>14874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">
      <c r="A139" s="45">
        <f>'Données projet'!A153</f>
        <v>0</v>
      </c>
      <c r="B139" s="190">
        <f>'Données projet'!D153</f>
        <v>0</v>
      </c>
      <c r="C139" s="210">
        <f>'Données projet'!E153*60+('Données projet'!F153+'Données projet'!G153)*19.4+'Données projet'!H153*10</f>
        <v>0</v>
      </c>
      <c r="D139" s="197">
        <f t="shared" si="12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">
      <c r="A140" s="45">
        <f>'Données projet'!A154</f>
        <v>0</v>
      </c>
      <c r="B140" s="190">
        <f>'Données projet'!D154</f>
        <v>0</v>
      </c>
      <c r="C140" s="210">
        <f>'Données projet'!E154*60+('Données projet'!F154+'Données projet'!G154)*19.4+'Données projet'!H154*10</f>
        <v>0</v>
      </c>
      <c r="D140" s="197">
        <f t="shared" si="12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">
      <c r="A141" s="45">
        <f>'Données projet'!A155</f>
        <v>0</v>
      </c>
      <c r="B141" s="190">
        <f>'Données projet'!D155</f>
        <v>0</v>
      </c>
      <c r="C141" s="210"/>
      <c r="D141" s="197">
        <f t="shared" si="12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">
      <c r="A142" s="45">
        <f>'Données projet'!A156</f>
        <v>0</v>
      </c>
      <c r="B142" s="190">
        <f>'Données projet'!D156</f>
        <v>0</v>
      </c>
      <c r="C142" s="210"/>
      <c r="D142" s="197">
        <f t="shared" si="12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">
      <c r="A143" s="45">
        <f>'Données projet'!A157</f>
        <v>0</v>
      </c>
      <c r="B143" s="190">
        <f>'Données projet'!D157</f>
        <v>0</v>
      </c>
      <c r="C143" s="208"/>
      <c r="D143" s="197">
        <f t="shared" si="12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">
      <c r="A144" s="45">
        <f>'Données projet'!A158</f>
        <v>0</v>
      </c>
      <c r="B144" s="190">
        <f>'Données projet'!D158</f>
        <v>0</v>
      </c>
      <c r="C144" s="208"/>
      <c r="D144" s="197">
        <f t="shared" si="12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">
      <c r="A145" s="45">
        <f>'Données projet'!A159</f>
        <v>0</v>
      </c>
      <c r="B145" s="190">
        <f>'Données projet'!D159</f>
        <v>0</v>
      </c>
      <c r="C145" s="208"/>
      <c r="D145" s="197">
        <f t="shared" si="12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">
      <c r="A148" s="49" t="s">
        <v>170</v>
      </c>
      <c r="B148" s="189" t="str">
        <f>IF('Données projet'!B14="","",'Données projet'!B14)</f>
        <v>Châtaignier</v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ht="16" x14ac:dyDescent="0.2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ht="16" x14ac:dyDescent="0.2">
      <c r="A151" s="214">
        <v>0</v>
      </c>
      <c r="B151" s="217" t="s">
        <v>132</v>
      </c>
      <c r="C151" s="216" t="s">
        <v>132</v>
      </c>
      <c r="D151" s="215" t="s">
        <v>132</v>
      </c>
      <c r="E151" s="210">
        <f>2499*1.12</f>
        <v>2798.88</v>
      </c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">
      <c r="A152" s="195">
        <f>'Données projet'!A166</f>
        <v>15</v>
      </c>
      <c r="B152" s="196">
        <f>'Données projet'!D166</f>
        <v>0</v>
      </c>
      <c r="C152" s="210">
        <f>'Données projet'!E166*100+('Données projet'!F166+'Données projet'!G166)*19.4+'Données projet'!H166*10</f>
        <v>10</v>
      </c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">
      <c r="A153" s="195">
        <f>'Données projet'!A167</f>
        <v>20</v>
      </c>
      <c r="B153" s="196">
        <f>'Données projet'!D167</f>
        <v>4</v>
      </c>
      <c r="C153" s="210">
        <f>'Données projet'!E167*100+('Données projet'!F167+'Données projet'!G167)*19.4+'Données projet'!H167*10</f>
        <v>10</v>
      </c>
      <c r="D153" s="194">
        <f t="shared" ref="D153:D171" si="13">B153*C153</f>
        <v>40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">
      <c r="A154" s="195">
        <f>'Données projet'!A168</f>
        <v>25</v>
      </c>
      <c r="B154" s="196">
        <f>'Données projet'!D168</f>
        <v>9</v>
      </c>
      <c r="C154" s="210">
        <f>'Données projet'!E168*100+('Données projet'!F168+'Données projet'!G168)*19.4+'Données projet'!H168*10</f>
        <v>10</v>
      </c>
      <c r="D154" s="194">
        <f t="shared" si="13"/>
        <v>90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">
      <c r="A155" s="195">
        <f>'Données projet'!A169</f>
        <v>30</v>
      </c>
      <c r="B155" s="196">
        <f>'Données projet'!D169</f>
        <v>13</v>
      </c>
      <c r="C155" s="210">
        <f>'Données projet'!E169*100+('Données projet'!F169+'Données projet'!G169)*19.4+'Données projet'!H169*10</f>
        <v>10</v>
      </c>
      <c r="D155" s="194">
        <f t="shared" si="13"/>
        <v>130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">
      <c r="A156" s="195">
        <f>'Données projet'!A170</f>
        <v>35</v>
      </c>
      <c r="B156" s="196">
        <f>'Données projet'!D170</f>
        <v>23</v>
      </c>
      <c r="C156" s="210">
        <f>'Données projet'!E170*100+('Données projet'!F170+'Données projet'!G170)*19.4+'Données projet'!H170*10</f>
        <v>28</v>
      </c>
      <c r="D156" s="194">
        <f t="shared" si="13"/>
        <v>644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">
      <c r="A157" s="195">
        <f>'Données projet'!A171</f>
        <v>40</v>
      </c>
      <c r="B157" s="196">
        <f>'Données projet'!D171</f>
        <v>28</v>
      </c>
      <c r="C157" s="210">
        <f>'Données projet'!E171*100+('Données projet'!F171+'Données projet'!G171)*19.4+'Données projet'!H171*10</f>
        <v>28</v>
      </c>
      <c r="D157" s="194">
        <f t="shared" si="13"/>
        <v>784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">
      <c r="A158" s="195">
        <f>'Données projet'!A172</f>
        <v>45</v>
      </c>
      <c r="B158" s="196">
        <f>'Données projet'!D172</f>
        <v>31</v>
      </c>
      <c r="C158" s="210">
        <f>'Données projet'!E172*100+('Données projet'!F172+'Données projet'!G172)*19.4+'Données projet'!H172*10</f>
        <v>37</v>
      </c>
      <c r="D158" s="194">
        <f t="shared" si="13"/>
        <v>1147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">
      <c r="A159" s="195">
        <f>'Données projet'!A173</f>
        <v>50</v>
      </c>
      <c r="B159" s="196">
        <f>'Données projet'!D173</f>
        <v>33</v>
      </c>
      <c r="C159" s="210">
        <f>'Données projet'!E173*100+('Données projet'!F173+'Données projet'!G173)*19.4+'Données projet'!H173*10</f>
        <v>46</v>
      </c>
      <c r="D159" s="194">
        <f t="shared" si="13"/>
        <v>1518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">
      <c r="A160" s="195">
        <f>'Données projet'!A174</f>
        <v>55</v>
      </c>
      <c r="B160" s="196">
        <f>'Données projet'!D174</f>
        <v>35</v>
      </c>
      <c r="C160" s="210">
        <f>'Données projet'!E174*100+('Données projet'!F174+'Données projet'!G174)*19.4+'Données projet'!H174*10</f>
        <v>55</v>
      </c>
      <c r="D160" s="194">
        <f t="shared" si="13"/>
        <v>1925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">
      <c r="A161" s="195">
        <f>'Données projet'!A175</f>
        <v>60</v>
      </c>
      <c r="B161" s="196">
        <f>'Données projet'!D175</f>
        <v>36</v>
      </c>
      <c r="C161" s="210">
        <f>'Données projet'!E175*100+('Données projet'!F175+'Données projet'!G175)*19.4+'Données projet'!H175*10</f>
        <v>64</v>
      </c>
      <c r="D161" s="194">
        <f t="shared" si="13"/>
        <v>2304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">
      <c r="A162" s="195">
        <f>'Données projet'!A176</f>
        <v>65</v>
      </c>
      <c r="B162" s="196">
        <f>'Données projet'!D176</f>
        <v>36</v>
      </c>
      <c r="C162" s="210">
        <f>'Données projet'!E176*100+('Données projet'!F176+'Données projet'!G176)*19.4+'Données projet'!H176*10</f>
        <v>73</v>
      </c>
      <c r="D162" s="194">
        <f t="shared" si="13"/>
        <v>2628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">
      <c r="A163" s="195">
        <f>'Données projet'!A177</f>
        <v>70</v>
      </c>
      <c r="B163" s="196">
        <f>'Données projet'!D177</f>
        <v>274</v>
      </c>
      <c r="C163" s="210">
        <f>'Données projet'!E177*100+('Données projet'!F177+'Données projet'!G177)*19.4+'Données projet'!H177*10</f>
        <v>82</v>
      </c>
      <c r="D163" s="194">
        <f t="shared" si="13"/>
        <v>22468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">
      <c r="A164" s="195">
        <f>'Données projet'!A178</f>
        <v>0</v>
      </c>
      <c r="B164" s="196">
        <f>'Données projet'!D178</f>
        <v>0</v>
      </c>
      <c r="C164" s="210"/>
      <c r="D164" s="194">
        <f t="shared" si="13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">
      <c r="A165" s="195">
        <f>'Données projet'!A179</f>
        <v>0</v>
      </c>
      <c r="B165" s="196">
        <f>'Données projet'!D179</f>
        <v>0</v>
      </c>
      <c r="C165" s="210"/>
      <c r="D165" s="194">
        <f t="shared" si="13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">
      <c r="A166" s="195">
        <f>'Données projet'!A180</f>
        <v>0</v>
      </c>
      <c r="B166" s="196">
        <f>'Données projet'!D180</f>
        <v>0</v>
      </c>
      <c r="C166" s="210"/>
      <c r="D166" s="194">
        <f t="shared" si="13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">
      <c r="A167" s="195">
        <f>'Données projet'!A181</f>
        <v>0</v>
      </c>
      <c r="B167" s="196">
        <f>'Données projet'!D181</f>
        <v>0</v>
      </c>
      <c r="C167" s="210"/>
      <c r="D167" s="194">
        <f t="shared" si="13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">
      <c r="A168" s="195">
        <f>'Données projet'!A182</f>
        <v>0</v>
      </c>
      <c r="B168" s="196">
        <f>'Données projet'!D182</f>
        <v>0</v>
      </c>
      <c r="C168" s="210"/>
      <c r="D168" s="194">
        <f t="shared" si="13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">
      <c r="A169" s="195">
        <f>'Données projet'!A183</f>
        <v>0</v>
      </c>
      <c r="B169" s="196">
        <f>'Données projet'!D183</f>
        <v>0</v>
      </c>
      <c r="C169" s="210"/>
      <c r="D169" s="194">
        <f t="shared" si="13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">
      <c r="A170" s="195">
        <f>'Données projet'!A184</f>
        <v>0</v>
      </c>
      <c r="B170" s="196">
        <f>'Données projet'!D184</f>
        <v>0</v>
      </c>
      <c r="C170" s="210"/>
      <c r="D170" s="194">
        <f t="shared" si="13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">
      <c r="A171" s="195">
        <f>'Données projet'!A185</f>
        <v>0</v>
      </c>
      <c r="B171" s="196">
        <f>'Données projet'!D185</f>
        <v>0</v>
      </c>
      <c r="C171" s="210"/>
      <c r="D171" s="194">
        <f t="shared" si="13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ht="16" x14ac:dyDescent="0.2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ht="16" x14ac:dyDescent="0.2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4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">
      <c r="A180" s="195">
        <f>'Données projet'!A194</f>
        <v>0</v>
      </c>
      <c r="B180" s="196">
        <f>'Données projet'!D194</f>
        <v>0</v>
      </c>
      <c r="C180" s="210"/>
      <c r="D180" s="194">
        <f t="shared" si="14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">
      <c r="A181" s="195">
        <f>'Données projet'!A195</f>
        <v>0</v>
      </c>
      <c r="B181" s="196">
        <f>'Données projet'!D195</f>
        <v>0</v>
      </c>
      <c r="C181" s="210"/>
      <c r="D181" s="194">
        <f t="shared" si="14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">
      <c r="A182" s="195">
        <f>'Données projet'!A196</f>
        <v>0</v>
      </c>
      <c r="B182" s="196">
        <f>'Données projet'!D196</f>
        <v>0</v>
      </c>
      <c r="C182" s="210"/>
      <c r="D182" s="194">
        <f t="shared" si="14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">
      <c r="A183" s="195">
        <f>'Données projet'!A197</f>
        <v>0</v>
      </c>
      <c r="B183" s="196">
        <f>'Données projet'!D197</f>
        <v>0</v>
      </c>
      <c r="C183" s="210"/>
      <c r="D183" s="194">
        <f t="shared" si="14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">
      <c r="A184" s="195">
        <f>'Données projet'!A198</f>
        <v>0</v>
      </c>
      <c r="B184" s="196">
        <f>'Données projet'!D198</f>
        <v>0</v>
      </c>
      <c r="C184" s="210"/>
      <c r="D184" s="194">
        <f t="shared" si="14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">
      <c r="A185" s="195">
        <f>'Données projet'!A199</f>
        <v>0</v>
      </c>
      <c r="B185" s="196">
        <f>'Données projet'!D199</f>
        <v>0</v>
      </c>
      <c r="C185" s="210"/>
      <c r="D185" s="194">
        <f t="shared" si="14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">
      <c r="A186" s="195">
        <f>'Données projet'!A200</f>
        <v>0</v>
      </c>
      <c r="B186" s="196">
        <f>'Données projet'!D200</f>
        <v>0</v>
      </c>
      <c r="C186" s="210"/>
      <c r="D186" s="194">
        <f t="shared" si="14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">
      <c r="A187" s="195">
        <f>'Données projet'!A201</f>
        <v>0</v>
      </c>
      <c r="B187" s="196">
        <f>'Données projet'!D201</f>
        <v>0</v>
      </c>
      <c r="C187" s="210"/>
      <c r="D187" s="194">
        <f t="shared" si="14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">
      <c r="A188" s="195">
        <f>'Données projet'!A202</f>
        <v>0</v>
      </c>
      <c r="B188" s="196">
        <f>'Données projet'!D202</f>
        <v>0</v>
      </c>
      <c r="C188" s="210"/>
      <c r="D188" s="194">
        <f t="shared" si="14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">
      <c r="A189" s="195">
        <f>'Données projet'!A203</f>
        <v>0</v>
      </c>
      <c r="B189" s="196">
        <f>'Données projet'!D203</f>
        <v>0</v>
      </c>
      <c r="C189" s="210"/>
      <c r="D189" s="194">
        <f t="shared" si="14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">
      <c r="A190" s="195">
        <f>'Données projet'!A204</f>
        <v>0</v>
      </c>
      <c r="B190" s="196">
        <f>'Données projet'!D204</f>
        <v>0</v>
      </c>
      <c r="C190" s="210"/>
      <c r="D190" s="194">
        <f t="shared" si="14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">
      <c r="A191" s="195">
        <f>'Données projet'!A205</f>
        <v>0</v>
      </c>
      <c r="B191" s="196">
        <f>'Données projet'!D205</f>
        <v>0</v>
      </c>
      <c r="C191" s="210"/>
      <c r="D191" s="194">
        <f t="shared" si="14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">
      <c r="A192" s="195">
        <f>'Données projet'!A206</f>
        <v>0</v>
      </c>
      <c r="B192" s="196">
        <f>'Données projet'!D206</f>
        <v>0</v>
      </c>
      <c r="C192" s="210"/>
      <c r="D192" s="194">
        <f t="shared" si="14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">
      <c r="A193" s="195">
        <f>'Données projet'!A207</f>
        <v>0</v>
      </c>
      <c r="B193" s="196">
        <f>'Données projet'!D207</f>
        <v>0</v>
      </c>
      <c r="C193" s="210"/>
      <c r="D193" s="194">
        <f t="shared" si="14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">
      <c r="A194" s="195">
        <f>'Données projet'!A208</f>
        <v>0</v>
      </c>
      <c r="B194" s="196">
        <f>'Données projet'!D208</f>
        <v>0</v>
      </c>
      <c r="C194" s="210"/>
      <c r="D194" s="194">
        <f t="shared" si="14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">
      <c r="A195" s="195">
        <f>'Données projet'!A209</f>
        <v>0</v>
      </c>
      <c r="B195" s="196">
        <f>'Données projet'!D209</f>
        <v>0</v>
      </c>
      <c r="C195" s="210"/>
      <c r="D195" s="194">
        <f t="shared" si="14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">
      <c r="A196" s="195">
        <f>'Données projet'!A210</f>
        <v>0</v>
      </c>
      <c r="B196" s="196">
        <f>'Données projet'!D210</f>
        <v>0</v>
      </c>
      <c r="C196" s="210"/>
      <c r="D196" s="194">
        <f t="shared" si="14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">
      <c r="A197" s="195">
        <f>'Données projet'!A211</f>
        <v>0</v>
      </c>
      <c r="B197" s="196">
        <f>'Données projet'!D211</f>
        <v>0</v>
      </c>
      <c r="C197" s="210"/>
      <c r="D197" s="194">
        <f t="shared" si="14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ht="16" x14ac:dyDescent="0.2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ht="16" x14ac:dyDescent="0.2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5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">
      <c r="A206" s="195">
        <f>'Données projet'!A220</f>
        <v>0</v>
      </c>
      <c r="B206" s="196">
        <f>'Données projet'!D220</f>
        <v>0</v>
      </c>
      <c r="C206" s="210"/>
      <c r="D206" s="194">
        <f t="shared" si="15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">
      <c r="A207" s="195">
        <f>'Données projet'!A221</f>
        <v>0</v>
      </c>
      <c r="B207" s="196">
        <f>'Données projet'!D221</f>
        <v>0</v>
      </c>
      <c r="C207" s="210"/>
      <c r="D207" s="194">
        <f t="shared" si="15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">
      <c r="A208" s="195">
        <f>'Données projet'!A222</f>
        <v>0</v>
      </c>
      <c r="B208" s="196">
        <f>'Données projet'!D222</f>
        <v>0</v>
      </c>
      <c r="C208" s="210"/>
      <c r="D208" s="194">
        <f t="shared" si="15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">
      <c r="A209" s="195">
        <f>'Données projet'!A223</f>
        <v>0</v>
      </c>
      <c r="B209" s="196">
        <f>'Données projet'!D223</f>
        <v>0</v>
      </c>
      <c r="C209" s="210"/>
      <c r="D209" s="194">
        <f t="shared" si="15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">
      <c r="A210" s="195">
        <f>'Données projet'!A224</f>
        <v>0</v>
      </c>
      <c r="B210" s="196">
        <f>'Données projet'!D224</f>
        <v>0</v>
      </c>
      <c r="C210" s="210"/>
      <c r="D210" s="194">
        <f t="shared" si="15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">
      <c r="A211" s="195">
        <f>'Données projet'!A225</f>
        <v>0</v>
      </c>
      <c r="B211" s="196">
        <f>'Données projet'!D225</f>
        <v>0</v>
      </c>
      <c r="C211" s="210"/>
      <c r="D211" s="194">
        <f t="shared" si="15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">
      <c r="A212" s="195">
        <f>'Données projet'!A226</f>
        <v>0</v>
      </c>
      <c r="B212" s="196">
        <f>'Données projet'!D226</f>
        <v>0</v>
      </c>
      <c r="C212" s="210"/>
      <c r="D212" s="194">
        <f t="shared" si="15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">
      <c r="A213" s="195">
        <f>'Données projet'!A227</f>
        <v>0</v>
      </c>
      <c r="B213" s="196">
        <f>'Données projet'!D227</f>
        <v>0</v>
      </c>
      <c r="C213" s="210"/>
      <c r="D213" s="194">
        <f t="shared" si="15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">
      <c r="A214" s="195">
        <f>'Données projet'!A228</f>
        <v>0</v>
      </c>
      <c r="B214" s="196">
        <f>'Données projet'!D228</f>
        <v>0</v>
      </c>
      <c r="C214" s="210"/>
      <c r="D214" s="194">
        <f t="shared" si="15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">
      <c r="A215" s="195">
        <f>'Données projet'!A229</f>
        <v>0</v>
      </c>
      <c r="B215" s="196">
        <f>'Données projet'!D229</f>
        <v>0</v>
      </c>
      <c r="C215" s="210"/>
      <c r="D215" s="194">
        <f t="shared" si="15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">
      <c r="A216" s="195">
        <f>'Données projet'!A230</f>
        <v>0</v>
      </c>
      <c r="B216" s="196">
        <f>'Données projet'!D230</f>
        <v>0</v>
      </c>
      <c r="C216" s="210"/>
      <c r="D216" s="194">
        <f t="shared" si="15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">
      <c r="A217" s="195">
        <f>'Données projet'!A231</f>
        <v>0</v>
      </c>
      <c r="B217" s="196">
        <f>'Données projet'!D231</f>
        <v>0</v>
      </c>
      <c r="C217" s="210"/>
      <c r="D217" s="194">
        <f t="shared" si="15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">
      <c r="A218" s="195">
        <f>'Données projet'!A232</f>
        <v>0</v>
      </c>
      <c r="B218" s="196">
        <f>'Données projet'!D232</f>
        <v>0</v>
      </c>
      <c r="C218" s="210"/>
      <c r="D218" s="194">
        <f t="shared" si="15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">
      <c r="A219" s="195">
        <f>'Données projet'!A233</f>
        <v>0</v>
      </c>
      <c r="B219" s="196">
        <f>'Données projet'!D233</f>
        <v>0</v>
      </c>
      <c r="C219" s="210"/>
      <c r="D219" s="194">
        <f t="shared" si="15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">
      <c r="A220" s="195">
        <f>'Données projet'!A234</f>
        <v>0</v>
      </c>
      <c r="B220" s="196">
        <f>'Données projet'!D234</f>
        <v>0</v>
      </c>
      <c r="C220" s="210"/>
      <c r="D220" s="194">
        <f t="shared" si="15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">
      <c r="A221" s="195">
        <f>'Données projet'!A235</f>
        <v>0</v>
      </c>
      <c r="B221" s="196">
        <f>'Données projet'!D235</f>
        <v>0</v>
      </c>
      <c r="C221" s="210"/>
      <c r="D221" s="194">
        <f t="shared" si="15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">
      <c r="A222" s="195">
        <f>'Données projet'!A236</f>
        <v>0</v>
      </c>
      <c r="B222" s="196">
        <f>'Données projet'!D236</f>
        <v>0</v>
      </c>
      <c r="C222" s="210"/>
      <c r="D222" s="194">
        <f t="shared" si="15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">
      <c r="A223" s="195">
        <f>'Données projet'!A237</f>
        <v>0</v>
      </c>
      <c r="B223" s="196">
        <f>'Données projet'!D237</f>
        <v>0</v>
      </c>
      <c r="C223" s="210"/>
      <c r="D223" s="194">
        <f t="shared" si="15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ht="16" x14ac:dyDescent="0.2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ht="16" x14ac:dyDescent="0.2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6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">
      <c r="A232" s="195">
        <f>'Données projet'!A246</f>
        <v>0</v>
      </c>
      <c r="B232" s="196">
        <f>'Données projet'!D246</f>
        <v>0</v>
      </c>
      <c r="C232" s="210"/>
      <c r="D232" s="194">
        <f t="shared" si="16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">
      <c r="A233" s="195">
        <f>'Données projet'!A247</f>
        <v>0</v>
      </c>
      <c r="B233" s="196">
        <f>'Données projet'!D247</f>
        <v>0</v>
      </c>
      <c r="C233" s="210"/>
      <c r="D233" s="194">
        <f t="shared" si="16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">
      <c r="A234" s="195">
        <f>'Données projet'!A248</f>
        <v>0</v>
      </c>
      <c r="B234" s="196">
        <f>'Données projet'!D248</f>
        <v>0</v>
      </c>
      <c r="C234" s="210"/>
      <c r="D234" s="194">
        <f t="shared" si="16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">
      <c r="A235" s="195">
        <f>'Données projet'!A249</f>
        <v>0</v>
      </c>
      <c r="B235" s="196">
        <f>'Données projet'!D249</f>
        <v>0</v>
      </c>
      <c r="C235" s="210"/>
      <c r="D235" s="194">
        <f t="shared" si="16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">
      <c r="A236" s="195">
        <f>'Données projet'!A250</f>
        <v>0</v>
      </c>
      <c r="B236" s="196">
        <f>'Données projet'!D250</f>
        <v>0</v>
      </c>
      <c r="C236" s="210"/>
      <c r="D236" s="194">
        <f t="shared" si="16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">
      <c r="A237" s="195">
        <f>'Données projet'!A251</f>
        <v>0</v>
      </c>
      <c r="B237" s="196">
        <f>'Données projet'!D251</f>
        <v>0</v>
      </c>
      <c r="C237" s="210"/>
      <c r="D237" s="194">
        <f t="shared" si="16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">
      <c r="A238" s="195">
        <f>'Données projet'!A252</f>
        <v>0</v>
      </c>
      <c r="B238" s="196">
        <f>'Données projet'!D252</f>
        <v>0</v>
      </c>
      <c r="C238" s="210"/>
      <c r="D238" s="194">
        <f t="shared" si="16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">
      <c r="A239" s="195">
        <f>'Données projet'!A253</f>
        <v>0</v>
      </c>
      <c r="B239" s="196">
        <f>'Données projet'!D253</f>
        <v>0</v>
      </c>
      <c r="C239" s="210"/>
      <c r="D239" s="194">
        <f t="shared" si="16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">
      <c r="A240" s="195">
        <f>'Données projet'!A254</f>
        <v>0</v>
      </c>
      <c r="B240" s="196">
        <f>'Données projet'!D254</f>
        <v>0</v>
      </c>
      <c r="C240" s="210"/>
      <c r="D240" s="194">
        <f t="shared" si="16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">
      <c r="A241" s="195">
        <f>'Données projet'!A255</f>
        <v>0</v>
      </c>
      <c r="B241" s="196">
        <f>'Données projet'!D255</f>
        <v>0</v>
      </c>
      <c r="C241" s="210"/>
      <c r="D241" s="194">
        <f t="shared" si="16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">
      <c r="A242" s="195">
        <f>'Données projet'!A256</f>
        <v>0</v>
      </c>
      <c r="B242" s="196">
        <f>'Données projet'!D256</f>
        <v>0</v>
      </c>
      <c r="C242" s="210"/>
      <c r="D242" s="194">
        <f t="shared" si="16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">
      <c r="A243" s="195">
        <f>'Données projet'!A257</f>
        <v>0</v>
      </c>
      <c r="B243" s="196">
        <f>'Données projet'!D257</f>
        <v>0</v>
      </c>
      <c r="C243" s="210"/>
      <c r="D243" s="194">
        <f t="shared" si="16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">
      <c r="A244" s="195">
        <f>'Données projet'!A258</f>
        <v>0</v>
      </c>
      <c r="B244" s="196">
        <f>'Données projet'!D258</f>
        <v>0</v>
      </c>
      <c r="C244" s="210"/>
      <c r="D244" s="194">
        <f t="shared" si="16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">
      <c r="A245" s="195">
        <f>'Données projet'!A259</f>
        <v>0</v>
      </c>
      <c r="B245" s="196">
        <f>'Données projet'!D259</f>
        <v>0</v>
      </c>
      <c r="C245" s="210"/>
      <c r="D245" s="194">
        <f t="shared" si="16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">
      <c r="A246" s="195">
        <f>'Données projet'!A260</f>
        <v>0</v>
      </c>
      <c r="B246" s="196">
        <f>'Données projet'!D260</f>
        <v>0</v>
      </c>
      <c r="C246" s="210"/>
      <c r="D246" s="194">
        <f t="shared" si="16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">
      <c r="A247" s="195">
        <f>'Données projet'!A261</f>
        <v>0</v>
      </c>
      <c r="B247" s="196">
        <f>'Données projet'!D261</f>
        <v>0</v>
      </c>
      <c r="C247" s="210"/>
      <c r="D247" s="194">
        <f t="shared" si="16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">
      <c r="A248" s="195">
        <f>'Données projet'!A262</f>
        <v>0</v>
      </c>
      <c r="B248" s="196">
        <f>'Données projet'!D262</f>
        <v>0</v>
      </c>
      <c r="C248" s="210"/>
      <c r="D248" s="194">
        <f t="shared" si="16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">
      <c r="A249" s="195">
        <f>'Données projet'!A263</f>
        <v>0</v>
      </c>
      <c r="B249" s="196">
        <f>'Données projet'!D263</f>
        <v>0</v>
      </c>
      <c r="C249" s="210"/>
      <c r="D249" s="194">
        <f t="shared" si="16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ht="16" x14ac:dyDescent="0.2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ht="16" x14ac:dyDescent="0.2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7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">
      <c r="A258" s="195">
        <f>'Données projet'!A272</f>
        <v>0</v>
      </c>
      <c r="B258" s="196">
        <f>'Données projet'!D272</f>
        <v>0</v>
      </c>
      <c r="C258" s="208"/>
      <c r="D258" s="197">
        <f t="shared" si="17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">
      <c r="A259" s="195">
        <f>'Données projet'!A273</f>
        <v>0</v>
      </c>
      <c r="B259" s="196">
        <f>'Données projet'!D273</f>
        <v>0</v>
      </c>
      <c r="C259" s="208"/>
      <c r="D259" s="197">
        <f t="shared" si="17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">
      <c r="A260" s="195">
        <f>'Données projet'!A274</f>
        <v>0</v>
      </c>
      <c r="B260" s="196">
        <f>'Données projet'!D274</f>
        <v>0</v>
      </c>
      <c r="C260" s="208"/>
      <c r="D260" s="197">
        <f t="shared" si="17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">
      <c r="A261" s="195">
        <f>'Données projet'!A275</f>
        <v>0</v>
      </c>
      <c r="B261" s="196">
        <f>'Données projet'!D275</f>
        <v>0</v>
      </c>
      <c r="C261" s="208"/>
      <c r="D261" s="197">
        <f t="shared" si="17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">
      <c r="A262" s="195">
        <f>'Données projet'!A276</f>
        <v>0</v>
      </c>
      <c r="B262" s="196">
        <f>'Données projet'!D276</f>
        <v>0</v>
      </c>
      <c r="C262" s="208"/>
      <c r="D262" s="197">
        <f t="shared" si="17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">
      <c r="A263" s="195">
        <f>'Données projet'!A277</f>
        <v>0</v>
      </c>
      <c r="B263" s="196">
        <f>'Données projet'!D277</f>
        <v>0</v>
      </c>
      <c r="C263" s="208"/>
      <c r="D263" s="197">
        <f t="shared" si="17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">
      <c r="A264" s="195">
        <f>'Données projet'!A278</f>
        <v>0</v>
      </c>
      <c r="B264" s="196">
        <f>'Données projet'!D278</f>
        <v>0</v>
      </c>
      <c r="C264" s="208"/>
      <c r="D264" s="197">
        <f t="shared" si="17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">
      <c r="A265" s="195">
        <f>'Données projet'!A279</f>
        <v>0</v>
      </c>
      <c r="B265" s="196">
        <f>'Données projet'!D279</f>
        <v>0</v>
      </c>
      <c r="C265" s="208"/>
      <c r="D265" s="197">
        <f t="shared" si="17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">
      <c r="A266" s="195">
        <f>'Données projet'!A280</f>
        <v>0</v>
      </c>
      <c r="B266" s="196">
        <f>'Données projet'!D280</f>
        <v>0</v>
      </c>
      <c r="C266" s="208"/>
      <c r="D266" s="197">
        <f t="shared" si="17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">
      <c r="A267" s="195">
        <f>'Données projet'!A281</f>
        <v>0</v>
      </c>
      <c r="B267" s="196">
        <f>'Données projet'!D281</f>
        <v>0</v>
      </c>
      <c r="C267" s="208"/>
      <c r="D267" s="197">
        <f t="shared" si="17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">
      <c r="A268" s="195">
        <f>'Données projet'!A282</f>
        <v>0</v>
      </c>
      <c r="B268" s="196">
        <f>'Données projet'!D282</f>
        <v>0</v>
      </c>
      <c r="C268" s="208"/>
      <c r="D268" s="197">
        <f t="shared" si="17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">
      <c r="A269" s="195">
        <f>'Données projet'!A283</f>
        <v>0</v>
      </c>
      <c r="B269" s="196">
        <f>'Données projet'!D283</f>
        <v>0</v>
      </c>
      <c r="C269" s="208"/>
      <c r="D269" s="197">
        <f t="shared" si="17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">
      <c r="A270" s="195">
        <f>'Données projet'!A284</f>
        <v>0</v>
      </c>
      <c r="B270" s="196">
        <f>'Données projet'!D284</f>
        <v>0</v>
      </c>
      <c r="C270" s="208"/>
      <c r="D270" s="197">
        <f t="shared" si="17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">
      <c r="A271" s="195">
        <f>'Données projet'!A285</f>
        <v>0</v>
      </c>
      <c r="B271" s="196">
        <f>'Données projet'!D285</f>
        <v>0</v>
      </c>
      <c r="C271" s="208"/>
      <c r="D271" s="197">
        <f t="shared" si="17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">
      <c r="A272" s="195">
        <f>'Données projet'!A286</f>
        <v>0</v>
      </c>
      <c r="B272" s="196">
        <f>'Données projet'!D286</f>
        <v>0</v>
      </c>
      <c r="C272" s="208"/>
      <c r="D272" s="197">
        <f t="shared" si="17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">
      <c r="A273" s="195">
        <f>'Données projet'!A287</f>
        <v>0</v>
      </c>
      <c r="B273" s="196">
        <f>'Données projet'!D287</f>
        <v>0</v>
      </c>
      <c r="C273" s="208"/>
      <c r="D273" s="197">
        <f t="shared" si="17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">
      <c r="A274" s="195">
        <f>'Données projet'!A288</f>
        <v>0</v>
      </c>
      <c r="B274" s="196">
        <f>'Données projet'!D288</f>
        <v>0</v>
      </c>
      <c r="C274" s="208"/>
      <c r="D274" s="197">
        <f t="shared" si="17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">
      <c r="A275" s="195">
        <f>'Données projet'!A289</f>
        <v>0</v>
      </c>
      <c r="B275" s="196">
        <f>'Données projet'!D289</f>
        <v>0</v>
      </c>
      <c r="C275" s="213"/>
      <c r="D275" s="197">
        <f t="shared" si="17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E42:F42"/>
    <mergeCell ref="J36:L36"/>
    <mergeCell ref="J33:L33"/>
    <mergeCell ref="J34:L34"/>
    <mergeCell ref="J35:L35"/>
    <mergeCell ref="I37:L37"/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Aubin Laroche-Labergère</cp:lastModifiedBy>
  <dcterms:created xsi:type="dcterms:W3CDTF">2021-02-01T08:22:39Z</dcterms:created>
  <dcterms:modified xsi:type="dcterms:W3CDTF">2021-12-13T15:49:34Z</dcterms:modified>
</cp:coreProperties>
</file>