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Mont de Marsan\Projet Gaillères_09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EV4" i="2" l="1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44" i="2" l="1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<sst xmlns="http://schemas.openxmlformats.org/spreadsheetml/2006/main" count="1165" uniqueCount="321">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</sst>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2.2275684964490412</c:v>
                </c:pt>
                <c:pt idx="2">
                  <c:v>3.2004037614349188</c:v>
                </c:pt>
                <c:pt idx="3">
                  <c:v>4.5999845325385644</c:v>
                </c:pt>
                <c:pt idx="4">
                  <c:v>6.6142842002217277</c:v>
                </c:pt>
                <c:pt idx="5">
                  <c:v>9.5143935673131814</c:v>
                </c:pt>
                <c:pt idx="6">
                  <c:v>13.6914036436754</c:v>
                </c:pt>
                <c:pt idx="7">
                  <c:v>19.709707951967946</c:v>
                </c:pt>
                <c:pt idx="8">
                  <c:v>28.384055503321306</c:v>
                </c:pt>
                <c:pt idx="9">
                  <c:v>40.890967593026211</c:v>
                </c:pt>
                <c:pt idx="10">
                  <c:v>58.929886336202543</c:v>
                </c:pt>
                <c:pt idx="11">
                  <c:v>84.95631272448162</c:v>
                </c:pt>
                <c:pt idx="12">
                  <c:v>122.5191776591346</c:v>
                </c:pt>
                <c:pt idx="13">
                  <c:v>176.74916471224137</c:v>
                </c:pt>
                <c:pt idx="14">
                  <c:v>164.81287605364005</c:v>
                </c:pt>
                <c:pt idx="15">
                  <c:v>194.6185740100791</c:v>
                </c:pt>
                <c:pt idx="16">
                  <c:v>224.31800673464909</c:v>
                </c:pt>
                <c:pt idx="17">
                  <c:v>253.92723288714623</c:v>
                </c:pt>
                <c:pt idx="18">
                  <c:v>283.45825005950934</c:v>
                </c:pt>
                <c:pt idx="19">
                  <c:v>241.86830435019067</c:v>
                </c:pt>
                <c:pt idx="20">
                  <c:v>267.35367096848455</c:v>
                </c:pt>
                <c:pt idx="21">
                  <c:v>292.78430883226019</c:v>
                </c:pt>
                <c:pt idx="22">
                  <c:v>318.1656372745901</c:v>
                </c:pt>
                <c:pt idx="23">
                  <c:v>343.50214022387763</c:v>
                </c:pt>
                <c:pt idx="24">
                  <c:v>368.79758621598802</c:v>
                </c:pt>
                <c:pt idx="25">
                  <c:v>394.05518480115484</c:v>
                </c:pt>
                <c:pt idx="26">
                  <c:v>419.27770071543796</c:v>
                </c:pt>
                <c:pt idx="27">
                  <c:v>444.46753912764717</c:v>
                </c:pt>
                <c:pt idx="28">
                  <c:v>469.62681054616775</c:v>
                </c:pt>
                <c:pt idx="29">
                  <c:v>494.75738109005198</c:v>
                </c:pt>
                <c:pt idx="30">
                  <c:v>519.86091201489637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049136"/>
        <c:axId val="-713055120"/>
      </c:scatterChart>
      <c:valAx>
        <c:axId val="-713049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55120"/>
        <c:crosses val="autoZero"/>
        <c:crossBetween val="midCat"/>
      </c:valAx>
      <c:valAx>
        <c:axId val="-71305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49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2308896"/>
        <c:axId val="-632318688"/>
      </c:scatterChart>
      <c:valAx>
        <c:axId val="-632308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18688"/>
        <c:crosses val="autoZero"/>
        <c:crossBetween val="midCat"/>
      </c:valAx>
      <c:valAx>
        <c:axId val="-63231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08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076336"/>
        <c:axId val="-713061648"/>
      </c:scatterChart>
      <c:valAx>
        <c:axId val="-713076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61648"/>
        <c:crosses val="autoZero"/>
        <c:crossBetween val="midCat"/>
      </c:valAx>
      <c:valAx>
        <c:axId val="-71306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76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050768"/>
        <c:axId val="-713075792"/>
      </c:scatterChart>
      <c:valAx>
        <c:axId val="-713050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75792"/>
        <c:crosses val="autoZero"/>
        <c:crossBetween val="midCat"/>
      </c:valAx>
      <c:valAx>
        <c:axId val="-7130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5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074704"/>
        <c:axId val="-713058928"/>
      </c:scatterChart>
      <c:valAx>
        <c:axId val="-713074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58928"/>
        <c:crosses val="autoZero"/>
        <c:crossBetween val="midCat"/>
      </c:valAx>
      <c:valAx>
        <c:axId val="-71305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74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068720"/>
        <c:axId val="-713068176"/>
      </c:scatterChart>
      <c:valAx>
        <c:axId val="-713068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68176"/>
        <c:crosses val="autoZero"/>
        <c:crossBetween val="midCat"/>
      </c:valAx>
      <c:valAx>
        <c:axId val="-71306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068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2306720"/>
        <c:axId val="-632308352"/>
      </c:scatterChart>
      <c:valAx>
        <c:axId val="-63230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08352"/>
        <c:crosses val="autoZero"/>
        <c:crossBetween val="midCat"/>
      </c:valAx>
      <c:valAx>
        <c:axId val="-63230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0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2319776"/>
        <c:axId val="-632328480"/>
      </c:scatterChart>
      <c:valAx>
        <c:axId val="-63231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28480"/>
        <c:crosses val="autoZero"/>
        <c:crossBetween val="midCat"/>
      </c:valAx>
      <c:valAx>
        <c:axId val="-6323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1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2324128"/>
        <c:axId val="-632306176"/>
      </c:scatterChart>
      <c:valAx>
        <c:axId val="-632324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06176"/>
        <c:crosses val="autoZero"/>
        <c:crossBetween val="midCat"/>
      </c:valAx>
      <c:valAx>
        <c:axId val="-63230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2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2315968"/>
        <c:axId val="-632325760"/>
      </c:scatterChart>
      <c:valAx>
        <c:axId val="-63231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25760"/>
        <c:crosses val="autoZero"/>
        <c:crossBetween val="midCat"/>
      </c:valAx>
      <c:valAx>
        <c:axId val="-6323257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231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5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5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5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5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5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5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5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5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5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5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5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5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5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5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5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5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5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5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="90" zoomScaleNormal="90" workbookViewId="0">
      <selection activeCell="G39" sqref="G39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87" t="s">
        <v>190</v>
      </c>
      <c r="D1" s="287"/>
      <c r="E1" s="28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98" t="s">
        <v>231</v>
      </c>
      <c r="B5" s="298"/>
      <c r="C5" s="26">
        <v>2.9178000000000002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36</v>
      </c>
      <c r="C9" s="35">
        <v>1</v>
      </c>
      <c r="D9" s="36">
        <f t="shared" ref="D9:D18" si="0">C9*$C$5</f>
        <v>2.9178000000000002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1</v>
      </c>
      <c r="D19" s="41">
        <f>SUM(D9:D18)</f>
        <v>2.9178000000000002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Pin maritime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13</v>
      </c>
      <c r="B36" s="63">
        <v>132.9</v>
      </c>
      <c r="C36" s="63">
        <v>1</v>
      </c>
      <c r="D36" s="63">
        <v>32.200000000000003</v>
      </c>
      <c r="E36" s="54"/>
      <c r="F36" s="54"/>
      <c r="G36" s="54">
        <v>1</v>
      </c>
      <c r="H36" s="54"/>
      <c r="I36" s="52">
        <f>IFERROR(B36/A36,"")</f>
        <v>10.223076923076924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18</v>
      </c>
      <c r="B37" s="63">
        <v>215.7</v>
      </c>
      <c r="C37" s="63">
        <v>2</v>
      </c>
      <c r="D37" s="63">
        <v>52.2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22.999999999999996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30</v>
      </c>
      <c r="B38" s="63">
        <v>401.4</v>
      </c>
      <c r="C38" s="63"/>
      <c r="D38" s="63">
        <v>401.4</v>
      </c>
      <c r="E38" s="54">
        <v>0.8</v>
      </c>
      <c r="F38" s="54"/>
      <c r="G38" s="54">
        <v>0.2</v>
      </c>
      <c r="H38" s="54"/>
      <c r="I38" s="56">
        <f t="shared" si="1"/>
        <v>19.824999999999999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/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296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Pin maritime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/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/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181.1076418855364</v>
      </c>
      <c r="T3" s="62">
        <f>IF('Données projet'!E9&gt;30,$R$33-$H$33,LOOKUP('Données projet'!$E$9,$A$3:$A$203,R3:R203)-LOOKUP('Données projet'!$E$9,$A$3:$A$203,$H$3:$H$203))</f>
        <v>478.32590395305829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10.223076923076924</v>
      </c>
      <c r="N4" s="14">
        <f>IF('Données projet'!$A$36&gt;35,N3+M4-V3,IF(A4&lt;'Données projet'!$A$36,$K$205^A4,IF(A4='Données projet'!$A$36,'Données projet'!$B$36,N3+M4-V3)))</f>
        <v>1.4566260598488507</v>
      </c>
      <c r="O4" s="14">
        <f>N4*VLOOKUP('Données projet'!$B$9,Paramètres!$A$1:$I$88,3,0)*VLOOKUP('Données projet'!$B$9,Paramètres!$A$1:$I$88,5,0)</f>
        <v>0.87106238378961276</v>
      </c>
      <c r="P4" s="14">
        <f>EXP(-1.0587+0.8836*LN(O4)+0.284)</f>
        <v>0.40792431273615237</v>
      </c>
      <c r="Q4" s="22">
        <f t="shared" ref="Q4:Q34" si="2">(O4+P4)*0.475*44/12</f>
        <v>2.2275684964490412</v>
      </c>
      <c r="R4" s="62">
        <f t="shared" si="0"/>
        <v>295.56090182978238</v>
      </c>
      <c r="S4" s="62">
        <f ca="1">AVERAGE(OFFSET($R$3,0,0,'Données projet'!$E$9+1,1))-AVERAGE(OFFSET($H$3,0,0,'Données projet'!$E$9+1,1))</f>
        <v>181.1076418855364</v>
      </c>
      <c r="T4" s="62">
        <f>$T$3</f>
        <v>478.32590395305829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10.223076923076924</v>
      </c>
      <c r="N5" s="14">
        <f>IF('Données projet'!$A$36&gt;35,N4+M5-V4,IF(A5&lt;'Données projet'!$A$36,$K$205^A5,IF(A5='Données projet'!$A$36,'Données projet'!$B$36,N4+M5-V4)))</f>
        <v>2.1217594782307878</v>
      </c>
      <c r="O5" s="14">
        <f>N5*VLOOKUP('Données projet'!$B$9,Paramètres!$A$1:$I$88,3,0)*VLOOKUP('Données projet'!$B$9,Paramètres!$A$1:$I$88,5,0)</f>
        <v>1.2688121679820112</v>
      </c>
      <c r="P5" s="14">
        <f t="shared" ref="P5:P68" si="33">EXP(-1.0587+0.8836*LN(O5)+0.284)</f>
        <v>0.56874023092798986</v>
      </c>
      <c r="Q5" s="22">
        <f t="shared" si="2"/>
        <v>3.2004037614349188</v>
      </c>
      <c r="R5" s="62">
        <f t="shared" si="0"/>
        <v>296.53373709476824</v>
      </c>
      <c r="S5" s="62">
        <f ca="1">AVERAGE(OFFSET($R$3,0,0,'Données projet'!$E$9+1,1))-AVERAGE(OFFSET($H$3,0,0,'Données projet'!$E$9+1,1))</f>
        <v>181.1076418855364</v>
      </c>
      <c r="T5" s="62">
        <f t="shared" ref="T5:T68" si="34">$T$3</f>
        <v>478.32590395305829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10.223076923076924</v>
      </c>
      <c r="N6" s="14">
        <f>IF('Données projet'!$A$36&gt;35,N5+M6-V5,IF(A6&lt;'Données projet'!$A$36,$K$205^A6,IF(A6='Données projet'!$A$36,'Données projet'!$B$36,N5+M6-V5)))</f>
        <v>3.0906101487222659</v>
      </c>
      <c r="O6" s="14">
        <f>N6*VLOOKUP('Données projet'!$B$9,Paramètres!$A$1:$I$88,3,0)*VLOOKUP('Données projet'!$B$9,Paramètres!$A$1:$I$88,5,0)</f>
        <v>1.848184868935915</v>
      </c>
      <c r="P6" s="14">
        <f t="shared" si="33"/>
        <v>0.79295457558383486</v>
      </c>
      <c r="Q6" s="22">
        <f t="shared" si="2"/>
        <v>4.5999845325385644</v>
      </c>
      <c r="R6" s="62">
        <f t="shared" si="0"/>
        <v>297.93331786587186</v>
      </c>
      <c r="S6" s="62">
        <f ca="1">AVERAGE(OFFSET($R$3,0,0,'Données projet'!$E$9+1,1))-AVERAGE(OFFSET($H$3,0,0,'Données projet'!$E$9+1,1))</f>
        <v>181.1076418855364</v>
      </c>
      <c r="T6" s="62">
        <f t="shared" si="34"/>
        <v>478.32590395305829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10.223076923076924</v>
      </c>
      <c r="N7" s="14">
        <f>IF('Données projet'!$A$36&gt;35,N6+M7-V6,IF(A7&lt;'Données projet'!$A$36,$K$205^A7,IF(A7='Données projet'!$A$36,'Données projet'!$B$36,N6+M7-V6)))</f>
        <v>4.5018632834621846</v>
      </c>
      <c r="O7" s="14">
        <f>N7*VLOOKUP('Données projet'!$B$9,Paramètres!$A$1:$I$88,3,0)*VLOOKUP('Données projet'!$B$9,Paramètres!$A$1:$I$88,5,0)</f>
        <v>2.6921142435103866</v>
      </c>
      <c r="P7" s="14">
        <f t="shared" si="33"/>
        <v>1.1055608953729024</v>
      </c>
      <c r="Q7" s="22">
        <f t="shared" si="2"/>
        <v>6.6142842002217277</v>
      </c>
      <c r="R7" s="62">
        <f t="shared" si="0"/>
        <v>299.94761753355505</v>
      </c>
      <c r="S7" s="62">
        <f ca="1">AVERAGE(OFFSET($R$3,0,0,'Données projet'!$E$9+1,1))-AVERAGE(OFFSET($H$3,0,0,'Données projet'!$E$9+1,1))</f>
        <v>181.1076418855364</v>
      </c>
      <c r="T7" s="62">
        <f t="shared" si="34"/>
        <v>478.32590395305829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10.223076923076924</v>
      </c>
      <c r="N8" s="14">
        <f>IF('Données projet'!$A$36&gt;35,N7+M8-V7,IF(A8&lt;'Données projet'!$A$36,$K$205^A8,IF(A8='Données projet'!$A$36,'Données projet'!$B$36,N7+M8-V7)))</f>
        <v>6.5575313765677317</v>
      </c>
      <c r="O8" s="14">
        <f>N8*VLOOKUP('Données projet'!$B$9,Paramètres!$A$1:$I$88,3,0)*VLOOKUP('Données projet'!$B$9,Paramètres!$A$1:$I$88,5,0)</f>
        <v>3.9214037631875041</v>
      </c>
      <c r="P8" s="14">
        <f t="shared" si="33"/>
        <v>1.5414059405329834</v>
      </c>
      <c r="Q8" s="22">
        <f t="shared" si="2"/>
        <v>9.5143935673131814</v>
      </c>
      <c r="R8" s="62">
        <f t="shared" si="0"/>
        <v>302.84772690064648</v>
      </c>
      <c r="S8" s="62">
        <f ca="1">AVERAGE(OFFSET($R$3,0,0,'Données projet'!$E$9+1,1))-AVERAGE(OFFSET($H$3,0,0,'Données projet'!$E$9+1,1))</f>
        <v>181.1076418855364</v>
      </c>
      <c r="T8" s="62">
        <f t="shared" si="34"/>
        <v>478.32590395305829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10.223076923076924</v>
      </c>
      <c r="N9" s="14">
        <f>IF('Données projet'!$A$36&gt;35,N8+M9-V8,IF(A9&lt;'Données projet'!$A$36,$K$205^A9,IF(A9='Données projet'!$A$36,'Données projet'!$B$36,N8+M9-V8)))</f>
        <v>9.5518710913850651</v>
      </c>
      <c r="O9" s="14">
        <f>N9*VLOOKUP('Données projet'!$B$9,Paramètres!$A$1:$I$88,3,0)*VLOOKUP('Données projet'!$B$9,Paramètres!$A$1:$I$88,5,0)</f>
        <v>5.7120189126482694</v>
      </c>
      <c r="P9" s="14">
        <f t="shared" si="33"/>
        <v>2.149074088505071</v>
      </c>
      <c r="Q9" s="22">
        <f t="shared" si="2"/>
        <v>13.6914036436754</v>
      </c>
      <c r="R9" s="62">
        <f t="shared" si="0"/>
        <v>307.02473697700873</v>
      </c>
      <c r="S9" s="62">
        <f ca="1">AVERAGE(OFFSET($R$3,0,0,'Données projet'!$E$9+1,1))-AVERAGE(OFFSET($H$3,0,0,'Données projet'!$E$9+1,1))</f>
        <v>181.1076418855364</v>
      </c>
      <c r="T9" s="62">
        <f t="shared" si="34"/>
        <v>478.32590395305829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10.223076923076924</v>
      </c>
      <c r="N10" s="14">
        <f>IF('Données projet'!$A$36&gt;35,N9+M10-V9,IF(A10&lt;'Données projet'!$A$36,$K$205^A10,IF(A10='Données projet'!$A$36,'Données projet'!$B$36,N9+M10-V9)))</f>
        <v>13.913504352028371</v>
      </c>
      <c r="O10" s="14">
        <f>N10*VLOOKUP('Données projet'!$B$9,Paramètres!$A$1:$I$88,3,0)*VLOOKUP('Données projet'!$B$9,Paramètres!$A$1:$I$88,5,0)</f>
        <v>8.3202756025129663</v>
      </c>
      <c r="P10" s="14">
        <f t="shared" si="33"/>
        <v>2.996303125889682</v>
      </c>
      <c r="Q10" s="22">
        <f t="shared" si="2"/>
        <v>19.709707951967946</v>
      </c>
      <c r="R10" s="62">
        <f t="shared" si="0"/>
        <v>313.04304128530129</v>
      </c>
      <c r="S10" s="62">
        <f ca="1">AVERAGE(OFFSET($R$3,0,0,'Données projet'!$E$9+1,1))-AVERAGE(OFFSET($H$3,0,0,'Données projet'!$E$9+1,1))</f>
        <v>181.1076418855364</v>
      </c>
      <c r="T10" s="62">
        <f t="shared" si="34"/>
        <v>478.32590395305829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10.223076923076924</v>
      </c>
      <c r="N11" s="14">
        <f>IF('Données projet'!$A$36&gt;35,N10+M11-V10,IF(A11&lt;'Données projet'!$A$36,$K$205^A11,IF(A11='Données projet'!$A$36,'Données projet'!$B$36,N10+M11-V10)))</f>
        <v>20.266773022984921</v>
      </c>
      <c r="O11" s="14">
        <f>N11*VLOOKUP('Données projet'!$B$9,Paramètres!$A$1:$I$88,3,0)*VLOOKUP('Données projet'!$B$9,Paramètres!$A$1:$I$88,5,0)</f>
        <v>12.119530267744985</v>
      </c>
      <c r="P11" s="14">
        <f t="shared" si="33"/>
        <v>4.1775350930136605</v>
      </c>
      <c r="Q11" s="22">
        <f t="shared" si="2"/>
        <v>28.384055503321306</v>
      </c>
      <c r="R11" s="62">
        <f t="shared" si="0"/>
        <v>321.71738883665461</v>
      </c>
      <c r="S11" s="62">
        <f ca="1">AVERAGE(OFFSET($R$3,0,0,'Données projet'!$E$9+1,1))-AVERAGE(OFFSET($H$3,0,0,'Données projet'!$E$9+1,1))</f>
        <v>181.1076418855364</v>
      </c>
      <c r="T11" s="62">
        <f t="shared" si="34"/>
        <v>478.32590395305829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10.223076923076924</v>
      </c>
      <c r="N12" s="14">
        <f>IF('Données projet'!$A$36&gt;35,N11+M12-V11,IF(A12&lt;'Données projet'!$A$36,$K$205^A12,IF(A12='Données projet'!$A$36,'Données projet'!$B$36,N11+M12-V11)))</f>
        <v>29.521109734321506</v>
      </c>
      <c r="O12" s="14">
        <f>N12*VLOOKUP('Données projet'!$B$9,Paramètres!$A$1:$I$88,3,0)*VLOOKUP('Données projet'!$B$9,Paramètres!$A$1:$I$88,5,0)</f>
        <v>17.653623621124261</v>
      </c>
      <c r="P12" s="14">
        <f t="shared" si="33"/>
        <v>5.8244438964027525</v>
      </c>
      <c r="Q12" s="22">
        <f t="shared" si="2"/>
        <v>40.890967593026211</v>
      </c>
      <c r="R12" s="62">
        <f t="shared" si="0"/>
        <v>334.22430092635955</v>
      </c>
      <c r="S12" s="62">
        <f ca="1">AVERAGE(OFFSET($R$3,0,0,'Données projet'!$E$9+1,1))-AVERAGE(OFFSET($H$3,0,0,'Données projet'!$E$9+1,1))</f>
        <v>181.1076418855364</v>
      </c>
      <c r="T12" s="62">
        <f t="shared" si="34"/>
        <v>478.32590395305829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10.223076923076924</v>
      </c>
      <c r="N13" s="14">
        <f>IF('Données projet'!$A$36&gt;35,N12+M13-V12,IF(A13&lt;'Données projet'!$A$36,$K$205^A13,IF(A13='Données projet'!$A$36,'Données projet'!$B$36,N12+M13-V12)))</f>
        <v>43.001217754670293</v>
      </c>
      <c r="O13" s="14">
        <f>N13*VLOOKUP('Données projet'!$B$9,Paramètres!$A$1:$I$88,3,0)*VLOOKUP('Données projet'!$B$9,Paramètres!$A$1:$I$88,5,0)</f>
        <v>25.714728217292841</v>
      </c>
      <c r="P13" s="14">
        <f t="shared" si="33"/>
        <v>8.1206132197612551</v>
      </c>
      <c r="Q13" s="22">
        <f t="shared" si="2"/>
        <v>58.929886336202543</v>
      </c>
      <c r="R13" s="62">
        <f t="shared" si="0"/>
        <v>352.26321966953583</v>
      </c>
      <c r="S13" s="62">
        <f ca="1">AVERAGE(OFFSET($R$3,0,0,'Données projet'!$E$9+1,1))-AVERAGE(OFFSET($H$3,0,0,'Données projet'!$E$9+1,1))</f>
        <v>181.1076418855364</v>
      </c>
      <c r="T13" s="62">
        <f t="shared" si="34"/>
        <v>478.32590395305829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10.223076923076924</v>
      </c>
      <c r="N14" s="14">
        <f>IF('Données projet'!$A$36&gt;35,N13+M14-V13,IF(A14&lt;'Données projet'!$A$36,$K$205^A14,IF(A14='Données projet'!$A$36,'Données projet'!$B$36,N13+M14-V13)))</f>
        <v>62.636694386687836</v>
      </c>
      <c r="O14" s="14">
        <f>N14*VLOOKUP('Données projet'!$B$9,Paramètres!$A$1:$I$88,3,0)*VLOOKUP('Données projet'!$B$9,Paramètres!$A$1:$I$88,5,0)</f>
        <v>37.45674324323933</v>
      </c>
      <c r="P14" s="14">
        <f t="shared" si="33"/>
        <v>11.3220009047884</v>
      </c>
      <c r="Q14" s="22">
        <f t="shared" si="2"/>
        <v>84.95631272448162</v>
      </c>
      <c r="R14" s="62">
        <f t="shared" si="0"/>
        <v>378.28964605781493</v>
      </c>
      <c r="S14" s="62">
        <f ca="1">AVERAGE(OFFSET($R$3,0,0,'Données projet'!$E$9+1,1))-AVERAGE(OFFSET($H$3,0,0,'Données projet'!$E$9+1,1))</f>
        <v>181.1076418855364</v>
      </c>
      <c r="T14" s="62">
        <f t="shared" si="34"/>
        <v>478.32590395305829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10.223076923076924</v>
      </c>
      <c r="N15" s="14">
        <f>IF('Données projet'!$A$36&gt;35,N14+M15-V14,IF(A15&lt;'Données projet'!$A$36,$K$205^A15,IF(A15='Données projet'!$A$36,'Données projet'!$B$36,N14+M15-V14)))</f>
        <v>91.238241346437718</v>
      </c>
      <c r="O15" s="14">
        <f>N15*VLOOKUP('Données projet'!$B$9,Paramètres!$A$1:$I$88,3,0)*VLOOKUP('Données projet'!$B$9,Paramètres!$A$1:$I$88,5,0)</f>
        <v>54.560468325169758</v>
      </c>
      <c r="P15" s="14">
        <f t="shared" si="33"/>
        <v>15.785471000649142</v>
      </c>
      <c r="Q15" s="22">
        <f t="shared" si="2"/>
        <v>122.5191776591346</v>
      </c>
      <c r="R15" s="62">
        <f t="shared" si="0"/>
        <v>415.8525109924679</v>
      </c>
      <c r="S15" s="62">
        <f ca="1">AVERAGE(OFFSET($R$3,0,0,'Données projet'!$E$9+1,1))-AVERAGE(OFFSET($H$3,0,0,'Données projet'!$E$9+1,1))</f>
        <v>181.1076418855364</v>
      </c>
      <c r="T15" s="62">
        <f t="shared" si="34"/>
        <v>478.32590395305829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132.9</v>
      </c>
      <c r="L16" s="13">
        <f>VLOOKUP(A16,'Données projet'!$A$35:$I$55,9,0)</f>
        <v>10.223076923076924</v>
      </c>
      <c r="M16" s="13">
        <f t="array" ref="M16">INDEX(L:L,MIN(IF(ISNUMBER(L16:L212),ROW(L16:L212),"")))</f>
        <v>10.223076923076924</v>
      </c>
      <c r="N16" s="14">
        <f>IF('Données projet'!$A$36&gt;35,N15+M16-V15,IF(A16&lt;'Données projet'!$A$36,$K$205^A16,IF(A16='Données projet'!$A$36,'Données projet'!$B$36,N15+M16-V15)))</f>
        <v>132.9</v>
      </c>
      <c r="O16" s="14">
        <f>N16*VLOOKUP('Données projet'!$B$9,Paramètres!$A$1:$I$88,3,0)*VLOOKUP('Données projet'!$B$9,Paramètres!$A$1:$I$88,5,0)</f>
        <v>79.47420000000001</v>
      </c>
      <c r="P16" s="14">
        <f t="shared" si="33"/>
        <v>22.008573997459138</v>
      </c>
      <c r="Q16" s="22">
        <f t="shared" si="2"/>
        <v>176.74916471224137</v>
      </c>
      <c r="R16" s="62">
        <f t="shared" si="0"/>
        <v>470.08249804557465</v>
      </c>
      <c r="S16" s="62">
        <f ca="1">AVERAGE(OFFSET($R$3,0,0,'Données projet'!$E$9+1,1))-AVERAGE(OFFSET($H$3,0,0,'Données projet'!$E$9+1,1))</f>
        <v>181.1076418855364</v>
      </c>
      <c r="T16" s="62">
        <f t="shared" si="34"/>
        <v>478.32590395305829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32.200000000000003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21.801812228250615</v>
      </c>
      <c r="AC16" s="24">
        <f t="shared" si="3"/>
        <v>21.801812228250615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22.999999999999996</v>
      </c>
      <c r="N17" s="14">
        <f>IF('Données projet'!$A$36&gt;35,N16+M17-V16,IF(A17&lt;'Données projet'!$A$36,$K$205^A17,IF(A17='Données projet'!$A$36,'Données projet'!$B$36,N16+M17-V16)))</f>
        <v>123.7</v>
      </c>
      <c r="O17" s="14">
        <f>N17*VLOOKUP('Données projet'!$B$9,Paramètres!$A$1:$I$88,3,0)*VLOOKUP('Données projet'!$B$9,Paramètres!$A$1:$I$88,5,0)</f>
        <v>73.9726</v>
      </c>
      <c r="P17" s="14">
        <f t="shared" si="33"/>
        <v>20.656802518836397</v>
      </c>
      <c r="Q17" s="22">
        <f t="shared" si="2"/>
        <v>164.81287605364005</v>
      </c>
      <c r="R17" s="62">
        <f t="shared" si="0"/>
        <v>458.1462093869734</v>
      </c>
      <c r="S17" s="62">
        <f ca="1">AVERAGE(OFFSET($R$3,0,0,'Données projet'!$E$9+1,1))-AVERAGE(OFFSET($H$3,0,0,'Données projet'!$E$9+1,1))</f>
        <v>181.1076418855364</v>
      </c>
      <c r="T17" s="62">
        <f t="shared" si="34"/>
        <v>478.32590395305829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15.416209268751805</v>
      </c>
      <c r="AC17" s="24">
        <f t="shared" si="3"/>
        <v>15.416209268751805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22.999999999999996</v>
      </c>
      <c r="N18" s="14">
        <f>IF('Données projet'!$A$36&gt;35,N17+M18-V17,IF(A18&lt;'Données projet'!$A$36,$K$205^A18,IF(A18='Données projet'!$A$36,'Données projet'!$B$36,N17+M18-V17)))</f>
        <v>146.69999999999999</v>
      </c>
      <c r="O18" s="14">
        <f>N18*VLOOKUP('Données projet'!$B$9,Paramètres!$A$1:$I$88,3,0)*VLOOKUP('Données projet'!$B$9,Paramètres!$A$1:$I$88,5,0)</f>
        <v>87.726600000000005</v>
      </c>
      <c r="P18" s="14">
        <f t="shared" si="33"/>
        <v>24.016121919662631</v>
      </c>
      <c r="Q18" s="22">
        <f t="shared" si="2"/>
        <v>194.6185740100791</v>
      </c>
      <c r="R18" s="62">
        <f t="shared" si="0"/>
        <v>487.95190734341242</v>
      </c>
      <c r="S18" s="62">
        <f ca="1">AVERAGE(OFFSET($R$3,0,0,'Données projet'!$E$9+1,1))-AVERAGE(OFFSET($H$3,0,0,'Données projet'!$E$9+1,1))</f>
        <v>181.1076418855364</v>
      </c>
      <c r="T18" s="62">
        <f t="shared" si="34"/>
        <v>478.32590395305829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10.900906114125309</v>
      </c>
      <c r="AC18" s="24">
        <f t="shared" si="3"/>
        <v>10.900906114125309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22.999999999999996</v>
      </c>
      <c r="N19" s="14">
        <f>IF('Données projet'!$A$36&gt;35,N18+M19-V18,IF(A19&lt;'Données projet'!$A$36,$K$205^A19,IF(A19='Données projet'!$A$36,'Données projet'!$B$36,N18+M19-V18)))</f>
        <v>169.7</v>
      </c>
      <c r="O19" s="14">
        <f>N19*VLOOKUP('Données projet'!$B$9,Paramètres!$A$1:$I$88,3,0)*VLOOKUP('Données projet'!$B$9,Paramètres!$A$1:$I$88,5,0)</f>
        <v>101.4806</v>
      </c>
      <c r="P19" s="14">
        <f t="shared" si="33"/>
        <v>27.314427790229143</v>
      </c>
      <c r="Q19" s="22">
        <f t="shared" si="2"/>
        <v>224.31800673464909</v>
      </c>
      <c r="R19" s="62">
        <f t="shared" si="0"/>
        <v>517.65134006798235</v>
      </c>
      <c r="S19" s="62">
        <f ca="1">AVERAGE(OFFSET($R$3,0,0,'Données projet'!$E$9+1,1))-AVERAGE(OFFSET($H$3,0,0,'Données projet'!$E$9+1,1))</f>
        <v>181.1076418855364</v>
      </c>
      <c r="T19" s="62">
        <f t="shared" si="34"/>
        <v>478.32590395305829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7.7081046343759034</v>
      </c>
      <c r="AC19" s="24">
        <f t="shared" si="3"/>
        <v>7.7081046343759034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22.999999999999996</v>
      </c>
      <c r="N20" s="14">
        <f>IF('Données projet'!$A$36&gt;35,N19+M20-V19,IF(A20&lt;'Données projet'!$A$36,$K$205^A20,IF(A20='Données projet'!$A$36,'Données projet'!$B$36,N19+M20-V19)))</f>
        <v>192.7</v>
      </c>
      <c r="O20" s="14">
        <f>N20*VLOOKUP('Données projet'!$B$9,Paramètres!$A$1:$I$88,3,0)*VLOOKUP('Données projet'!$B$9,Paramètres!$A$1:$I$88,5,0)</f>
        <v>115.2346</v>
      </c>
      <c r="P20" s="14">
        <f t="shared" si="33"/>
        <v>30.560940413672487</v>
      </c>
      <c r="Q20" s="22">
        <f t="shared" si="2"/>
        <v>253.92723288714623</v>
      </c>
      <c r="R20" s="62">
        <f t="shared" si="0"/>
        <v>547.26056622047952</v>
      </c>
      <c r="S20" s="62">
        <f ca="1">AVERAGE(OFFSET($R$3,0,0,'Données projet'!$E$9+1,1))-AVERAGE(OFFSET($H$3,0,0,'Données projet'!$E$9+1,1))</f>
        <v>181.1076418855364</v>
      </c>
      <c r="T20" s="62">
        <f t="shared" si="34"/>
        <v>478.32590395305829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5.4504530570626555</v>
      </c>
      <c r="AC20" s="24">
        <f t="shared" si="3"/>
        <v>5.4504530570626555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215.7</v>
      </c>
      <c r="L21" s="13">
        <f>VLOOKUP(A21,'Données projet'!$A$35:$I$55,9,0)</f>
        <v>22.999999999999996</v>
      </c>
      <c r="M21" s="13">
        <f t="array" ref="M21">INDEX(L:L,MIN(IF(ISNUMBER(L21:L217),ROW(L21:L217),"")))</f>
        <v>22.999999999999996</v>
      </c>
      <c r="N21" s="14">
        <f>IF('Données projet'!$A$36&gt;35,N20+M21-V20,IF(A21&lt;'Données projet'!$A$36,$K$205^A21,IF(A21='Données projet'!$A$36,'Données projet'!$B$36,N20+M21-V20)))</f>
        <v>215.7</v>
      </c>
      <c r="O21" s="14">
        <f>N21*VLOOKUP('Données projet'!$B$9,Paramètres!$A$1:$I$88,3,0)*VLOOKUP('Données projet'!$B$9,Paramètres!$A$1:$I$88,5,0)</f>
        <v>128.98859999999999</v>
      </c>
      <c r="P21" s="14">
        <f t="shared" si="33"/>
        <v>33.76254835952691</v>
      </c>
      <c r="Q21" s="22">
        <f t="shared" si="2"/>
        <v>283.45825005950934</v>
      </c>
      <c r="R21" s="62">
        <f t="shared" si="0"/>
        <v>576.79158339284265</v>
      </c>
      <c r="S21" s="62">
        <f ca="1">AVERAGE(OFFSET($R$3,0,0,'Données projet'!$E$9+1,1))-AVERAGE(OFFSET($H$3,0,0,'Données projet'!$E$9+1,1))</f>
        <v>181.1076418855364</v>
      </c>
      <c r="T21" s="62">
        <f t="shared" si="34"/>
        <v>478.32590395305829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52.2</v>
      </c>
      <c r="W21" s="17">
        <f>IF(ISNA(VLOOKUP(A21,'Données projet'!$A$35:$I$55,5,0)),0%,VLOOKUP(A21,'Données projet'!$A$35:$I$55,5,0)*VLOOKUP('Données projet'!$B$9,Paramètres!$A$1:$I$88,7,0))</f>
        <v>0.1125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projet'!$B$9,Paramètres!$A$1:$I$88,3,0)*0.475*44/12</f>
        <v>4.6585693592120831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30.361535197188317</v>
      </c>
      <c r="AC21" s="24">
        <f t="shared" si="3"/>
        <v>35.020104556400398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19.824999999999999</v>
      </c>
      <c r="N22" s="14">
        <f>IF('Données projet'!$A$36&gt;35,N21+M22-V21,IF(A22&lt;'Données projet'!$A$36,$K$205^A22,IF(A22='Données projet'!$A$36,'Données projet'!$B$36,N21+M22-V21)))</f>
        <v>183.32499999999999</v>
      </c>
      <c r="O22" s="14">
        <f>N22*VLOOKUP('Données projet'!$B$9,Paramètres!$A$1:$I$88,3,0)*VLOOKUP('Données projet'!$B$9,Paramètres!$A$1:$I$88,5,0)</f>
        <v>109.62835</v>
      </c>
      <c r="P22" s="14">
        <f t="shared" si="33"/>
        <v>29.243403693889388</v>
      </c>
      <c r="Q22" s="22">
        <f t="shared" si="2"/>
        <v>241.86830435019067</v>
      </c>
      <c r="R22" s="62">
        <f t="shared" si="0"/>
        <v>535.20163768352404</v>
      </c>
      <c r="S22" s="62">
        <f ca="1">AVERAGE(OFFSET($R$3,0,0,'Données projet'!$E$9+1,1))-AVERAGE(OFFSET($H$3,0,0,'Données projet'!$E$9+1,1))</f>
        <v>181.1076418855364</v>
      </c>
      <c r="T22" s="62">
        <f t="shared" si="34"/>
        <v>478.32590395305829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4.567217655524674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21.468847425165901</v>
      </c>
      <c r="AC22" s="24">
        <f t="shared" si="3"/>
        <v>26.036065080690577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19.824999999999999</v>
      </c>
      <c r="N23" s="14">
        <f>IF('Données projet'!$A$36&gt;35,N22+M23-V22,IF(A23&lt;'Données projet'!$A$36,$K$205^A23,IF(A23='Données projet'!$A$36,'Données projet'!$B$36,N22+M23-V22)))</f>
        <v>203.14999999999998</v>
      </c>
      <c r="O23" s="14">
        <f>N23*VLOOKUP('Données projet'!$B$9,Paramètres!$A$1:$I$88,3,0)*VLOOKUP('Données projet'!$B$9,Paramètres!$A$1:$I$88,5,0)</f>
        <v>121.4837</v>
      </c>
      <c r="P23" s="14">
        <f t="shared" si="33"/>
        <v>32.0208000775988</v>
      </c>
      <c r="Q23" s="22">
        <f t="shared" si="2"/>
        <v>267.35367096848455</v>
      </c>
      <c r="R23" s="62">
        <f t="shared" si="0"/>
        <v>560.68700430181786</v>
      </c>
      <c r="S23" s="62">
        <f ca="1">AVERAGE(OFFSET($R$3,0,0,'Données projet'!$E$9+1,1))-AVERAGE(OFFSET($H$3,0,0,'Données projet'!$E$9+1,1))</f>
        <v>181.1076418855364</v>
      </c>
      <c r="T23" s="62">
        <f t="shared" si="34"/>
        <v>478.32590395305829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4.4776573030275371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15.18076759859416</v>
      </c>
      <c r="AC23" s="24">
        <f t="shared" si="3"/>
        <v>19.658424901621697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19.824999999999999</v>
      </c>
      <c r="N24" s="14">
        <f>IF('Données projet'!$A$36&gt;35,N23+M24-V23,IF(A24&lt;'Données projet'!$A$36,$K$205^A24,IF(A24='Données projet'!$A$36,'Données projet'!$B$36,N23+M24-V23)))</f>
        <v>222.97499999999997</v>
      </c>
      <c r="O24" s="14">
        <f>N24*VLOOKUP('Données projet'!$B$9,Paramètres!$A$1:$I$88,3,0)*VLOOKUP('Données projet'!$B$9,Paramètres!$A$1:$I$88,5,0)</f>
        <v>133.33904999999999</v>
      </c>
      <c r="P24" s="14">
        <f t="shared" si="33"/>
        <v>34.766773252972392</v>
      </c>
      <c r="Q24" s="22">
        <f t="shared" si="2"/>
        <v>292.78430883226019</v>
      </c>
      <c r="R24" s="62">
        <f t="shared" si="0"/>
        <v>586.11764216559345</v>
      </c>
      <c r="S24" s="62">
        <f ca="1">AVERAGE(OFFSET($R$3,0,0,'Données projet'!$E$9+1,1))-AVERAGE(OFFSET($H$3,0,0,'Données projet'!$E$9+1,1))</f>
        <v>181.1076418855364</v>
      </c>
      <c r="T24" s="62">
        <f t="shared" si="34"/>
        <v>478.32590395305829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4.389853174416448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10.734423712582952</v>
      </c>
      <c r="AC24" s="24">
        <f t="shared" si="3"/>
        <v>15.1242768869994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19.824999999999999</v>
      </c>
      <c r="N25" s="14">
        <f>IF('Données projet'!$A$36&gt;35,N24+M25-V24,IF(A25&lt;'Données projet'!$A$36,$K$205^A25,IF(A25='Données projet'!$A$36,'Données projet'!$B$36,N24+M25-V24)))</f>
        <v>242.79999999999995</v>
      </c>
      <c r="O25" s="14">
        <f>N25*VLOOKUP('Données projet'!$B$9,Paramètres!$A$1:$I$88,3,0)*VLOOKUP('Données projet'!$B$9,Paramètres!$A$1:$I$88,5,0)</f>
        <v>145.1944</v>
      </c>
      <c r="P25" s="14">
        <f t="shared" si="33"/>
        <v>37.484434798807726</v>
      </c>
      <c r="Q25" s="22">
        <f t="shared" si="2"/>
        <v>318.1656372745901</v>
      </c>
      <c r="R25" s="62">
        <f t="shared" si="0"/>
        <v>611.49897060792341</v>
      </c>
      <c r="S25" s="62">
        <f ca="1">AVERAGE(OFFSET($R$3,0,0,'Données projet'!$E$9+1,1))-AVERAGE(OFFSET($H$3,0,0,'Données projet'!$E$9+1,1))</f>
        <v>181.1076418855364</v>
      </c>
      <c r="T25" s="62">
        <f t="shared" si="34"/>
        <v>478.32590395305829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4.3037708312121925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7.5903837992970811</v>
      </c>
      <c r="AC25" s="24">
        <f t="shared" si="3"/>
        <v>11.894154630509274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19.824999999999999</v>
      </c>
      <c r="N26" s="14">
        <f>IF('Données projet'!$A$36&gt;35,N25+M26-V25,IF(A26&lt;'Données projet'!$A$36,$K$205^A26,IF(A26='Données projet'!$A$36,'Données projet'!$B$36,N25+M26-V25)))</f>
        <v>262.62499999999994</v>
      </c>
      <c r="O26" s="14">
        <f>N26*VLOOKUP('Données projet'!$B$9,Paramètres!$A$1:$I$88,3,0)*VLOOKUP('Données projet'!$B$9,Paramètres!$A$1:$I$88,5,0)</f>
        <v>157.04974999999996</v>
      </c>
      <c r="P26" s="14">
        <f t="shared" si="33"/>
        <v>40.176359219451328</v>
      </c>
      <c r="Q26" s="22">
        <f t="shared" si="2"/>
        <v>343.50214022387763</v>
      </c>
      <c r="R26" s="62">
        <f t="shared" si="0"/>
        <v>636.83547355721089</v>
      </c>
      <c r="S26" s="62">
        <f ca="1">AVERAGE(OFFSET($R$3,0,0,'Données projet'!$E$9+1,1))-AVERAGE(OFFSET($H$3,0,0,'Données projet'!$E$9+1,1))</f>
        <v>181.1076418855364</v>
      </c>
      <c r="T26" s="62">
        <f t="shared" si="34"/>
        <v>478.32590395305829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4.2193765102531273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5.367211856291477</v>
      </c>
      <c r="AC26" s="24">
        <f t="shared" si="3"/>
        <v>9.5865883665446034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19.824999999999999</v>
      </c>
      <c r="N27" s="14">
        <f>IF('Données projet'!$A$36&gt;35,N26+M27-V26,IF(A27&lt;'Données projet'!$A$36,$K$205^A27,IF(A27='Données projet'!$A$36,'Données projet'!$B$36,N26+M27-V26)))</f>
        <v>282.44999999999993</v>
      </c>
      <c r="O27" s="14">
        <f>N27*VLOOKUP('Données projet'!$B$9,Paramètres!$A$1:$I$88,3,0)*VLOOKUP('Données projet'!$B$9,Paramètres!$A$1:$I$88,5,0)</f>
        <v>168.90509999999995</v>
      </c>
      <c r="P27" s="14">
        <f t="shared" si="33"/>
        <v>42.844710267552969</v>
      </c>
      <c r="Q27" s="22">
        <f t="shared" si="2"/>
        <v>368.79758621598802</v>
      </c>
      <c r="R27" s="62">
        <f t="shared" si="0"/>
        <v>662.13091954932133</v>
      </c>
      <c r="S27" s="62">
        <f ca="1">AVERAGE(OFFSET($R$3,0,0,'Données projet'!$E$9+1,1))-AVERAGE(OFFSET($H$3,0,0,'Données projet'!$E$9+1,1))</f>
        <v>181.1076418855364</v>
      </c>
      <c r="T27" s="62">
        <f t="shared" si="34"/>
        <v>478.32590395305829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4.1366371104526163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3.7951918996485414</v>
      </c>
      <c r="AC27" s="24">
        <f t="shared" si="3"/>
        <v>7.9318290101011577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19.824999999999999</v>
      </c>
      <c r="N28" s="14">
        <f>IF('Données projet'!$A$36&gt;35,N27+M28-V27,IF(A28&lt;'Données projet'!$A$36,$K$205^A28,IF(A28='Données projet'!$A$36,'Données projet'!$B$36,N27+M28-V27)))</f>
        <v>302.27499999999992</v>
      </c>
      <c r="O28" s="14">
        <f>N28*VLOOKUP('Données projet'!$B$9,Paramètres!$A$1:$I$88,3,0)*VLOOKUP('Données projet'!$B$9,Paramètres!$A$1:$I$88,5,0)</f>
        <v>180.76044999999999</v>
      </c>
      <c r="P28" s="14">
        <f t="shared" si="33"/>
        <v>45.491330747074549</v>
      </c>
      <c r="Q28" s="22">
        <f t="shared" si="2"/>
        <v>394.05518480115484</v>
      </c>
      <c r="R28" s="62">
        <f t="shared" si="0"/>
        <v>687.38851813448809</v>
      </c>
      <c r="S28" s="62">
        <f ca="1">AVERAGE(OFFSET($R$3,0,0,'Données projet'!$E$9+1,1))-AVERAGE(OFFSET($H$3,0,0,'Données projet'!$E$9+1,1))</f>
        <v>181.1076418855364</v>
      </c>
      <c r="T28" s="62">
        <f t="shared" si="34"/>
        <v>478.32590395305829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4.0555201798161429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2.683605928145739</v>
      </c>
      <c r="AC28" s="24">
        <f t="shared" si="3"/>
        <v>6.7391261079618818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19.824999999999999</v>
      </c>
      <c r="N29" s="14">
        <f>IF('Données projet'!$A$36&gt;35,N28+M29-V28,IF(A29&lt;'Données projet'!$A$36,$K$205^A29,IF(A29='Données projet'!$A$36,'Données projet'!$B$36,N28+M29-V28)))</f>
        <v>322.09999999999991</v>
      </c>
      <c r="O29" s="14">
        <f>N29*VLOOKUP('Données projet'!$B$9,Paramètres!$A$1:$I$88,3,0)*VLOOKUP('Données projet'!$B$9,Paramètres!$A$1:$I$88,5,0)</f>
        <v>192.61579999999998</v>
      </c>
      <c r="P29" s="14">
        <f t="shared" si="33"/>
        <v>48.11780806628019</v>
      </c>
      <c r="Q29" s="22">
        <f t="shared" si="2"/>
        <v>419.27770071543796</v>
      </c>
      <c r="R29" s="62">
        <f t="shared" si="0"/>
        <v>712.61103404877122</v>
      </c>
      <c r="S29" s="62">
        <f ca="1">AVERAGE(OFFSET($R$3,0,0,'Données projet'!$E$9+1,1))-AVERAGE(OFFSET($H$3,0,0,'Données projet'!$E$9+1,1))</f>
        <v>181.1076418855364</v>
      </c>
      <c r="T29" s="62">
        <f t="shared" si="34"/>
        <v>478.32590395305829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3.9759939027130082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1.8975959498242709</v>
      </c>
      <c r="AC29" s="24">
        <f t="shared" si="3"/>
        <v>5.8735898525372789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19.824999999999999</v>
      </c>
      <c r="N30" s="14">
        <f>IF('Données projet'!$A$36&gt;35,N29+M30-V29,IF(A30&lt;'Données projet'!$A$36,$K$205^A30,IF(A30='Données projet'!$A$36,'Données projet'!$B$36,N29+M30-V29)))</f>
        <v>341.9249999999999</v>
      </c>
      <c r="O30" s="14">
        <f>N30*VLOOKUP('Données projet'!$B$9,Paramètres!$A$1:$I$88,3,0)*VLOOKUP('Données projet'!$B$9,Paramètres!$A$1:$I$88,5,0)</f>
        <v>204.47114999999994</v>
      </c>
      <c r="P30" s="14">
        <f t="shared" si="33"/>
        <v>50.725523183338197</v>
      </c>
      <c r="Q30" s="22">
        <f t="shared" si="2"/>
        <v>444.46753912764717</v>
      </c>
      <c r="R30" s="62">
        <f t="shared" si="0"/>
        <v>737.80087246098049</v>
      </c>
      <c r="S30" s="62">
        <f ca="1">AVERAGE(OFFSET($R$3,0,0,'Données projet'!$E$9+1,1))-AVERAGE(OFFSET($H$3,0,0,'Données projet'!$E$9+1,1))</f>
        <v>181.1076418855364</v>
      </c>
      <c r="T30" s="62">
        <f t="shared" si="34"/>
        <v>478.32590395305829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3.8980270873976264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1.3418029640728697</v>
      </c>
      <c r="AC30" s="24">
        <f t="shared" si="3"/>
        <v>5.2398300514704959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19.824999999999999</v>
      </c>
      <c r="N31" s="14">
        <f>IF('Données projet'!$A$36&gt;35,N30+M31-V30,IF(A31&lt;'Données projet'!$A$36,$K$205^A31,IF(A31='Données projet'!$A$36,'Données projet'!$B$36,N30+M31-V30)))</f>
        <v>361.74999999999989</v>
      </c>
      <c r="O31" s="14">
        <f>N31*VLOOKUP('Données projet'!$B$9,Paramètres!$A$1:$I$88,3,0)*VLOOKUP('Données projet'!$B$9,Paramètres!$A$1:$I$88,5,0)</f>
        <v>216.32649999999992</v>
      </c>
      <c r="P31" s="14">
        <f t="shared" si="33"/>
        <v>53.315687873397877</v>
      </c>
      <c r="Q31" s="22">
        <f t="shared" si="2"/>
        <v>469.62681054616775</v>
      </c>
      <c r="R31" s="62">
        <f t="shared" si="0"/>
        <v>762.96014387950106</v>
      </c>
      <c r="S31" s="62">
        <f ca="1">AVERAGE(OFFSET($R$3,0,0,'Données projet'!$E$9+1,1))-AVERAGE(OFFSET($H$3,0,0,'Données projet'!$E$9+1,1))</f>
        <v>181.1076418855364</v>
      </c>
      <c r="T31" s="62">
        <f t="shared" si="34"/>
        <v>478.32590395305829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3.8215891537755176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0.94879797491213558</v>
      </c>
      <c r="AC31" s="24">
        <f t="shared" si="3"/>
        <v>4.7703871286876529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19.824999999999999</v>
      </c>
      <c r="N32" s="14">
        <f>IF('Données projet'!$A$36&gt;35,N31+M32-V31,IF(A32&lt;'Données projet'!$A$36,$K$205^A32,IF(A32='Données projet'!$A$36,'Données projet'!$B$36,N31+M32-V31)))</f>
        <v>381.57499999999987</v>
      </c>
      <c r="O32" s="14">
        <f>N32*VLOOKUP('Données projet'!$B$9,Paramètres!$A$1:$I$88,3,0)*VLOOKUP('Données projet'!$B$9,Paramètres!$A$1:$I$88,5,0)</f>
        <v>228.18184999999997</v>
      </c>
      <c r="P32" s="14">
        <f t="shared" si="33"/>
        <v>55.889373592374362</v>
      </c>
      <c r="Q32" s="22">
        <f t="shared" si="2"/>
        <v>494.75738109005198</v>
      </c>
      <c r="R32" s="62">
        <f t="shared" si="0"/>
        <v>788.09071442338529</v>
      </c>
      <c r="S32" s="62">
        <f ca="1">AVERAGE(OFFSET($R$3,0,0,'Données projet'!$E$9+1,1))-AVERAGE(OFFSET($H$3,0,0,'Données projet'!$E$9+1,1))</f>
        <v>181.1076418855364</v>
      </c>
      <c r="T32" s="62">
        <f t="shared" si="34"/>
        <v>478.32590395305829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3.7466501214092025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0.67090148203643496</v>
      </c>
      <c r="AC32" s="24">
        <f t="shared" si="3"/>
        <v>4.4175516034456379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401.4</v>
      </c>
      <c r="L33" s="13">
        <f>VLOOKUP(A33,'Données projet'!$A$35:$I$55,9,0)</f>
        <v>19.824999999999999</v>
      </c>
      <c r="M33" s="13">
        <f t="array" ref="M33">INDEX(L:L,MIN(IF(ISNUMBER(L33:L229),ROW(L33:L229),"")))</f>
        <v>19.824999999999999</v>
      </c>
      <c r="N33" s="14">
        <f>IF('Données projet'!$A$36&gt;35,N32+M33-V32,IF(A33&lt;'Données projet'!$A$36,$K$205^A33,IF(A33='Données projet'!$A$36,'Données projet'!$B$36,N32+M33-V32)))</f>
        <v>401.39999999999986</v>
      </c>
      <c r="O33" s="14">
        <f>N33*VLOOKUP('Données projet'!$B$9,Paramètres!$A$1:$I$88,3,0)*VLOOKUP('Données projet'!$B$9,Paramètres!$A$1:$I$88,5,0)</f>
        <v>240.03719999999993</v>
      </c>
      <c r="P33" s="14">
        <f t="shared" si="33"/>
        <v>58.447534171232491</v>
      </c>
      <c r="Q33" s="22">
        <f t="shared" si="2"/>
        <v>519.86091201489637</v>
      </c>
      <c r="R33" s="62">
        <f t="shared" si="0"/>
        <v>813.19424534822974</v>
      </c>
      <c r="S33" s="62">
        <f ca="1">AVERAGE(OFFSET($R$3,0,0,'Données projet'!$E$9+1,1))-AVERAGE(OFFSET($H$3,0,0,'Données projet'!$E$9+1,1))</f>
        <v>181.1076418855364</v>
      </c>
      <c r="T33" s="62">
        <f t="shared" si="34"/>
        <v>478.32590395305829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401.4</v>
      </c>
      <c r="W33" s="17">
        <f>IF(ISNA(VLOOKUP(A33,'Données projet'!$A$35:$I$55,5,0)),0%,VLOOKUP(A33,'Données projet'!$A$35:$I$55,5,0)*VLOOKUP('Données projet'!$B$9,Paramètres!$A$1:$I$88,7,0))</f>
        <v>0.36000000000000004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118.30611489892286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54.829973077020036</v>
      </c>
      <c r="AC33" s="24">
        <f t="shared" si="3"/>
        <v>173.1360879759429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-1.1368683772161603E-13</v>
      </c>
      <c r="O34" s="14">
        <f>N34*VLOOKUP('Données projet'!$B$9,Paramètres!$A$1:$I$88,3,0)*VLOOKUP('Données projet'!$B$9,Paramètres!$A$1:$I$88,5,0)</f>
        <v>-6.7984728957526396E-14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181.1076418855364</v>
      </c>
      <c r="T34" s="62">
        <f t="shared" si="34"/>
        <v>478.32590395305829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115.98620414535989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38.770645775036698</v>
      </c>
      <c r="AC34" s="24">
        <f t="shared" si="3"/>
        <v>154.75684992039658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-1.1368683772161603E-13</v>
      </c>
      <c r="O35" s="14">
        <f>N35*VLOOKUP('Données projet'!$B$9,Paramètres!$A$1:$I$88,3,0)*VLOOKUP('Données projet'!$B$9,Paramètres!$A$1:$I$88,5,0)</f>
        <v>-6.7984728957526396E-14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181.1076418855364</v>
      </c>
      <c r="T35" s="62">
        <f t="shared" si="34"/>
        <v>478.32590395305829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113.71178542666847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27.414986538510018</v>
      </c>
      <c r="AC35" s="24">
        <f t="shared" si="3"/>
        <v>141.12677196517848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-1.1368683772161603E-13</v>
      </c>
      <c r="O36" s="14">
        <f>N36*VLOOKUP('Données projet'!$B$9,Paramètres!$A$1:$I$88,3,0)*VLOOKUP('Données projet'!$B$9,Paramètres!$A$1:$I$88,5,0)</f>
        <v>-6.7984728957526396E-14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181.1076418855364</v>
      </c>
      <c r="T36" s="62">
        <f t="shared" si="34"/>
        <v>478.32590395305829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111.48196667179214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19.385322887518349</v>
      </c>
      <c r="AC36" s="24">
        <f t="shared" si="3"/>
        <v>130.86728955931048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-1.1368683772161603E-13</v>
      </c>
      <c r="O37" s="14">
        <f>N37*VLOOKUP('Données projet'!$B$9,Paramètres!$A$1:$I$88,3,0)*VLOOKUP('Données projet'!$B$9,Paramètres!$A$1:$I$88,5,0)</f>
        <v>-6.7984728957526396E-14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181.1076418855364</v>
      </c>
      <c r="T37" s="62">
        <f t="shared" si="34"/>
        <v>478.32590395305829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109.29587330264378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13.707493269255009</v>
      </c>
      <c r="AC37" s="24">
        <f t="shared" si="3"/>
        <v>123.00336657189879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-1.1368683772161603E-13</v>
      </c>
      <c r="O38" s="14">
        <f>N38*VLOOKUP('Données projet'!$B$9,Paramètres!$A$1:$I$88,3,0)*VLOOKUP('Données projet'!$B$9,Paramètres!$A$1:$I$88,5,0)</f>
        <v>-6.7984728957526396E-14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181.1076418855364</v>
      </c>
      <c r="T38" s="62">
        <f t="shared" si="34"/>
        <v>478.32590395305829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107.15264789107914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9.6926614437591745</v>
      </c>
      <c r="AC38" s="24">
        <f t="shared" si="3"/>
        <v>116.84530933483832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-1.1368683772161603E-13</v>
      </c>
      <c r="O39" s="14">
        <f>N39*VLOOKUP('Données projet'!$B$9,Paramètres!$A$1:$I$88,3,0)*VLOOKUP('Données projet'!$B$9,Paramètres!$A$1:$I$88,5,0)</f>
        <v>-6.7984728957526396E-14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181.1076418855364</v>
      </c>
      <c r="T39" s="62">
        <f t="shared" si="34"/>
        <v>478.32590395305829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105.05144982259687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6.8537466346275044</v>
      </c>
      <c r="AC39" s="24">
        <f t="shared" si="3"/>
        <v>111.90519645722436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-1.1368683772161603E-13</v>
      </c>
      <c r="O40" s="14">
        <f>N40*VLOOKUP('Données projet'!$B$9,Paramètres!$A$1:$I$88,3,0)*VLOOKUP('Données projet'!$B$9,Paramètres!$A$1:$I$88,5,0)</f>
        <v>-6.7984728957526396E-14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181.1076418855364</v>
      </c>
      <c r="T40" s="62">
        <f t="shared" si="34"/>
        <v>478.32590395305829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102.99145496663324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4.8463307218795872</v>
      </c>
      <c r="AC40" s="24">
        <f t="shared" si="3"/>
        <v>107.83778568851282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-1.1368683772161603E-13</v>
      </c>
      <c r="O41" s="14">
        <f>N41*VLOOKUP('Données projet'!$B$9,Paramètres!$A$1:$I$88,3,0)*VLOOKUP('Données projet'!$B$9,Paramètres!$A$1:$I$88,5,0)</f>
        <v>-6.7984728957526396E-14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181.1076418855364</v>
      </c>
      <c r="T41" s="62">
        <f t="shared" si="34"/>
        <v>478.32590395305829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100.97185535332227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3.4268733173137522</v>
      </c>
      <c r="AC41" s="24">
        <f t="shared" si="3"/>
        <v>104.39872867063602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-1.1368683772161603E-13</v>
      </c>
      <c r="O42" s="14">
        <f>N42*VLOOKUP('Données projet'!$B$9,Paramètres!$A$1:$I$88,3,0)*VLOOKUP('Données projet'!$B$9,Paramètres!$A$1:$I$88,5,0)</f>
        <v>-6.7984728957526396E-14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181.1076418855364</v>
      </c>
      <c r="T42" s="62">
        <f t="shared" si="34"/>
        <v>478.32590395305829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98.991858856594192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2.4231653609397936</v>
      </c>
      <c r="AC42" s="24">
        <f t="shared" si="3"/>
        <v>101.41502421753398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-1.1368683772161603E-13</v>
      </c>
      <c r="O43" s="14">
        <f>N43*VLOOKUP('Données projet'!$B$9,Paramètres!$A$1:$I$88,3,0)*VLOOKUP('Données projet'!$B$9,Paramètres!$A$1:$I$88,5,0)</f>
        <v>-6.7984728957526396E-14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181.1076418855364</v>
      </c>
      <c r="T43" s="62">
        <f t="shared" si="34"/>
        <v>478.32590395305829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97.050688883488348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1.7134366586568761</v>
      </c>
      <c r="AC43" s="24">
        <f t="shared" si="3"/>
        <v>98.764125542145223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-1.1368683772161603E-13</v>
      </c>
      <c r="O44" s="14">
        <f>N44*VLOOKUP('Données projet'!$B$9,Paramètres!$A$1:$I$88,3,0)*VLOOKUP('Données projet'!$B$9,Paramètres!$A$1:$I$88,5,0)</f>
        <v>-6.7984728957526396E-14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181.1076418855364</v>
      </c>
      <c r="T44" s="62">
        <f t="shared" si="34"/>
        <v>478.32590395305829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95.147584069558334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1.2115826804698968</v>
      </c>
      <c r="AC44" s="24">
        <f t="shared" si="3"/>
        <v>96.359166750028237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-1.1368683772161603E-13</v>
      </c>
      <c r="O45" s="14">
        <f>N45*VLOOKUP('Données projet'!$B$9,Paramètres!$A$1:$I$88,3,0)*VLOOKUP('Données projet'!$B$9,Paramètres!$A$1:$I$88,5,0)</f>
        <v>-6.7984728957526396E-14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181.1076418855364</v>
      </c>
      <c r="T45" s="62">
        <f t="shared" si="34"/>
        <v>478.32590395305829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93.281797980250161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0.85671832932843806</v>
      </c>
      <c r="AC45" s="24">
        <f t="shared" si="3"/>
        <v>94.138516309578606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-1.1368683772161603E-13</v>
      </c>
      <c r="O46" s="14">
        <f>N46*VLOOKUP('Données projet'!$B$9,Paramètres!$A$1:$I$88,3,0)*VLOOKUP('Données projet'!$B$9,Paramètres!$A$1:$I$88,5,0)</f>
        <v>-6.7984728957526396E-14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181.1076418855364</v>
      </c>
      <c r="T46" s="62">
        <f t="shared" si="34"/>
        <v>478.32590395305829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91.452598818136181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0.60579134023494841</v>
      </c>
      <c r="AC46" s="24">
        <f t="shared" si="3"/>
        <v>92.058390158371125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-1.1368683772161603E-13</v>
      </c>
      <c r="O47" s="14">
        <f>N47*VLOOKUP('Données projet'!$B$9,Paramètres!$A$1:$I$88,3,0)*VLOOKUP('Données projet'!$B$9,Paramètres!$A$1:$I$88,5,0)</f>
        <v>-6.7984728957526396E-14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181.1076418855364</v>
      </c>
      <c r="T47" s="62">
        <f t="shared" si="34"/>
        <v>478.32590395305829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89.659269135889929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0.42835916466421903</v>
      </c>
      <c r="AC47" s="24">
        <f t="shared" si="3"/>
        <v>90.087628300554144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-1.1368683772161603E-13</v>
      </c>
      <c r="O48" s="14">
        <f>N48*VLOOKUP('Données projet'!$B$9,Paramètres!$A$1:$I$88,3,0)*VLOOKUP('Données projet'!$B$9,Paramètres!$A$1:$I$88,5,0)</f>
        <v>-6.7984728957526396E-14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181.1076418855364</v>
      </c>
      <c r="T48" s="62">
        <f t="shared" si="34"/>
        <v>478.32590395305829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87.901105554889426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0.3028956701174742</v>
      </c>
      <c r="AC48" s="24">
        <f t="shared" si="3"/>
        <v>88.204001225006905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-1.1368683772161603E-13</v>
      </c>
      <c r="O49" s="14">
        <f>N49*VLOOKUP('Données projet'!$B$9,Paramètres!$A$1:$I$88,3,0)*VLOOKUP('Données projet'!$B$9,Paramètres!$A$1:$I$88,5,0)</f>
        <v>-6.7984728957526396E-14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181.1076418855364</v>
      </c>
      <c r="T49" s="62">
        <f t="shared" si="34"/>
        <v>478.32590395305829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86.17741848933845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0.21417958233210951</v>
      </c>
      <c r="AC49" s="24">
        <f t="shared" si="3"/>
        <v>86.391598071670558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-1.1368683772161603E-13</v>
      </c>
      <c r="O50" s="14">
        <f>N50*VLOOKUP('Données projet'!$B$9,Paramètres!$A$1:$I$88,3,0)*VLOOKUP('Données projet'!$B$9,Paramètres!$A$1:$I$88,5,0)</f>
        <v>-6.7984728957526396E-14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181.1076418855364</v>
      </c>
      <c r="T50" s="62">
        <f t="shared" si="34"/>
        <v>478.32590395305829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84.487531875797629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0.1514478350587371</v>
      </c>
      <c r="AC50" s="24">
        <f t="shared" si="3"/>
        <v>84.638979710856361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-1.1368683772161603E-13</v>
      </c>
      <c r="O51" s="14">
        <f>N51*VLOOKUP('Données projet'!$B$9,Paramètres!$A$1:$I$88,3,0)*VLOOKUP('Données projet'!$B$9,Paramètres!$A$1:$I$88,5,0)</f>
        <v>-6.7984728957526396E-14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181.1076418855364</v>
      </c>
      <c r="T51" s="62">
        <f t="shared" si="34"/>
        <v>478.32590395305829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82.830782908019287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0.10708979116605476</v>
      </c>
      <c r="AC51" s="24">
        <f t="shared" si="3"/>
        <v>82.937872699185348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-1.1368683772161603E-13</v>
      </c>
      <c r="O52" s="14">
        <f>N52*VLOOKUP('Données projet'!$B$9,Paramètres!$A$1:$I$88,3,0)*VLOOKUP('Données projet'!$B$9,Paramètres!$A$1:$I$88,5,0)</f>
        <v>-6.7984728957526396E-14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181.1076418855364</v>
      </c>
      <c r="T52" s="62">
        <f t="shared" si="34"/>
        <v>478.32590395305829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81.206521776981987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7.5723917529368551E-2</v>
      </c>
      <c r="AC52" s="24">
        <f t="shared" si="3"/>
        <v>81.28224569451136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-1.1368683772161603E-13</v>
      </c>
      <c r="O53" s="14">
        <f>N53*VLOOKUP('Données projet'!$B$9,Paramètres!$A$1:$I$88,3,0)*VLOOKUP('Données projet'!$B$9,Paramètres!$A$1:$I$88,5,0)</f>
        <v>-6.7984728957526396E-14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181.1076418855364</v>
      </c>
      <c r="T53" s="62">
        <f t="shared" si="34"/>
        <v>478.32590395305829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79.614111416022865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5.3544895583027378E-2</v>
      </c>
      <c r="AC53" s="24">
        <f t="shared" si="3"/>
        <v>79.667656311605896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-1.1368683772161603E-13</v>
      </c>
      <c r="O54" s="14">
        <f>N54*VLOOKUP('Données projet'!$B$9,Paramètres!$A$1:$I$88,3,0)*VLOOKUP('Données projet'!$B$9,Paramètres!$A$1:$I$88,5,0)</f>
        <v>-6.7984728957526396E-14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181.1076418855364</v>
      </c>
      <c r="T54" s="62">
        <f t="shared" si="34"/>
        <v>478.32590395305829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78.052927250967741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3.7861958764684275E-2</v>
      </c>
      <c r="AC54" s="24">
        <f t="shared" si="3"/>
        <v>78.090789209732421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-1.1368683772161603E-13</v>
      </c>
      <c r="O55" s="14">
        <f>N55*VLOOKUP('Données projet'!$B$9,Paramètres!$A$1:$I$88,3,0)*VLOOKUP('Données projet'!$B$9,Paramètres!$A$1:$I$88,5,0)</f>
        <v>-6.7984728957526396E-14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181.1076418855364</v>
      </c>
      <c r="T55" s="62">
        <f t="shared" si="34"/>
        <v>478.32590395305829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76.52235695516103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2.6772447791513689E-2</v>
      </c>
      <c r="AC55" s="24">
        <f t="shared" si="3"/>
        <v>76.549129402952545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-1.1368683772161603E-13</v>
      </c>
      <c r="O56" s="14">
        <f>N56*VLOOKUP('Données projet'!$B$9,Paramètres!$A$1:$I$88,3,0)*VLOOKUP('Données projet'!$B$9,Paramètres!$A$1:$I$88,5,0)</f>
        <v>-6.7984728957526396E-14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181.1076418855364</v>
      </c>
      <c r="T56" s="62">
        <f t="shared" si="34"/>
        <v>478.32590395305829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75.021800209299386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1.8930979382342138E-2</v>
      </c>
      <c r="AC56" s="24">
        <f t="shared" si="3"/>
        <v>75.040731188681733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-1.1368683772161603E-13</v>
      </c>
      <c r="O57" s="14">
        <f>N57*VLOOKUP('Données projet'!$B$9,Paramètres!$A$1:$I$88,3,0)*VLOOKUP('Données projet'!$B$9,Paramètres!$A$1:$I$88,5,0)</f>
        <v>-6.7984728957526396E-14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181.1076418855364</v>
      </c>
      <c r="T57" s="62">
        <f t="shared" si="34"/>
        <v>478.32590395305829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73.550668465974852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1.3386223895756845E-2</v>
      </c>
      <c r="AC57" s="24">
        <f t="shared" si="3"/>
        <v>73.564054689870602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-1.1368683772161603E-13</v>
      </c>
      <c r="O58" s="14">
        <f>N58*VLOOKUP('Données projet'!$B$9,Paramètres!$A$1:$I$88,3,0)*VLOOKUP('Données projet'!$B$9,Paramètres!$A$1:$I$88,5,0)</f>
        <v>-6.7984728957526396E-14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181.1076418855364</v>
      </c>
      <c r="T58" s="62">
        <f t="shared" si="34"/>
        <v>478.32590395305829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72.10838471883514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9.4654896911710688E-3</v>
      </c>
      <c r="AC58" s="24">
        <f t="shared" si="3"/>
        <v>72.117850208526306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-1.1368683772161603E-13</v>
      </c>
      <c r="O59" s="14">
        <f>N59*VLOOKUP('Données projet'!$B$9,Paramètres!$A$1:$I$88,3,0)*VLOOKUP('Données projet'!$B$9,Paramètres!$A$1:$I$88,5,0)</f>
        <v>-6.7984728957526396E-14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181.1076418855364</v>
      </c>
      <c r="T59" s="62">
        <f t="shared" si="34"/>
        <v>478.32590395305829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70.694383276270628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6.6931119478784223E-3</v>
      </c>
      <c r="AC59" s="24">
        <f t="shared" si="3"/>
        <v>70.70107638821851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-1.1368683772161603E-13</v>
      </c>
      <c r="O60" s="14">
        <f>N60*VLOOKUP('Données projet'!$B$9,Paramètres!$A$1:$I$88,3,0)*VLOOKUP('Données projet'!$B$9,Paramètres!$A$1:$I$88,5,0)</f>
        <v>-6.7984728957526396E-14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181.1076418855364</v>
      </c>
      <c r="T60" s="62">
        <f t="shared" si="34"/>
        <v>478.32590395305829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69.308109539539075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4.7327448455855344E-3</v>
      </c>
      <c r="AC60" s="24">
        <f t="shared" si="3"/>
        <v>69.312842284384658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-1.1368683772161603E-13</v>
      </c>
      <c r="O61" s="14">
        <f>N61*VLOOKUP('Données projet'!$B$9,Paramètres!$A$1:$I$88,3,0)*VLOOKUP('Données projet'!$B$9,Paramètres!$A$1:$I$88,5,0)</f>
        <v>-6.7984728957526396E-14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181.1076418855364</v>
      </c>
      <c r="T61" s="62">
        <f t="shared" si="34"/>
        <v>478.32590395305829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67.949019785241347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3.3465559739392112E-3</v>
      </c>
      <c r="AC61" s="24">
        <f t="shared" si="3"/>
        <v>67.952366341215281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-1.1368683772161603E-13</v>
      </c>
      <c r="O62" s="14">
        <f>N62*VLOOKUP('Données projet'!$B$9,Paramètres!$A$1:$I$88,3,0)*VLOOKUP('Données projet'!$B$9,Paramètres!$A$1:$I$88,5,0)</f>
        <v>-6.7984728957526396E-14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181.1076418855364</v>
      </c>
      <c r="T62" s="62">
        <f t="shared" si="34"/>
        <v>478.32590395305829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66.616580952062492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2.3663724227927672E-3</v>
      </c>
      <c r="AC62" s="24">
        <f t="shared" si="3"/>
        <v>66.618947324485291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-1.1368683772161603E-13</v>
      </c>
      <c r="O63" s="14">
        <f>N63*VLOOKUP('Données projet'!$B$9,Paramètres!$A$1:$I$88,3,0)*VLOOKUP('Données projet'!$B$9,Paramètres!$A$1:$I$88,5,0)</f>
        <v>-6.7984728957526396E-14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181.1076418855364</v>
      </c>
      <c r="T63" s="62">
        <f t="shared" si="34"/>
        <v>478.32590395305829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65.310270431694846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1.6732779869696056E-3</v>
      </c>
      <c r="AC63" s="24">
        <f t="shared" si="3"/>
        <v>65.311943709681813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projet'!$B$9,Paramètres!$A$1:$I$88,3,0)*VLOOKUP('Données projet'!$B$9,Paramètres!$A$1:$I$88,5,0)</f>
        <v>-6.7984728957526396E-14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181.1076418855364</v>
      </c>
      <c r="T64" s="62">
        <f t="shared" si="34"/>
        <v>478.32590395305829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64.029575863860856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1.1831862113963836E-3</v>
      </c>
      <c r="AC64" s="24">
        <f t="shared" si="3"/>
        <v>64.030759050072248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projet'!$B$9,Paramètres!$A$1:$I$88,3,0)*VLOOKUP('Données projet'!$B$9,Paramètres!$A$1:$I$88,5,0)</f>
        <v>-6.7984728957526396E-14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181.1076418855364</v>
      </c>
      <c r="T65" s="62">
        <f t="shared" si="34"/>
        <v>478.32590395305829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62.773994935355539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8.3663899348480279E-4</v>
      </c>
      <c r="AC65" s="24">
        <f t="shared" si="3"/>
        <v>62.774831574349022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projet'!$B$9,Paramètres!$A$1:$I$88,3,0)*VLOOKUP('Données projet'!$B$9,Paramètres!$A$1:$I$88,5,0)</f>
        <v>-6.7984728957526396E-14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181.1076418855364</v>
      </c>
      <c r="T66" s="62">
        <f t="shared" si="34"/>
        <v>478.32590395305829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61.543035183029467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5.915931056981918E-4</v>
      </c>
      <c r="AC66" s="24">
        <f t="shared" si="3"/>
        <v>61.543626776135163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projet'!$B$9,Paramètres!$A$1:$I$88,3,0)*VLOOKUP('Données projet'!$B$9,Paramètres!$A$1:$I$88,5,0)</f>
        <v>-6.7984728957526396E-14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181.1076418855364</v>
      </c>
      <c r="T67" s="62">
        <f t="shared" si="34"/>
        <v>478.32590395305829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60.336213800635193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4.1831949674240139E-4</v>
      </c>
      <c r="AC67" s="24">
        <f t="shared" si="3"/>
        <v>60.336632120131938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projet'!$B$9,Paramètres!$A$1:$I$88,3,0)*VLOOKUP('Données projet'!$B$9,Paramètres!$A$1:$I$88,5,0)</f>
        <v>-6.7984728957526396E-14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181.1076418855364</v>
      </c>
      <c r="T68" s="62">
        <f t="shared" si="34"/>
        <v>478.32590395305829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59.153057449461315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2.957965528490959E-4</v>
      </c>
      <c r="AC68" s="24">
        <f t="shared" ref="AC68:AC131" si="57">SUM(Z68:AB68)</f>
        <v>59.153353246014163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projet'!$B$9,Paramètres!$A$1:$I$88,3,0)*VLOOKUP('Données projet'!$B$9,Paramètres!$A$1:$I$88,5,0)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181.1076418855364</v>
      </c>
      <c r="T69" s="62">
        <f t="shared" ref="T69:T132" si="88">$T$3</f>
        <v>478.32590395305829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57.993102072679839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2.091597483712007E-4</v>
      </c>
      <c r="AC69" s="24">
        <f t="shared" si="57"/>
        <v>57.993311232428212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projet'!$B$9,Paramètres!$A$1:$I$88,3,0)*VLOOKUP('Données projet'!$B$9,Paramètres!$A$1:$I$88,5,0)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181.1076418855364</v>
      </c>
      <c r="T70" s="62">
        <f t="shared" si="88"/>
        <v>478.32590395305829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56.855892713334129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1.4789827642454795E-4</v>
      </c>
      <c r="AC70" s="24">
        <f t="shared" si="57"/>
        <v>56.856040611610553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projet'!$B$9,Paramètres!$A$1:$I$88,3,0)*VLOOKUP('Données projet'!$B$9,Paramètres!$A$1:$I$88,5,0)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181.1076418855364</v>
      </c>
      <c r="T71" s="62">
        <f t="shared" si="88"/>
        <v>478.32590395305829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55.740983335895969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1.0457987418560035E-4</v>
      </c>
      <c r="AC71" s="24">
        <f t="shared" si="57"/>
        <v>55.741087915770152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projet'!$B$9,Paramètres!$A$1:$I$88,3,0)*VLOOKUP('Données projet'!$B$9,Paramètres!$A$1:$I$88,5,0)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181.1076418855364</v>
      </c>
      <c r="T72" s="62">
        <f t="shared" si="88"/>
        <v>478.32590395305829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54.6479366513218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7.3949138212273975E-5</v>
      </c>
      <c r="AC72" s="24">
        <f t="shared" si="57"/>
        <v>54.648010600460012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projet'!$B$9,Paramètres!$A$1:$I$88,3,0)*VLOOKUP('Données projet'!$B$9,Paramètres!$A$1:$I$88,5,0)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181.1076418855364</v>
      </c>
      <c r="T73" s="62">
        <f t="shared" si="88"/>
        <v>478.32590395305829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53.576323945539478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5.2289937092800174E-5</v>
      </c>
      <c r="AC73" s="24">
        <f t="shared" si="57"/>
        <v>53.576376235476573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projet'!$B$9,Paramètres!$A$1:$I$88,3,0)*VLOOKUP('Données projet'!$B$9,Paramètres!$A$1:$I$88,5,0)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181.1076418855364</v>
      </c>
      <c r="T74" s="62">
        <f t="shared" si="88"/>
        <v>478.32590395305829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52.52572491129834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3.6974569106136988E-5</v>
      </c>
      <c r="AC74" s="24">
        <f t="shared" si="57"/>
        <v>52.525761885867446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projet'!$B$9,Paramètres!$A$1:$I$88,3,0)*VLOOKUP('Données projet'!$B$9,Paramètres!$A$1:$I$88,5,0)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181.1076418855364</v>
      </c>
      <c r="T75" s="62">
        <f t="shared" si="88"/>
        <v>478.32590395305829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51.495727483316536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2.6144968546400087E-5</v>
      </c>
      <c r="AC75" s="24">
        <f t="shared" si="57"/>
        <v>51.49575362828508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projet'!$B$9,Paramètres!$A$1:$I$88,3,0)*VLOOKUP('Données projet'!$B$9,Paramètres!$A$1:$I$88,5,0)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181.1076418855364</v>
      </c>
      <c r="T76" s="62">
        <f t="shared" si="88"/>
        <v>478.32590395305829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50.485927676661056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1.8487284553068494E-5</v>
      </c>
      <c r="AC76" s="24">
        <f t="shared" si="57"/>
        <v>50.485946163945613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projet'!$B$9,Paramètres!$A$1:$I$88,3,0)*VLOOKUP('Données projet'!$B$9,Paramètres!$A$1:$I$88,5,0)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181.1076418855364</v>
      </c>
      <c r="T77" s="62">
        <f t="shared" si="88"/>
        <v>478.32590395305829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49.495929428297025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1.3072484273200044E-5</v>
      </c>
      <c r="AC77" s="24">
        <f t="shared" si="57"/>
        <v>49.495942500781297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projet'!$B$9,Paramètres!$A$1:$I$88,3,0)*VLOOKUP('Données projet'!$B$9,Paramètres!$A$1:$I$88,5,0)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181.1076418855364</v>
      </c>
      <c r="T78" s="62">
        <f t="shared" si="88"/>
        <v>478.32590395305829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48.525344441744103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9.2436422765342469E-6</v>
      </c>
      <c r="AC78" s="24">
        <f t="shared" si="57"/>
        <v>48.525353685386378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projet'!$B$9,Paramètres!$A$1:$I$88,3,0)*VLOOKUP('Données projet'!$B$9,Paramètres!$A$1:$I$88,5,0)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181.1076418855364</v>
      </c>
      <c r="T79" s="62">
        <f t="shared" si="88"/>
        <v>478.32590395305829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47.573792034779096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6.5362421366000218E-6</v>
      </c>
      <c r="AC79" s="24">
        <f t="shared" si="57"/>
        <v>47.573798571021236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projet'!$B$9,Paramètres!$A$1:$I$88,3,0)*VLOOKUP('Données projet'!$B$9,Paramètres!$A$1:$I$88,5,0)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181.1076418855364</v>
      </c>
      <c r="T80" s="62">
        <f t="shared" si="88"/>
        <v>478.32590395305829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46.640898990125017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4.6218211382671235E-6</v>
      </c>
      <c r="AC80" s="24">
        <f t="shared" si="57"/>
        <v>46.640903611946158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projet'!$B$9,Paramètres!$A$1:$I$88,3,0)*VLOOKUP('Données projet'!$B$9,Paramètres!$A$1:$I$88,5,0)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181.1076418855364</v>
      </c>
      <c r="T81" s="62">
        <f t="shared" si="88"/>
        <v>478.32590395305829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45.726299409068027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3.2681210683000109E-6</v>
      </c>
      <c r="AC81" s="24">
        <f t="shared" si="57"/>
        <v>45.726302677189096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projet'!$B$9,Paramètres!$A$1:$I$88,3,0)*VLOOKUP('Données projet'!$B$9,Paramètres!$A$1:$I$88,5,0)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181.1076418855364</v>
      </c>
      <c r="T82" s="62">
        <f t="shared" si="88"/>
        <v>478.32590395305829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44.829634567944908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2.3109105691335617E-6</v>
      </c>
      <c r="AC82" s="24">
        <f t="shared" si="57"/>
        <v>44.829636878855474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projet'!$B$9,Paramètres!$A$1:$I$88,3,0)*VLOOKUP('Données projet'!$B$9,Paramètres!$A$1:$I$88,5,0)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181.1076418855364</v>
      </c>
      <c r="T83" s="62">
        <f t="shared" si="88"/>
        <v>478.32590395305829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43.950552777444663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1.6340605341500054E-6</v>
      </c>
      <c r="AC83" s="24">
        <f t="shared" si="57"/>
        <v>43.950554411505195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projet'!$B$9,Paramètres!$A$1:$I$88,3,0)*VLOOKUP('Données projet'!$B$9,Paramètres!$A$1:$I$88,5,0)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181.1076418855364</v>
      </c>
      <c r="T84" s="62">
        <f t="shared" si="88"/>
        <v>478.32590395305829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43.088709244669175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1.1554552845667809E-6</v>
      </c>
      <c r="AC84" s="24">
        <f t="shared" si="57"/>
        <v>43.088710400124462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projet'!$B$9,Paramètres!$A$1:$I$88,3,0)*VLOOKUP('Données projet'!$B$9,Paramètres!$A$1:$I$88,5,0)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181.1076418855364</v>
      </c>
      <c r="T85" s="62">
        <f t="shared" si="88"/>
        <v>478.32590395305829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42.243765937898765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8.1703026707500272E-7</v>
      </c>
      <c r="AC85" s="24">
        <f t="shared" si="57"/>
        <v>42.243766754929034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projet'!$B$9,Paramètres!$A$1:$I$88,3,0)*VLOOKUP('Données projet'!$B$9,Paramètres!$A$1:$I$88,5,0)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181.1076418855364</v>
      </c>
      <c r="T86" s="62">
        <f t="shared" si="88"/>
        <v>478.32590395305829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41.415391454009594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5.7772764228339043E-7</v>
      </c>
      <c r="AC86" s="24">
        <f t="shared" si="57"/>
        <v>41.415392031737234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projet'!$B$9,Paramètres!$A$1:$I$88,3,0)*VLOOKUP('Données projet'!$B$9,Paramètres!$A$1:$I$88,5,0)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181.1076418855364</v>
      </c>
      <c r="T87" s="62">
        <f t="shared" si="88"/>
        <v>478.32590395305829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40.603260888490944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4.0851513353750136E-7</v>
      </c>
      <c r="AC87" s="24">
        <f t="shared" si="57"/>
        <v>40.603261297006078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projet'!$B$9,Paramètres!$A$1:$I$88,3,0)*VLOOKUP('Données projet'!$B$9,Paramètres!$A$1:$I$88,5,0)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181.1076418855364</v>
      </c>
      <c r="T88" s="62">
        <f t="shared" si="88"/>
        <v>478.32590395305829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39.807055708011383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2.8886382114169522E-7</v>
      </c>
      <c r="AC88" s="24">
        <f t="shared" si="57"/>
        <v>39.807055996875206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projet'!$B$9,Paramètres!$A$1:$I$88,3,0)*VLOOKUP('Données projet'!$B$9,Paramètres!$A$1:$I$88,5,0)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181.1076418855364</v>
      </c>
      <c r="T89" s="62">
        <f t="shared" si="88"/>
        <v>478.32590395305829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39.026463625483821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2.0425756676875068E-7</v>
      </c>
      <c r="AC89" s="24">
        <f t="shared" si="57"/>
        <v>39.026463829741388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projet'!$B$9,Paramètres!$A$1:$I$88,3,0)*VLOOKUP('Données projet'!$B$9,Paramètres!$A$1:$I$88,5,0)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181.1076418855364</v>
      </c>
      <c r="T90" s="62">
        <f t="shared" si="88"/>
        <v>478.32590395305829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38.261178477580465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1.4443191057084761E-7</v>
      </c>
      <c r="AC90" s="24">
        <f t="shared" si="57"/>
        <v>38.261178622012373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projet'!$B$9,Paramètres!$A$1:$I$88,3,0)*VLOOKUP('Données projet'!$B$9,Paramètres!$A$1:$I$88,5,0)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181.1076418855364</v>
      </c>
      <c r="T91" s="62">
        <f t="shared" si="88"/>
        <v>478.32590395305829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37.510900104649643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1.0212878338437534E-7</v>
      </c>
      <c r="AC91" s="24">
        <f t="shared" si="57"/>
        <v>37.510900206778423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projet'!$B$9,Paramètres!$A$1:$I$88,3,0)*VLOOKUP('Données projet'!$B$9,Paramètres!$A$1:$I$88,5,0)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181.1076418855364</v>
      </c>
      <c r="T92" s="62">
        <f t="shared" si="88"/>
        <v>478.32590395305829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36.775334232987376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7.2215955285423804E-8</v>
      </c>
      <c r="AC92" s="24">
        <f t="shared" si="57"/>
        <v>36.77533430520333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projet'!$B$9,Paramètres!$A$1:$I$88,3,0)*VLOOKUP('Données projet'!$B$9,Paramètres!$A$1:$I$88,5,0)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181.1076418855364</v>
      </c>
      <c r="T93" s="62">
        <f t="shared" si="88"/>
        <v>478.32590395305829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36.054192359417527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5.106439169218767E-8</v>
      </c>
      <c r="AC93" s="24">
        <f t="shared" si="57"/>
        <v>36.054192410481917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projet'!$B$9,Paramètres!$A$1:$I$88,3,0)*VLOOKUP('Données projet'!$B$9,Paramètres!$A$1:$I$88,5,0)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181.1076418855364</v>
      </c>
      <c r="T94" s="62">
        <f t="shared" si="88"/>
        <v>478.32590395305829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35.347191638135271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3.6107977642711902E-8</v>
      </c>
      <c r="AC94" s="24">
        <f t="shared" si="57"/>
        <v>35.347191674243248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projet'!$B$9,Paramètres!$A$1:$I$88,3,0)*VLOOKUP('Données projet'!$B$9,Paramètres!$A$1:$I$88,5,0)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181.1076418855364</v>
      </c>
      <c r="T95" s="62">
        <f t="shared" si="88"/>
        <v>478.32590395305829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34.654054769769502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2.5532195846093835E-8</v>
      </c>
      <c r="AC95" s="24">
        <f t="shared" si="57"/>
        <v>34.654054795301697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projet'!$B$9,Paramètres!$A$1:$I$88,3,0)*VLOOKUP('Données projet'!$B$9,Paramètres!$A$1:$I$88,5,0)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181.1076418855364</v>
      </c>
      <c r="T96" s="62">
        <f t="shared" si="88"/>
        <v>478.32590395305829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33.974509892620638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1.8053988821355951E-8</v>
      </c>
      <c r="AC96" s="24">
        <f t="shared" si="57"/>
        <v>33.974509910674627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projet'!$B$9,Paramètres!$A$1:$I$88,3,0)*VLOOKUP('Données projet'!$B$9,Paramètres!$A$1:$I$88,5,0)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181.1076418855364</v>
      </c>
      <c r="T97" s="62">
        <f t="shared" si="88"/>
        <v>478.32590395305829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33.308290476031218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1.2766097923046918E-8</v>
      </c>
      <c r="AC97" s="24">
        <f t="shared" si="57"/>
        <v>33.308290488797319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projet'!$B$9,Paramètres!$A$1:$I$88,3,0)*VLOOKUP('Données projet'!$B$9,Paramètres!$A$1:$I$88,5,0)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181.1076418855364</v>
      </c>
      <c r="T98" s="62">
        <f t="shared" si="88"/>
        <v>478.32590395305829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32.655135215847395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9.0269944106779755E-9</v>
      </c>
      <c r="AC98" s="24">
        <f t="shared" si="57"/>
        <v>32.655135224874392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projet'!$B$9,Paramètres!$A$1:$I$88,3,0)*VLOOKUP('Données projet'!$B$9,Paramètres!$A$1:$I$88,5,0)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181.1076418855364</v>
      </c>
      <c r="T99" s="62">
        <f t="shared" si="88"/>
        <v>478.32590395305829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32.0147879319304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6.3830489615234588E-9</v>
      </c>
      <c r="AC99" s="24">
        <f t="shared" si="57"/>
        <v>32.014787938313447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projet'!$B$9,Paramètres!$A$1:$I$88,3,0)*VLOOKUP('Données projet'!$B$9,Paramètres!$A$1:$I$88,5,0)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181.1076418855364</v>
      </c>
      <c r="T100" s="62">
        <f t="shared" si="88"/>
        <v>478.32590395305829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31.386997467677741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4.5134972053389877E-9</v>
      </c>
      <c r="AC100" s="24">
        <f t="shared" si="57"/>
        <v>31.38699747219124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projet'!$B$9,Paramètres!$A$1:$I$88,3,0)*VLOOKUP('Données projet'!$B$9,Paramètres!$A$1:$I$88,5,0)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181.1076418855364</v>
      </c>
      <c r="T101" s="62">
        <f t="shared" si="88"/>
        <v>478.32590395305829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30.771517591514705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3.1915244807617294E-9</v>
      </c>
      <c r="AC101" s="24">
        <f t="shared" si="57"/>
        <v>30.771517594706228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projet'!$B$9,Paramètres!$A$1:$I$88,3,0)*VLOOKUP('Données projet'!$B$9,Paramètres!$A$1:$I$88,5,0)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181.1076418855364</v>
      </c>
      <c r="T102" s="62">
        <f t="shared" si="88"/>
        <v>478.32590395305829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30.168106900317571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2.2567486026694939E-9</v>
      </c>
      <c r="AC102" s="24">
        <f t="shared" si="57"/>
        <v>30.168106902574319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projet'!$B$9,Paramètres!$A$1:$I$88,3,0)*VLOOKUP('Données projet'!$B$9,Paramètres!$A$1:$I$88,5,0)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181.1076418855364</v>
      </c>
      <c r="T103" s="62">
        <f t="shared" si="88"/>
        <v>478.32590395305829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29.576528724730633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1.5957622403808647E-9</v>
      </c>
      <c r="AC103" s="24">
        <f t="shared" si="57"/>
        <v>29.576528726326394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projet'!$B$9,Paramètres!$A$1:$I$88,3,0)*VLOOKUP('Données projet'!$B$9,Paramètres!$A$1:$I$88,5,0)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181.1076418855364</v>
      </c>
      <c r="T104" s="62">
        <f t="shared" si="88"/>
        <v>478.32590395305829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28.996551036339895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1.1283743013347469E-9</v>
      </c>
      <c r="AC104" s="24">
        <f t="shared" si="57"/>
        <v>28.996551037468269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projet'!$B$9,Paramètres!$A$1:$I$88,3,0)*VLOOKUP('Données projet'!$B$9,Paramètres!$A$1:$I$88,5,0)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181.1076418855364</v>
      </c>
      <c r="T105" s="62">
        <f t="shared" si="88"/>
        <v>478.32590395305829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28.427946356667039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7.9788112019043235E-10</v>
      </c>
      <c r="AC105" s="24">
        <f t="shared" si="57"/>
        <v>28.427946357464922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projet'!$B$9,Paramètres!$A$1:$I$88,3,0)*VLOOKUP('Données projet'!$B$9,Paramètres!$A$1:$I$88,5,0)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181.1076418855364</v>
      </c>
      <c r="T106" s="62">
        <f t="shared" si="88"/>
        <v>478.32590395305829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27.87049166794796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5.6418715066737347E-10</v>
      </c>
      <c r="AC106" s="24">
        <f t="shared" si="57"/>
        <v>27.870491668512148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projet'!$B$9,Paramètres!$A$1:$I$88,3,0)*VLOOKUP('Données projet'!$B$9,Paramètres!$A$1:$I$88,5,0)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181.1076418855364</v>
      </c>
      <c r="T107" s="62">
        <f t="shared" si="88"/>
        <v>478.32590395305829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27.323968325660875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3.9894056009521617E-10</v>
      </c>
      <c r="AC107" s="24">
        <f t="shared" si="57"/>
        <v>27.323968326059816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projet'!$B$9,Paramètres!$A$1:$I$88,3,0)*VLOOKUP('Données projet'!$B$9,Paramètres!$A$1:$I$88,5,0)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181.1076418855364</v>
      </c>
      <c r="T108" s="62">
        <f t="shared" si="88"/>
        <v>478.32590395305829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26.788161972769714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2.8209357533368673E-10</v>
      </c>
      <c r="AC108" s="24">
        <f t="shared" si="57"/>
        <v>26.788161973051807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projet'!$B$9,Paramètres!$A$1:$I$88,3,0)*VLOOKUP('Données projet'!$B$9,Paramètres!$A$1:$I$88,5,0)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181.1076418855364</v>
      </c>
      <c r="T109" s="62">
        <f t="shared" si="88"/>
        <v>478.32590395305829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26.262862455649145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1.9947028004760809E-10</v>
      </c>
      <c r="AC109" s="24">
        <f t="shared" si="57"/>
        <v>26.262862455848616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projet'!$B$9,Paramètres!$A$1:$I$88,3,0)*VLOOKUP('Données projet'!$B$9,Paramètres!$A$1:$I$88,5,0)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181.1076418855364</v>
      </c>
      <c r="T110" s="62">
        <f t="shared" si="88"/>
        <v>478.32590395305829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25.747863741658243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1.4104678766684337E-10</v>
      </c>
      <c r="AC110" s="24">
        <f t="shared" si="57"/>
        <v>25.747863741799289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projet'!$B$9,Paramètres!$A$1:$I$88,3,0)*VLOOKUP('Données projet'!$B$9,Paramètres!$A$1:$I$88,5,0)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181.1076418855364</v>
      </c>
      <c r="T111" s="62">
        <f t="shared" si="88"/>
        <v>478.32590395305829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25.242963838330503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9.9735140023804043E-11</v>
      </c>
      <c r="AC111" s="24">
        <f t="shared" si="57"/>
        <v>25.242963838430239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projet'!$B$9,Paramètres!$A$1:$I$88,3,0)*VLOOKUP('Données projet'!$B$9,Paramètres!$A$1:$I$88,5,0)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181.1076418855364</v>
      </c>
      <c r="T112" s="62">
        <f t="shared" si="88"/>
        <v>478.32590395305829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24.747964714148488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7.0523393833421684E-11</v>
      </c>
      <c r="AC112" s="24">
        <f t="shared" si="57"/>
        <v>24.747964714219012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projet'!$B$9,Paramètres!$A$1:$I$88,3,0)*VLOOKUP('Données projet'!$B$9,Paramètres!$A$1:$I$88,5,0)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181.1076418855364</v>
      </c>
      <c r="T113" s="62">
        <f t="shared" si="88"/>
        <v>478.32590395305829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24.262672220872027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4.9867570011902022E-11</v>
      </c>
      <c r="AC113" s="24">
        <f t="shared" si="57"/>
        <v>24.262672220921893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projet'!$B$9,Paramètres!$A$1:$I$88,3,0)*VLOOKUP('Données projet'!$B$9,Paramètres!$A$1:$I$88,5,0)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181.1076418855364</v>
      </c>
      <c r="T114" s="62">
        <f t="shared" si="88"/>
        <v>478.32590395305829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23.786896017389523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3.5261696916710842E-11</v>
      </c>
      <c r="AC114" s="24">
        <f t="shared" si="57"/>
        <v>23.786896017424784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projet'!$B$9,Paramètres!$A$1:$I$88,3,0)*VLOOKUP('Données projet'!$B$9,Paramètres!$A$1:$I$88,5,0)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181.1076418855364</v>
      </c>
      <c r="T115" s="62">
        <f t="shared" si="88"/>
        <v>478.32590395305829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23.320449495062483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2.4933785005951011E-11</v>
      </c>
      <c r="AC115" s="24">
        <f t="shared" si="57"/>
        <v>23.320449495087416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projet'!$B$9,Paramètres!$A$1:$I$88,3,0)*VLOOKUP('Données projet'!$B$9,Paramètres!$A$1:$I$88,5,0)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181.1076418855364</v>
      </c>
      <c r="T116" s="62">
        <f t="shared" si="88"/>
        <v>478.32590395305829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22.863149704533988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1.7630848458355421E-11</v>
      </c>
      <c r="AC116" s="24">
        <f t="shared" si="57"/>
        <v>22.863149704551621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projet'!$B$9,Paramètres!$A$1:$I$88,3,0)*VLOOKUP('Données projet'!$B$9,Paramètres!$A$1:$I$88,5,0)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181.1076418855364</v>
      </c>
      <c r="T117" s="62">
        <f t="shared" si="88"/>
        <v>478.32590395305829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22.414817283972429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1.2466892502975505E-11</v>
      </c>
      <c r="AC117" s="24">
        <f t="shared" si="57"/>
        <v>22.414817283984895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projet'!$B$9,Paramètres!$A$1:$I$88,3,0)*VLOOKUP('Données projet'!$B$9,Paramètres!$A$1:$I$88,5,0)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181.1076418855364</v>
      </c>
      <c r="T118" s="62">
        <f t="shared" si="88"/>
        <v>478.32590395305829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21.975276388722307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8.8154242291777104E-12</v>
      </c>
      <c r="AC118" s="24">
        <f t="shared" si="57"/>
        <v>21.975276388731121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projet'!$B$9,Paramètres!$A$1:$I$88,3,0)*VLOOKUP('Données projet'!$B$9,Paramètres!$A$1:$I$88,5,0)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181.1076418855364</v>
      </c>
      <c r="T119" s="62">
        <f t="shared" si="88"/>
        <v>478.32590395305829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21.544354622334563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6.2334462514877527E-12</v>
      </c>
      <c r="AC119" s="24">
        <f t="shared" si="57"/>
        <v>21.544354622340798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projet'!$B$9,Paramètres!$A$1:$I$88,3,0)*VLOOKUP('Données projet'!$B$9,Paramètres!$A$1:$I$88,5,0)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181.1076418855364</v>
      </c>
      <c r="T120" s="62">
        <f t="shared" si="88"/>
        <v>478.32590395305829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21.121882968949361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4.4077121145888552E-12</v>
      </c>
      <c r="AC120" s="24">
        <f t="shared" si="57"/>
        <v>21.12188296895377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projet'!$B$9,Paramètres!$A$1:$I$88,3,0)*VLOOKUP('Données projet'!$B$9,Paramètres!$A$1:$I$88,5,0)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181.1076418855364</v>
      </c>
      <c r="T121" s="62">
        <f t="shared" si="88"/>
        <v>478.32590395305829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20.707695727004776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3.1167231257438764E-12</v>
      </c>
      <c r="AC121" s="24">
        <f t="shared" si="57"/>
        <v>20.707695727007891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projet'!$B$9,Paramètres!$A$1:$I$88,3,0)*VLOOKUP('Données projet'!$B$9,Paramètres!$A$1:$I$88,5,0)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181.1076418855364</v>
      </c>
      <c r="T122" s="62">
        <f t="shared" si="88"/>
        <v>478.32590395305829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20.301630444245454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2.2038560572944276E-12</v>
      </c>
      <c r="AC122" s="24">
        <f t="shared" si="57"/>
        <v>20.301630444247657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projet'!$B$9,Paramètres!$A$1:$I$88,3,0)*VLOOKUP('Données projet'!$B$9,Paramètres!$A$1:$I$88,5,0)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181.1076418855364</v>
      </c>
      <c r="T123" s="62">
        <f t="shared" si="88"/>
        <v>478.32590395305829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19.903527854005674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1.5583615628719382E-12</v>
      </c>
      <c r="AC123" s="24">
        <f t="shared" si="57"/>
        <v>19.903527854007233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projet'!$B$9,Paramètres!$A$1:$I$88,3,0)*VLOOKUP('Données projet'!$B$9,Paramètres!$A$1:$I$88,5,0)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181.1076418855364</v>
      </c>
      <c r="T124" s="62">
        <f t="shared" si="88"/>
        <v>478.32590395305829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19.513231812741893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1.1019280286472138E-12</v>
      </c>
      <c r="AC124" s="24">
        <f t="shared" si="57"/>
        <v>19.513231812742994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projet'!$B$9,Paramètres!$A$1:$I$88,3,0)*VLOOKUP('Données projet'!$B$9,Paramètres!$A$1:$I$88,5,0)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181.1076418855364</v>
      </c>
      <c r="T125" s="62">
        <f t="shared" si="88"/>
        <v>478.32590395305829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19.130589238790215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7.7918078143596909E-13</v>
      </c>
      <c r="AC125" s="24">
        <f t="shared" si="57"/>
        <v>19.130589238790993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projet'!$B$9,Paramètres!$A$1:$I$88,3,0)*VLOOKUP('Données projet'!$B$9,Paramètres!$A$1:$I$88,5,0)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181.1076418855364</v>
      </c>
      <c r="T126" s="62">
        <f t="shared" si="88"/>
        <v>478.32590395305829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18.755450052324804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5.509640143236069E-13</v>
      </c>
      <c r="AC126" s="24">
        <f t="shared" si="57"/>
        <v>18.755450052325354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projet'!$B$9,Paramètres!$A$1:$I$88,3,0)*VLOOKUP('Données projet'!$B$9,Paramètres!$A$1:$I$88,5,0)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181.1076418855364</v>
      </c>
      <c r="T127" s="62">
        <f t="shared" si="88"/>
        <v>478.32590395305829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18.38766711649367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3.8959039071798454E-13</v>
      </c>
      <c r="AC127" s="24">
        <f t="shared" si="57"/>
        <v>18.387667116494061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projet'!$B$9,Paramètres!$A$1:$I$88,3,0)*VLOOKUP('Données projet'!$B$9,Paramètres!$A$1:$I$88,5,0)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181.1076418855364</v>
      </c>
      <c r="T128" s="62">
        <f t="shared" si="88"/>
        <v>478.32590395305829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18.027096179708746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2.7548200716180345E-13</v>
      </c>
      <c r="AC128" s="24">
        <f t="shared" si="57"/>
        <v>18.027096179709023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projet'!$B$9,Paramètres!$A$1:$I$88,3,0)*VLOOKUP('Données projet'!$B$9,Paramètres!$A$1:$I$88,5,0)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181.1076418855364</v>
      </c>
      <c r="T129" s="62">
        <f t="shared" si="88"/>
        <v>478.32590395305829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17.673595819067618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1.9479519535899227E-13</v>
      </c>
      <c r="AC129" s="24">
        <f t="shared" si="57"/>
        <v>17.673595819067813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projet'!$B$9,Paramètres!$A$1:$I$88,3,0)*VLOOKUP('Données projet'!$B$9,Paramètres!$A$1:$I$88,5,0)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181.1076418855364</v>
      </c>
      <c r="T130" s="62">
        <f t="shared" si="88"/>
        <v>478.32590395305829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17.327027384884733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1.3774100358090173E-13</v>
      </c>
      <c r="AC130" s="24">
        <f t="shared" si="57"/>
        <v>17.327027384884872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projet'!$B$9,Paramètres!$A$1:$I$88,3,0)*VLOOKUP('Données projet'!$B$9,Paramètres!$A$1:$I$88,5,0)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181.1076418855364</v>
      </c>
      <c r="T131" s="62">
        <f t="shared" si="88"/>
        <v>478.32590395305829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16.987254946310301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9.7397597679496136E-14</v>
      </c>
      <c r="AC131" s="24">
        <f t="shared" si="57"/>
        <v>16.987254946310397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projet'!$B$9,Paramètres!$A$1:$I$88,3,0)*VLOOKUP('Données projet'!$B$9,Paramètres!$A$1:$I$88,5,0)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181.1076418855364</v>
      </c>
      <c r="T132" s="62">
        <f t="shared" si="88"/>
        <v>478.32590395305829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16.654145238015591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6.8870501790450863E-14</v>
      </c>
      <c r="AC132" s="24">
        <f t="shared" ref="AC132:AC153" si="111">SUM(Z132:AB132)</f>
        <v>16.654145238015658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projet'!$B$9,Paramètres!$A$1:$I$88,3,0)*VLOOKUP('Données projet'!$B$9,Paramètres!$A$1:$I$88,5,0)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181.1076418855364</v>
      </c>
      <c r="T133" s="62">
        <f t="shared" ref="T133:T196" si="142">$T$3</f>
        <v>478.32590395305829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16.32756760792368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4.8698798839748068E-14</v>
      </c>
      <c r="AC133" s="24">
        <f t="shared" si="111"/>
        <v>16.327567607923729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projet'!$B$9,Paramètres!$A$1:$I$88,3,0)*VLOOKUP('Données projet'!$B$9,Paramètres!$A$1:$I$88,5,0)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181.1076418855364</v>
      </c>
      <c r="T134" s="62">
        <f t="shared" si="142"/>
        <v>478.32590395305829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16.007393965965186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3.4435250895225431E-14</v>
      </c>
      <c r="AC134" s="24">
        <f t="shared" si="111"/>
        <v>16.007393965965221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projet'!$B$9,Paramètres!$A$1:$I$88,3,0)*VLOOKUP('Données projet'!$B$9,Paramètres!$A$1:$I$88,5,0)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181.1076418855364</v>
      </c>
      <c r="T135" s="62">
        <f t="shared" si="142"/>
        <v>478.32590395305829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15.693498733838858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2.4349399419874034E-14</v>
      </c>
      <c r="AC135" s="24">
        <f t="shared" si="111"/>
        <v>15.693498733838883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projet'!$B$9,Paramètres!$A$1:$I$88,3,0)*VLOOKUP('Données projet'!$B$9,Paramètres!$A$1:$I$88,5,0)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181.1076418855364</v>
      </c>
      <c r="T136" s="62">
        <f t="shared" si="142"/>
        <v>478.32590395305829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15.38575879575734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1.7217625447612716E-14</v>
      </c>
      <c r="AC136" s="24">
        <f t="shared" si="111"/>
        <v>15.385758795757358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projet'!$B$9,Paramètres!$A$1:$I$88,3,0)*VLOOKUP('Données projet'!$B$9,Paramètres!$A$1:$I$88,5,0)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181.1076418855364</v>
      </c>
      <c r="T137" s="62">
        <f t="shared" si="142"/>
        <v>478.32590395305829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15.084053450158773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1.2174699709937017E-14</v>
      </c>
      <c r="AC137" s="24">
        <f t="shared" si="111"/>
        <v>15.084053450158786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projet'!$B$9,Paramètres!$A$1:$I$88,3,0)*VLOOKUP('Données projet'!$B$9,Paramètres!$A$1:$I$88,5,0)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181.1076418855364</v>
      </c>
      <c r="T138" s="62">
        <f t="shared" si="142"/>
        <v>478.32590395305829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14.788264362365304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8.6088127238063579E-15</v>
      </c>
      <c r="AC138" s="24">
        <f t="shared" si="111"/>
        <v>14.788264362365313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projet'!$B$9,Paramètres!$A$1:$I$88,3,0)*VLOOKUP('Données projet'!$B$9,Paramètres!$A$1:$I$88,5,0)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181.1076418855364</v>
      </c>
      <c r="T139" s="62">
        <f t="shared" si="142"/>
        <v>478.32590395305829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14.498275518169935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6.0873498549685085E-15</v>
      </c>
      <c r="AC139" s="24">
        <f t="shared" si="111"/>
        <v>14.49827551816994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projet'!$B$9,Paramètres!$A$1:$I$88,3,0)*VLOOKUP('Données projet'!$B$9,Paramètres!$A$1:$I$88,5,0)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181.1076418855364</v>
      </c>
      <c r="T140" s="62">
        <f t="shared" si="142"/>
        <v>478.32590395305829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14.213973178333507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4.3044063619031789E-15</v>
      </c>
      <c r="AC140" s="24">
        <f t="shared" si="111"/>
        <v>14.213973178333511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projet'!$B$9,Paramètres!$A$1:$I$88,3,0)*VLOOKUP('Données projet'!$B$9,Paramètres!$A$1:$I$88,5,0)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181.1076418855364</v>
      </c>
      <c r="T141" s="62">
        <f t="shared" si="142"/>
        <v>478.32590395305829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13.935245833973967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3.0436749274842543E-15</v>
      </c>
      <c r="AC141" s="24">
        <f t="shared" si="111"/>
        <v>13.935245833973971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projet'!$B$9,Paramètres!$A$1:$I$88,3,0)*VLOOKUP('Données projet'!$B$9,Paramètres!$A$1:$I$88,5,0)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181.1076418855364</v>
      </c>
      <c r="T142" s="62">
        <f t="shared" si="142"/>
        <v>478.32590395305829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13.661984162830425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2.1522031809515895E-15</v>
      </c>
      <c r="AC142" s="24">
        <f t="shared" si="111"/>
        <v>13.661984162830427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projet'!$B$9,Paramètres!$A$1:$I$88,3,0)*VLOOKUP('Données projet'!$B$9,Paramètres!$A$1:$I$88,5,0)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181.1076418855364</v>
      </c>
      <c r="T143" s="62">
        <f t="shared" si="142"/>
        <v>478.32590395305829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13.394080986384845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1.5218374637421271E-15</v>
      </c>
      <c r="AC143" s="24">
        <f t="shared" si="111"/>
        <v>13.394080986384846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projet'!$B$9,Paramètres!$A$1:$I$88,3,0)*VLOOKUP('Données projet'!$B$9,Paramètres!$A$1:$I$88,5,0)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181.1076418855364</v>
      </c>
      <c r="T144" s="62">
        <f t="shared" si="142"/>
        <v>478.32590395305829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13.13143122782456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1.0761015904757947E-15</v>
      </c>
      <c r="AC144" s="24">
        <f t="shared" si="111"/>
        <v>13.131431227824562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projet'!$B$9,Paramètres!$A$1:$I$88,3,0)*VLOOKUP('Données projet'!$B$9,Paramètres!$A$1:$I$88,5,0)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181.1076418855364</v>
      </c>
      <c r="T145" s="62">
        <f t="shared" si="142"/>
        <v>478.32590395305829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12.873931870829109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7.6091873187106356E-16</v>
      </c>
      <c r="AC145" s="24">
        <f t="shared" si="111"/>
        <v>12.873931870829109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projet'!$B$9,Paramètres!$A$1:$I$88,3,0)*VLOOKUP('Données projet'!$B$9,Paramètres!$A$1:$I$88,5,0)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181.1076418855364</v>
      </c>
      <c r="T146" s="62">
        <f t="shared" si="142"/>
        <v>478.32590395305829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12.621481919165239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5.3805079523789737E-16</v>
      </c>
      <c r="AC146" s="24">
        <f t="shared" si="111"/>
        <v>12.621481919165239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projet'!$B$9,Paramètres!$A$1:$I$88,3,0)*VLOOKUP('Données projet'!$B$9,Paramètres!$A$1:$I$88,5,0)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181.1076418855364</v>
      </c>
      <c r="T147" s="62">
        <f t="shared" si="142"/>
        <v>478.32590395305829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12.373982357074231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3.8045936593553178E-16</v>
      </c>
      <c r="AC147" s="24">
        <f t="shared" si="111"/>
        <v>12.373982357074231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projet'!$B$9,Paramètres!$A$1:$I$88,3,0)*VLOOKUP('Données projet'!$B$9,Paramètres!$A$1:$I$88,5,0)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181.1076418855364</v>
      </c>
      <c r="T148" s="62">
        <f t="shared" si="142"/>
        <v>478.32590395305829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12.131336110436001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2.6902539761894868E-16</v>
      </c>
      <c r="AC148" s="24">
        <f t="shared" si="111"/>
        <v>12.131336110436001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projet'!$B$9,Paramètres!$A$1:$I$88,3,0)*VLOOKUP('Données projet'!$B$9,Paramètres!$A$1:$I$88,5,0)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181.1076418855364</v>
      </c>
      <c r="T149" s="62">
        <f t="shared" si="142"/>
        <v>478.32590395305829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11.893448008694749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1.9022968296776589E-16</v>
      </c>
      <c r="AC149" s="24">
        <f t="shared" si="111"/>
        <v>11.893448008694749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projet'!$B$9,Paramètres!$A$1:$I$88,3,0)*VLOOKUP('Données projet'!$B$9,Paramètres!$A$1:$I$88,5,0)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181.1076418855364</v>
      </c>
      <c r="T150" s="62">
        <f t="shared" si="142"/>
        <v>478.32590395305829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11.660224747531229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1.3451269880947434E-16</v>
      </c>
      <c r="AC150" s="24">
        <f t="shared" si="111"/>
        <v>11.660224747531229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projet'!$B$9,Paramètres!$A$1:$I$88,3,0)*VLOOKUP('Données projet'!$B$9,Paramètres!$A$1:$I$88,5,0)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181.1076418855364</v>
      </c>
      <c r="T151" s="62">
        <f t="shared" si="142"/>
        <v>478.32590395305829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11.431574852266984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9.5114841483882945E-17</v>
      </c>
      <c r="AC151" s="24">
        <f t="shared" si="111"/>
        <v>11.431574852266984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projet'!$B$9,Paramètres!$A$1:$I$88,3,0)*VLOOKUP('Données projet'!$B$9,Paramètres!$A$1:$I$88,5,0)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181.1076418855364</v>
      </c>
      <c r="T152" s="62">
        <f t="shared" si="142"/>
        <v>478.32590395305829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11.207408641986204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6.7256349404737171E-17</v>
      </c>
      <c r="AC152" s="24">
        <f t="shared" si="111"/>
        <v>11.207408641986204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projet'!$B$9,Paramètres!$A$1:$I$88,3,0)*VLOOKUP('Données projet'!$B$9,Paramètres!$A$1:$I$88,5,0)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181.1076418855364</v>
      </c>
      <c r="T153" s="62">
        <f t="shared" si="142"/>
        <v>478.32590395305829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10.987638194361143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4.7557420741941473E-17</v>
      </c>
      <c r="AC153" s="24">
        <f t="shared" si="111"/>
        <v>10.987638194361143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projet'!$B$9,Paramètres!$A$1:$I$88,3,0)*VLOOKUP('Données projet'!$B$9,Paramètres!$A$1:$I$88,5,0)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181.1076418855364</v>
      </c>
      <c r="T154" s="62">
        <f t="shared" si="142"/>
        <v>478.32590395305829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10.772177311167273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3.3628174702368585E-17</v>
      </c>
      <c r="AC154" s="24">
        <f t="shared" ref="AC154:AC203" si="163">SUM(Z154:AB154)</f>
        <v>10.772177311167273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projet'!$B$9,Paramètres!$A$1:$I$88,3,0)*VLOOKUP('Données projet'!$B$9,Paramètres!$A$1:$I$88,5,0)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181.1076418855364</v>
      </c>
      <c r="T155" s="62">
        <f t="shared" si="142"/>
        <v>478.32590395305829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10.560941484474672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2.3778710370970736E-17</v>
      </c>
      <c r="AC155" s="24">
        <f t="shared" si="163"/>
        <v>10.560941484474672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projet'!$B$9,Paramètres!$A$1:$I$88,3,0)*VLOOKUP('Données projet'!$B$9,Paramètres!$A$1:$I$88,5,0)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181.1076418855364</v>
      </c>
      <c r="T156" s="62">
        <f t="shared" si="142"/>
        <v>478.32590395305829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10.353847863502379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1.6814087351184293E-17</v>
      </c>
      <c r="AC156" s="24">
        <f t="shared" si="163"/>
        <v>10.353847863502379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projet'!$B$9,Paramètres!$A$1:$I$88,3,0)*VLOOKUP('Données projet'!$B$9,Paramètres!$A$1:$I$88,5,0)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181.1076418855364</v>
      </c>
      <c r="T157" s="62">
        <f t="shared" si="142"/>
        <v>478.32590395305829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10.150815222122718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1.1889355185485368E-17</v>
      </c>
      <c r="AC157" s="24">
        <f t="shared" si="163"/>
        <v>10.150815222122718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projet'!$B$9,Paramètres!$A$1:$I$88,3,0)*VLOOKUP('Données projet'!$B$9,Paramètres!$A$1:$I$88,5,0)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181.1076418855364</v>
      </c>
      <c r="T158" s="62">
        <f t="shared" si="142"/>
        <v>478.32590395305829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9.951763927002828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8.4070436755921463E-18</v>
      </c>
      <c r="AC158" s="24">
        <f t="shared" si="163"/>
        <v>9.951763927002828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projet'!$B$9,Paramètres!$A$1:$I$88,3,0)*VLOOKUP('Données projet'!$B$9,Paramètres!$A$1:$I$88,5,0)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181.1076418855364</v>
      </c>
      <c r="T159" s="62">
        <f t="shared" si="142"/>
        <v>478.32590395305829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9.7566159063709375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5.9446775927426841E-18</v>
      </c>
      <c r="AC159" s="24">
        <f t="shared" si="163"/>
        <v>9.7566159063709375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projet'!$B$9,Paramètres!$A$1:$I$88,3,0)*VLOOKUP('Données projet'!$B$9,Paramètres!$A$1:$I$88,5,0)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181.1076418855364</v>
      </c>
      <c r="T160" s="62">
        <f t="shared" si="142"/>
        <v>478.32590395305829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9.5652946193950985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4.2035218377960732E-18</v>
      </c>
      <c r="AC160" s="24">
        <f t="shared" si="163"/>
        <v>9.5652946193950985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projet'!$B$9,Paramètres!$A$1:$I$88,3,0)*VLOOKUP('Données projet'!$B$9,Paramètres!$A$1:$I$88,5,0)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181.1076418855364</v>
      </c>
      <c r="T161" s="62">
        <f t="shared" si="142"/>
        <v>478.32590395305829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9.377725026162393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2.972338796371342E-18</v>
      </c>
      <c r="AC161" s="24">
        <f t="shared" si="163"/>
        <v>9.377725026162393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projet'!$B$9,Paramètres!$A$1:$I$88,3,0)*VLOOKUP('Données projet'!$B$9,Paramètres!$A$1:$I$88,5,0)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181.1076418855364</v>
      </c>
      <c r="T162" s="62">
        <f t="shared" si="142"/>
        <v>478.32590395305829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9.1938335582468262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2.1017609188980366E-18</v>
      </c>
      <c r="AC162" s="24">
        <f t="shared" si="163"/>
        <v>9.1938335582468262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projet'!$B$9,Paramètres!$A$1:$I$88,3,0)*VLOOKUP('Données projet'!$B$9,Paramètres!$A$1:$I$88,5,0)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181.1076418855364</v>
      </c>
      <c r="T163" s="62">
        <f t="shared" si="142"/>
        <v>478.32590395305829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9.0135480898543641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1.486169398185671E-18</v>
      </c>
      <c r="AC163" s="24">
        <f t="shared" si="163"/>
        <v>9.0135480898543641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projet'!$B$9,Paramètres!$A$1:$I$88,3,0)*VLOOKUP('Données projet'!$B$9,Paramètres!$A$1:$I$88,5,0)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181.1076418855364</v>
      </c>
      <c r="T164" s="62">
        <f t="shared" si="142"/>
        <v>478.32590395305829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8.8367979095338001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1.0508804594490183E-18</v>
      </c>
      <c r="AC164" s="24">
        <f t="shared" si="163"/>
        <v>8.8367979095338001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projet'!$B$9,Paramètres!$A$1:$I$88,3,0)*VLOOKUP('Données projet'!$B$9,Paramètres!$A$1:$I$88,5,0)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181.1076418855364</v>
      </c>
      <c r="T165" s="62">
        <f t="shared" si="142"/>
        <v>478.32590395305829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8.6635136924423577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7.4308469909283551E-19</v>
      </c>
      <c r="AC165" s="24">
        <f t="shared" si="163"/>
        <v>8.6635136924423577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projet'!$B$9,Paramètres!$A$1:$I$88,3,0)*VLOOKUP('Données projet'!$B$9,Paramètres!$A$1:$I$88,5,0)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181.1076418855364</v>
      </c>
      <c r="T166" s="62">
        <f t="shared" si="142"/>
        <v>478.32590395305829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8.4936274731551418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5.2544022972450915E-19</v>
      </c>
      <c r="AC166" s="24">
        <f t="shared" si="163"/>
        <v>8.4936274731551418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projet'!$B$9,Paramètres!$A$1:$I$88,3,0)*VLOOKUP('Données projet'!$B$9,Paramètres!$A$1:$I$88,5,0)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181.1076418855364</v>
      </c>
      <c r="T167" s="62">
        <f t="shared" si="142"/>
        <v>478.32590395305829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8.3270726190077866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3.7154234954641776E-19</v>
      </c>
      <c r="AC167" s="24">
        <f t="shared" si="163"/>
        <v>8.3270726190077866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projet'!$B$9,Paramètres!$A$1:$I$88,3,0)*VLOOKUP('Données projet'!$B$9,Paramètres!$A$1:$I$88,5,0)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181.1076418855364</v>
      </c>
      <c r="T168" s="62">
        <f t="shared" si="142"/>
        <v>478.32590395305829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8.1637838039618309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2.6272011486225457E-19</v>
      </c>
      <c r="AC168" s="24">
        <f t="shared" si="163"/>
        <v>8.1637838039618309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projet'!$B$9,Paramètres!$A$1:$I$88,3,0)*VLOOKUP('Données projet'!$B$9,Paramètres!$A$1:$I$88,5,0)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181.1076418855364</v>
      </c>
      <c r="T169" s="62">
        <f t="shared" si="142"/>
        <v>478.32590395305829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8.0036969829825839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1.8577117477320888E-19</v>
      </c>
      <c r="AC169" s="24">
        <f t="shared" si="163"/>
        <v>8.0036969829825839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projet'!$B$9,Paramètres!$A$1:$I$88,3,0)*VLOOKUP('Données projet'!$B$9,Paramètres!$A$1:$I$88,5,0)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181.1076418855364</v>
      </c>
      <c r="T170" s="62">
        <f t="shared" si="142"/>
        <v>478.32590395305829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7.8467493669194202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1.3136005743112729E-19</v>
      </c>
      <c r="AC170" s="24">
        <f t="shared" si="163"/>
        <v>7.8467493669194202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projet'!$B$9,Paramètres!$A$1:$I$88,3,0)*VLOOKUP('Données projet'!$B$9,Paramètres!$A$1:$I$88,5,0)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181.1076418855364</v>
      </c>
      <c r="T171" s="62">
        <f t="shared" si="142"/>
        <v>478.32590395305829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7.6928793978786612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9.2885587386604439E-20</v>
      </c>
      <c r="AC171" s="24">
        <f t="shared" si="163"/>
        <v>7.6928793978786612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projet'!$B$9,Paramètres!$A$1:$I$88,3,0)*VLOOKUP('Données projet'!$B$9,Paramètres!$A$1:$I$88,5,0)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181.1076418855364</v>
      </c>
      <c r="T172" s="62">
        <f t="shared" si="142"/>
        <v>478.32590395305829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7.5420267250793778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6.5680028715563643E-20</v>
      </c>
      <c r="AC172" s="24">
        <f t="shared" si="163"/>
        <v>7.5420267250793778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projet'!$B$9,Paramètres!$A$1:$I$88,3,0)*VLOOKUP('Données projet'!$B$9,Paramètres!$A$1:$I$88,5,0)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181.1076418855364</v>
      </c>
      <c r="T173" s="62">
        <f t="shared" si="142"/>
        <v>478.32590395305829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7.394132181182643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4.6442793693302219E-20</v>
      </c>
      <c r="AC173" s="24">
        <f t="shared" si="163"/>
        <v>7.394132181182643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projet'!$B$9,Paramètres!$A$1:$I$88,3,0)*VLOOKUP('Données projet'!$B$9,Paramètres!$A$1:$I$88,5,0)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181.1076418855364</v>
      </c>
      <c r="T174" s="62">
        <f t="shared" si="142"/>
        <v>478.32590395305829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7.2491377590849586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3.2840014357781822E-20</v>
      </c>
      <c r="AC174" s="24">
        <f t="shared" si="163"/>
        <v>7.2491377590849586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projet'!$B$9,Paramètres!$A$1:$I$88,3,0)*VLOOKUP('Données projet'!$B$9,Paramètres!$A$1:$I$88,5,0)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181.1076418855364</v>
      </c>
      <c r="T175" s="62">
        <f t="shared" si="142"/>
        <v>478.32590395305829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7.1069865891667447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2.322139684665111E-20</v>
      </c>
      <c r="AC175" s="24">
        <f t="shared" si="163"/>
        <v>7.1069865891667447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projet'!$B$9,Paramètres!$A$1:$I$88,3,0)*VLOOKUP('Données projet'!$B$9,Paramètres!$A$1:$I$88,5,0)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181.1076418855364</v>
      </c>
      <c r="T176" s="62">
        <f t="shared" si="142"/>
        <v>478.32590395305829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6.9676229169869748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1.6420007178890911E-20</v>
      </c>
      <c r="AC176" s="24">
        <f t="shared" si="163"/>
        <v>6.9676229169869748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projet'!$B$9,Paramètres!$A$1:$I$88,3,0)*VLOOKUP('Données projet'!$B$9,Paramètres!$A$1:$I$88,5,0)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181.1076418855364</v>
      </c>
      <c r="T177" s="62">
        <f t="shared" si="142"/>
        <v>478.32590395305829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6.8309920814152036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1.1610698423325555E-20</v>
      </c>
      <c r="AC177" s="24">
        <f t="shared" si="163"/>
        <v>6.8309920814152036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projet'!$B$9,Paramètres!$A$1:$I$88,3,0)*VLOOKUP('Données projet'!$B$9,Paramètres!$A$1:$I$88,5,0)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181.1076418855364</v>
      </c>
      <c r="T178" s="62">
        <f t="shared" si="142"/>
        <v>478.32590395305829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6.6970404931924143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8.2100035894454554E-21</v>
      </c>
      <c r="AC178" s="24">
        <f t="shared" si="163"/>
        <v>6.6970404931924143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projet'!$B$9,Paramètres!$A$1:$I$88,3,0)*VLOOKUP('Données projet'!$B$9,Paramètres!$A$1:$I$88,5,0)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181.1076418855364</v>
      </c>
      <c r="T179" s="62">
        <f t="shared" si="142"/>
        <v>478.32590395305829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6.5657156139122721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5.8053492116627774E-21</v>
      </c>
      <c r="AC179" s="24">
        <f t="shared" si="163"/>
        <v>6.5657156139122721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projet'!$B$9,Paramètres!$A$1:$I$88,3,0)*VLOOKUP('Données projet'!$B$9,Paramètres!$A$1:$I$88,5,0)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181.1076418855364</v>
      </c>
      <c r="T180" s="62">
        <f t="shared" si="142"/>
        <v>478.32590395305829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6.4369659354145465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4.1050017947227277E-21</v>
      </c>
      <c r="AC180" s="24">
        <f t="shared" si="163"/>
        <v>6.4369659354145465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projet'!$B$9,Paramètres!$A$1:$I$88,3,0)*VLOOKUP('Données projet'!$B$9,Paramètres!$A$1:$I$88,5,0)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181.1076418855364</v>
      </c>
      <c r="T181" s="62">
        <f t="shared" si="142"/>
        <v>478.32590395305829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6.3107409595826116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2.9026746058313887E-21</v>
      </c>
      <c r="AC181" s="24">
        <f t="shared" si="163"/>
        <v>6.3107409595826116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projet'!$B$9,Paramètres!$A$1:$I$88,3,0)*VLOOKUP('Données projet'!$B$9,Paramètres!$A$1:$I$88,5,0)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181.1076418855364</v>
      </c>
      <c r="T182" s="62">
        <f t="shared" si="142"/>
        <v>478.32590395305829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6.1869911785371077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2.0525008973613639E-21</v>
      </c>
      <c r="AC182" s="24">
        <f t="shared" si="163"/>
        <v>6.1869911785371077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projet'!$B$9,Paramètres!$A$1:$I$88,3,0)*VLOOKUP('Données projet'!$B$9,Paramètres!$A$1:$I$88,5,0)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181.1076418855364</v>
      </c>
      <c r="T183" s="62">
        <f t="shared" si="142"/>
        <v>478.32590395305829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6.0656680552179925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1.4513373029156944E-21</v>
      </c>
      <c r="AC183" s="24">
        <f t="shared" si="163"/>
        <v>6.0656680552179925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projet'!$B$9,Paramètres!$A$1:$I$88,3,0)*VLOOKUP('Données projet'!$B$9,Paramètres!$A$1:$I$88,5,0)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181.1076418855364</v>
      </c>
      <c r="T184" s="62">
        <f t="shared" si="142"/>
        <v>478.32590395305829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5.9467240043473675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1.0262504486806819E-21</v>
      </c>
      <c r="AC184" s="24">
        <f t="shared" si="163"/>
        <v>5.9467240043473675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projet'!$B$9,Paramètres!$A$1:$I$88,3,0)*VLOOKUP('Données projet'!$B$9,Paramètres!$A$1:$I$88,5,0)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181.1076418855364</v>
      </c>
      <c r="T185" s="62">
        <f t="shared" si="142"/>
        <v>478.32590395305829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5.8301123737656075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7.2566865145784718E-22</v>
      </c>
      <c r="AC185" s="24">
        <f t="shared" si="163"/>
        <v>5.8301123737656075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projet'!$B$9,Paramètres!$A$1:$I$88,3,0)*VLOOKUP('Données projet'!$B$9,Paramètres!$A$1:$I$88,5,0)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181.1076418855364</v>
      </c>
      <c r="T186" s="62">
        <f t="shared" si="142"/>
        <v>478.32590395305829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5.7157874261334847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5.1312522434034096E-22</v>
      </c>
      <c r="AC186" s="24">
        <f t="shared" si="163"/>
        <v>5.7157874261334847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projet'!$B$9,Paramètres!$A$1:$I$88,3,0)*VLOOKUP('Données projet'!$B$9,Paramètres!$A$1:$I$88,5,0)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181.1076418855364</v>
      </c>
      <c r="T187" s="62">
        <f t="shared" si="142"/>
        <v>478.32590395305829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5.6037043209930948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3.6283432572892359E-22</v>
      </c>
      <c r="AC187" s="24">
        <f t="shared" si="163"/>
        <v>5.6037043209930948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projet'!$B$9,Paramètres!$A$1:$I$88,3,0)*VLOOKUP('Données projet'!$B$9,Paramètres!$A$1:$I$88,5,0)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181.1076418855364</v>
      </c>
      <c r="T188" s="62">
        <f t="shared" si="142"/>
        <v>478.32590395305829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5.4938190971805643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2.5656261217017048E-22</v>
      </c>
      <c r="AC188" s="24">
        <f t="shared" si="163"/>
        <v>5.4938190971805643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projet'!$B$9,Paramètres!$A$1:$I$88,3,0)*VLOOKUP('Données projet'!$B$9,Paramètres!$A$1:$I$88,5,0)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181.1076418855364</v>
      </c>
      <c r="T189" s="62">
        <f t="shared" si="142"/>
        <v>478.32590395305829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5.3860886555836291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1.8141716286446179E-22</v>
      </c>
      <c r="AC189" s="24">
        <f t="shared" si="163"/>
        <v>5.3860886555836291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projet'!$B$9,Paramètres!$A$1:$I$88,3,0)*VLOOKUP('Données projet'!$B$9,Paramètres!$A$1:$I$88,5,0)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181.1076418855364</v>
      </c>
      <c r="T190" s="62">
        <f t="shared" si="142"/>
        <v>478.32590395305829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5.2804707422373287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1.2828130608508524E-22</v>
      </c>
      <c r="AC190" s="24">
        <f t="shared" si="163"/>
        <v>5.2804707422373287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projet'!$B$9,Paramètres!$A$1:$I$88,3,0)*VLOOKUP('Données projet'!$B$9,Paramètres!$A$1:$I$88,5,0)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181.1076418855364</v>
      </c>
      <c r="T191" s="62">
        <f t="shared" si="142"/>
        <v>478.32590395305829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5.1769239317511833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9.0708581432230897E-23</v>
      </c>
      <c r="AC191" s="24">
        <f t="shared" si="163"/>
        <v>5.1769239317511833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projet'!$B$9,Paramètres!$A$1:$I$88,3,0)*VLOOKUP('Données projet'!$B$9,Paramètres!$A$1:$I$88,5,0)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181.1076418855364</v>
      </c>
      <c r="T192" s="62">
        <f t="shared" si="142"/>
        <v>478.32590395305829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5.0754076110613529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6.414065304254262E-23</v>
      </c>
      <c r="AC192" s="24">
        <f t="shared" si="163"/>
        <v>5.0754076110613529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projet'!$B$9,Paramètres!$A$1:$I$88,3,0)*VLOOKUP('Données projet'!$B$9,Paramètres!$A$1:$I$88,5,0)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181.1076418855364</v>
      </c>
      <c r="T193" s="62">
        <f t="shared" si="142"/>
        <v>478.32590395305829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4.9758819635014078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4.5354290716115449E-23</v>
      </c>
      <c r="AC193" s="24">
        <f t="shared" si="163"/>
        <v>4.9758819635014078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projet'!$B$9,Paramètres!$A$1:$I$88,3,0)*VLOOKUP('Données projet'!$B$9,Paramètres!$A$1:$I$88,5,0)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181.1076418855364</v>
      </c>
      <c r="T194" s="62">
        <f t="shared" si="142"/>
        <v>478.32590395305829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4.8783079531854625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3.207032652127131E-23</v>
      </c>
      <c r="AC194" s="24">
        <f t="shared" si="163"/>
        <v>4.8783079531854625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projet'!$B$9,Paramètres!$A$1:$I$88,3,0)*VLOOKUP('Données projet'!$B$9,Paramètres!$A$1:$I$88,5,0)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181.1076418855364</v>
      </c>
      <c r="T195" s="62">
        <f t="shared" si="142"/>
        <v>478.32590395305829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4.782647309697543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2.2677145358057724E-23</v>
      </c>
      <c r="AC195" s="24">
        <f t="shared" si="163"/>
        <v>4.782647309697543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projet'!$B$9,Paramètres!$A$1:$I$88,3,0)*VLOOKUP('Données projet'!$B$9,Paramètres!$A$1:$I$88,5,0)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181.1076418855364</v>
      </c>
      <c r="T196" s="62">
        <f t="shared" si="142"/>
        <v>478.32590395305829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4.6888625130811912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1.6035163260635655E-23</v>
      </c>
      <c r="AC196" s="24">
        <f t="shared" si="163"/>
        <v>4.6888625130811912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projet'!$B$9,Paramètres!$A$1:$I$88,3,0)*VLOOKUP('Données projet'!$B$9,Paramètres!$A$1:$I$88,5,0)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181.1076418855364</v>
      </c>
      <c r="T197" s="62">
        <f t="shared" ref="T197:T203" si="204">$T$3</f>
        <v>478.32590395305829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4.5969167791234078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1.1338572679028862E-23</v>
      </c>
      <c r="AC197" s="24">
        <f t="shared" si="163"/>
        <v>4.5969167791234078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projet'!$B$9,Paramètres!$A$1:$I$88,3,0)*VLOOKUP('Données projet'!$B$9,Paramètres!$A$1:$I$88,5,0)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181.1076418855364</v>
      </c>
      <c r="T198" s="62">
        <f t="shared" si="204"/>
        <v>478.32590395305829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4.5067740449271767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8.0175816303178276E-24</v>
      </c>
      <c r="AC198" s="24">
        <f t="shared" si="163"/>
        <v>4.5067740449271767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projet'!$B$9,Paramètres!$A$1:$I$88,3,0)*VLOOKUP('Données projet'!$B$9,Paramètres!$A$1:$I$88,5,0)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181.1076418855364</v>
      </c>
      <c r="T199" s="62">
        <f t="shared" si="204"/>
        <v>478.32590395305829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4.4183989547668947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5.6692863395144311E-24</v>
      </c>
      <c r="AC199" s="24">
        <f t="shared" si="163"/>
        <v>4.4183989547668947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projet'!$B$9,Paramètres!$A$1:$I$88,3,0)*VLOOKUP('Données projet'!$B$9,Paramètres!$A$1:$I$88,5,0)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181.1076418855364</v>
      </c>
      <c r="T200" s="62">
        <f t="shared" si="204"/>
        <v>478.32590395305829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4.3317568462211735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4.0087908151589138E-24</v>
      </c>
      <c r="AC200" s="24">
        <f t="shared" si="163"/>
        <v>4.3317568462211735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projet'!$B$9,Paramètres!$A$1:$I$88,3,0)*VLOOKUP('Données projet'!$B$9,Paramètres!$A$1:$I$88,5,0)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181.1076418855364</v>
      </c>
      <c r="T201" s="62">
        <f t="shared" si="204"/>
        <v>478.32590395305829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4.2468137365775656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2.8346431697572155E-24</v>
      </c>
      <c r="AC201" s="24">
        <f t="shared" si="163"/>
        <v>4.2468137365775656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projet'!$B$9,Paramètres!$A$1:$I$88,3,0)*VLOOKUP('Données projet'!$B$9,Paramètres!$A$1:$I$88,5,0)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181.1076418855364</v>
      </c>
      <c r="T202" s="62">
        <f t="shared" si="204"/>
        <v>478.32590395305829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4.163536309503888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2.0043954075794569E-24</v>
      </c>
      <c r="AC202" s="24">
        <f t="shared" si="163"/>
        <v>4.163536309503888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projet'!$B$9,Paramètres!$A$1:$I$88,3,0)*VLOOKUP('Données projet'!$B$9,Paramètres!$A$1:$I$88,5,0)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181.1076418855364</v>
      </c>
      <c r="T203" s="62">
        <f t="shared" si="204"/>
        <v>478.32590395305829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4.0818919019809101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1.4173215848786078E-24</v>
      </c>
      <c r="AC203" s="24">
        <f t="shared" si="163"/>
        <v>4.0818919019809101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1.4566260598488507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4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5">
      <c r="A92" s="131" t="s">
        <v>208</v>
      </c>
    </row>
    <row r="93" spans="1:14" x14ac:dyDescent="0.35">
      <c r="A93" s="131" t="s">
        <v>209</v>
      </c>
    </row>
    <row r="94" spans="1:14" x14ac:dyDescent="0.35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N5" sqref="N5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Pin maritime</v>
      </c>
      <c r="B6" s="155">
        <f>'Données projet'!D9</f>
        <v>2.9178000000000002</v>
      </c>
      <c r="C6" s="156">
        <f ca="1">IF(OR('Données projet'!B9="",'Données projet'!C9="",'Données projet'!C9=0%),0,Calculateur!S3)</f>
        <v>181.1076418855364</v>
      </c>
      <c r="D6" s="156">
        <f>IF(OR('Données projet'!B9="",'Données projet'!C9="",'Données projet'!C9=0%),0,Calculateur!T3)</f>
        <v>478.32590395305829</v>
      </c>
      <c r="E6" s="156">
        <f ca="1">MIN(C6,D6)</f>
        <v>181.1076418855364</v>
      </c>
      <c r="F6" s="156">
        <f ca="1">E6*B6</f>
        <v>528.43587749361814</v>
      </c>
      <c r="G6" s="156">
        <f ca="1">F6*(100%-'Données projet'!$C$24)*(100%-'Données projet'!$C$25)*(100%-'Données projet'!$C$26)*(100%-'Données projet'!$C$27)</f>
        <v>323.40275702609432</v>
      </c>
      <c r="H6" s="157">
        <f>IF(OR('Données projet'!B9="",'Données projet'!C9="",'Données projet'!C9=0%),0,AVERAGE(Calculateur!$AC$3:$AC$33)*B6)</f>
        <v>36.397719746670887</v>
      </c>
      <c r="I6" s="158">
        <f>H6*(100%-'Données projet'!$C$24)*(100%-'Données projet'!$C$25)*(100%-'Données projet'!$C$26)*(100%-'Données projet'!$C$27)</f>
        <v>22.275404484962582</v>
      </c>
      <c r="J6" s="159">
        <f>IF(OR('Données projet'!B9="",'Données projet'!C9="",'Données projet'!C9=0%),0,SUM(Calculateur!$V$3:$V$33)*VLOOKUP('Données projet'!$B$9,Paramètres!$A$1:$I$88,9,0)*B6)</f>
        <v>836.30567159999987</v>
      </c>
      <c r="K6" s="160">
        <f>J6*(100%-'Données projet'!$C$24)*(100%-'Données projet'!$C$25)*(100%-'Données projet'!$C$26)*(100%-'Données projet'!$C$27)</f>
        <v>511.81907101919995</v>
      </c>
      <c r="L6" s="161">
        <f ca="1">G6+I6+K6</f>
        <v>857.49723253025684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528.43587749361814</v>
      </c>
      <c r="G16" s="175">
        <f t="shared" ca="1" si="3"/>
        <v>323.40275702609432</v>
      </c>
      <c r="H16" s="176">
        <f t="shared" si="3"/>
        <v>36.397719746670887</v>
      </c>
      <c r="I16" s="176">
        <f t="shared" si="3"/>
        <v>22.275404484962582</v>
      </c>
      <c r="J16" s="177">
        <f t="shared" si="3"/>
        <v>836.30567159999987</v>
      </c>
      <c r="K16" s="177">
        <f t="shared" si="3"/>
        <v>511.81907101919995</v>
      </c>
      <c r="L16" s="178">
        <f t="shared" ca="1" si="3"/>
        <v>857.49723253025684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Normal="100" workbookViewId="0">
      <selection activeCell="N18" sqref="N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34" t="s">
        <v>316</v>
      </c>
      <c r="I4" s="334"/>
      <c r="K4" s="331" t="s">
        <v>253</v>
      </c>
      <c r="L4" s="332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3" t="s">
        <v>311</v>
      </c>
      <c r="S7" s="324"/>
      <c r="T7" s="324"/>
      <c r="U7" s="324"/>
      <c r="V7" s="32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2.9178000000000002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35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5"/>
      <c r="H16" s="203"/>
      <c r="I16" s="204"/>
      <c r="J16" s="216"/>
      <c r="K16" s="225"/>
      <c r="L16" s="331" t="s">
        <v>254</v>
      </c>
      <c r="M16" s="332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5"/>
      <c r="J17" s="216"/>
      <c r="K17" s="225"/>
      <c r="L17" s="289" t="s">
        <v>290</v>
      </c>
      <c r="M17" s="291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5"/>
      <c r="J18" s="216"/>
      <c r="K18" s="225"/>
      <c r="L18" s="289" t="s">
        <v>255</v>
      </c>
      <c r="M18" s="291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5"/>
      <c r="H19" s="232" t="s">
        <v>178</v>
      </c>
      <c r="I19" s="232" t="s">
        <v>288</v>
      </c>
      <c r="J19" s="260"/>
      <c r="K19" s="183"/>
      <c r="L19" s="331" t="s">
        <v>289</v>
      </c>
      <c r="M19" s="332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5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13</v>
      </c>
      <c r="B23" s="193">
        <f>'Données projet'!D36</f>
        <v>32.200000000000003</v>
      </c>
      <c r="C23" s="206"/>
      <c r="D23" s="194">
        <f>B23*C23</f>
        <v>0</v>
      </c>
      <c r="E23" s="206"/>
      <c r="F23" s="261"/>
      <c r="H23" s="203"/>
      <c r="I23" s="204"/>
      <c r="K23" s="225"/>
      <c r="L23" s="333" t="s">
        <v>260</v>
      </c>
      <c r="M23" s="333"/>
      <c r="N23" s="333"/>
      <c r="O23" s="25"/>
      <c r="P23" s="25"/>
      <c r="Q23" s="265"/>
      <c r="R23" s="25"/>
      <c r="S23" s="185" t="s">
        <v>264</v>
      </c>
      <c r="T23" s="32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28"/>
      <c r="V23" s="32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18</v>
      </c>
      <c r="B24" s="193">
        <f>'Données projet'!D37</f>
        <v>52.2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2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29"/>
      <c r="V24" s="32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30</v>
      </c>
      <c r="B25" s="193">
        <f>'Données projet'!D38</f>
        <v>401.4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0">
        <f ca="1">T23-T24</f>
        <v>0</v>
      </c>
      <c r="U25" s="330"/>
      <c r="V25" s="33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17" t="s">
        <v>258</v>
      </c>
      <c r="M26" s="318"/>
      <c r="N26" s="318"/>
      <c r="O26" s="318"/>
      <c r="P26" s="319"/>
      <c r="Q26" s="265"/>
      <c r="R26" s="25"/>
      <c r="S26" s="198" t="s">
        <v>265</v>
      </c>
      <c r="T26" s="327" t="str">
        <f ca="1">IF(T25&lt;0,"Votre projet est additionnel","Votre projet n'est pas additionnel")</f>
        <v>Votre projet n'est pas additionnel</v>
      </c>
      <c r="U26" s="327"/>
      <c r="V26" s="32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0"/>
      <c r="M27" s="321"/>
      <c r="N27" s="321"/>
      <c r="O27" s="321"/>
      <c r="P27" s="322"/>
      <c r="Q27" s="265"/>
      <c r="R27" s="25"/>
      <c r="S27" s="326" t="s">
        <v>267</v>
      </c>
      <c r="T27" s="326"/>
      <c r="U27" s="326"/>
      <c r="V27" s="32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2021-11-10T07:50:20Z</dcterms:modified>
</cp:coreProperties>
</file>